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51.xml" ContentType="application/vnd.openxmlformats-officedocument.spreadsheetml.worksheet+xml"/>
  <Override PartName="/xl/worksheets/sheet14.xml" ContentType="application/vnd.openxmlformats-officedocument.spreadsheetml.worksheet+xml"/>
  <Override PartName="/xl/worksheets/sheet52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2"/>
    <sheet name="2022 v2" sheetId="2" state="visible" r:id="rId3"/>
    <sheet name="2021 v2" sheetId="3" state="visible" r:id="rId4"/>
    <sheet name="2020 v2" sheetId="4" state="visible" r:id="rId5"/>
    <sheet name="2019 v2" sheetId="5" state="visible" r:id="rId6"/>
    <sheet name="2018 v2" sheetId="6" state="visible" r:id="rId7"/>
    <sheet name="2017v1" sheetId="7" state="visible" r:id="rId8"/>
    <sheet name="2017v2" sheetId="8" state="visible" r:id="rId9"/>
    <sheet name="2016v1" sheetId="9" state="visible" r:id="rId10"/>
    <sheet name="2016v2" sheetId="10" state="visible" r:id="rId11"/>
    <sheet name="2015v1" sheetId="11" state="visible" r:id="rId12"/>
    <sheet name="2015v2" sheetId="12" state="visible" r:id="rId13"/>
    <sheet name="2014v1" sheetId="13" state="visible" r:id="rId14"/>
    <sheet name="2014 v2" sheetId="14" state="visible" r:id="rId15"/>
    <sheet name="2013v1" sheetId="15" state="visible" r:id="rId16"/>
    <sheet name="2013v2" sheetId="16" state="visible" r:id="rId17"/>
    <sheet name="2012v1" sheetId="17" state="visible" r:id="rId18"/>
    <sheet name="2012v2" sheetId="18" state="visible" r:id="rId19"/>
    <sheet name="2011v1" sheetId="19" state="visible" r:id="rId20"/>
    <sheet name="2011v2" sheetId="20" state="visible" r:id="rId21"/>
    <sheet name="2010v1" sheetId="21" state="visible" r:id="rId22"/>
    <sheet name="2010v2" sheetId="22" state="visible" r:id="rId23"/>
    <sheet name="2009v1" sheetId="23" state="visible" r:id="rId24"/>
    <sheet name="2009v2" sheetId="24" state="visible" r:id="rId25"/>
    <sheet name="2008v1" sheetId="25" state="visible" r:id="rId26"/>
    <sheet name="2008v2" sheetId="26" state="visible" r:id="rId27"/>
    <sheet name="2007v1" sheetId="27" state="visible" r:id="rId28"/>
    <sheet name="2007v2" sheetId="28" state="visible" r:id="rId29"/>
    <sheet name="2006v1" sheetId="29" state="visible" r:id="rId30"/>
    <sheet name="2006v2" sheetId="30" state="visible" r:id="rId31"/>
    <sheet name="2005v1" sheetId="31" state="visible" r:id="rId32"/>
    <sheet name="2005v2" sheetId="32" state="visible" r:id="rId33"/>
    <sheet name="2004v1" sheetId="33" state="visible" r:id="rId34"/>
    <sheet name="2004v2" sheetId="34" state="visible" r:id="rId35"/>
    <sheet name="2003" sheetId="35" state="visible" r:id="rId36"/>
    <sheet name="2002" sheetId="36" state="visible" r:id="rId37"/>
    <sheet name="2001" sheetId="37" state="visible" r:id="rId38"/>
    <sheet name="2000" sheetId="38" state="visible" r:id="rId39"/>
    <sheet name="1999" sheetId="39" state="visible" r:id="rId40"/>
    <sheet name="1998" sheetId="40" state="visible" r:id="rId41"/>
    <sheet name="1997" sheetId="41" state="visible" r:id="rId42"/>
    <sheet name="1996" sheetId="42" state="visible" r:id="rId43"/>
    <sheet name="1995" sheetId="43" state="visible" r:id="rId44"/>
    <sheet name="1994" sheetId="44" state="visible" r:id="rId45"/>
    <sheet name="1993" sheetId="45" state="visible" r:id="rId46"/>
    <sheet name="1992" sheetId="46" state="visible" r:id="rId47"/>
    <sheet name="1991" sheetId="47" state="visible" r:id="rId48"/>
    <sheet name="1990" sheetId="48" state="visible" r:id="rId49"/>
    <sheet name="1989" sheetId="49" state="visible" r:id="rId50"/>
    <sheet name="1988" sheetId="50" state="visible" r:id="rId51"/>
    <sheet name="1987" sheetId="51" state="visible" r:id="rId52"/>
    <sheet name="1986" sheetId="52" state="visible" r:id="rId53"/>
  </sheets>
  <definedNames>
    <definedName function="false" hidden="false" localSheetId="51" name="_xlnm.Print_Area" vbProcedure="false">'1986'!$A$1:$P$44</definedName>
    <definedName function="false" hidden="false" localSheetId="50" name="_xlnm.Print_Area" vbProcedure="false">'1987'!$A$1:$P$46</definedName>
    <definedName function="false" hidden="false" localSheetId="49" name="_xlnm.Print_Area" vbProcedure="false">'1988'!$A$1:$P$45</definedName>
    <definedName function="false" hidden="false" localSheetId="48" name="_xlnm.Print_Area" vbProcedure="false">'1989'!$A$1:$P$47</definedName>
    <definedName function="false" hidden="false" localSheetId="47" name="_xlnm.Print_Area" vbProcedure="false">'1990'!$A$1:$P$48</definedName>
    <definedName function="false" hidden="false" localSheetId="46" name="_xlnm.Print_Area" vbProcedure="false">'1991'!$A$1:$P$46</definedName>
    <definedName function="false" hidden="false" localSheetId="45" name="_xlnm.Print_Area" vbProcedure="false">'1992'!$A$1:$P$46</definedName>
    <definedName function="false" hidden="false" localSheetId="44" name="_xlnm.Print_Area" vbProcedure="false">'1993'!$A$1:$P$45</definedName>
    <definedName function="false" hidden="false" localSheetId="43" name="_xlnm.Print_Area" vbProcedure="false">'1994'!$A$1:$P$44</definedName>
    <definedName function="false" hidden="false" localSheetId="42" name="_xlnm.Print_Area" vbProcedure="false">'1995'!$A$1:$P$44</definedName>
    <definedName function="false" hidden="false" localSheetId="41" name="_xlnm.Print_Area" vbProcedure="false">'1996'!$A$1:$P$44</definedName>
    <definedName function="false" hidden="false" localSheetId="40" name="_xlnm.Print_Area" vbProcedure="false">'1997'!$A$1:$P$44</definedName>
    <definedName function="false" hidden="false" localSheetId="39" name="_xlnm.Print_Area" vbProcedure="false">'1998'!$A$1:$P$47</definedName>
    <definedName function="false" hidden="false" localSheetId="38" name="_xlnm.Print_Area" vbProcedure="false">'1999'!$A$1:$P$48</definedName>
    <definedName function="false" hidden="false" localSheetId="37" name="_xlnm.Print_Area" vbProcedure="false">'2000'!$A$1:$P$49</definedName>
    <definedName function="false" hidden="false" localSheetId="36" name="_xlnm.Print_Area" vbProcedure="false">'2001'!$A$1:$P$48</definedName>
    <definedName function="false" hidden="false" localSheetId="35" name="_xlnm.Print_Area" vbProcedure="false">'2002'!$A$1:$Q$51</definedName>
    <definedName function="false" hidden="false" localSheetId="34" name="_xlnm.Print_Area" vbProcedure="false">'2003'!$A$1:$Q$51</definedName>
    <definedName function="false" hidden="false" localSheetId="32" name="_xlnm.Print_Area" vbProcedure="false">2004v1!$A$1:$R$59</definedName>
    <definedName function="false" hidden="false" localSheetId="33" name="_xlnm.Print_Area" vbProcedure="false">2004v2!$A$1:$R$62</definedName>
    <definedName function="false" hidden="false" localSheetId="30" name="_xlnm.Print_Area" vbProcedure="false">2005v1!$A$1:$S$59</definedName>
    <definedName function="false" hidden="false" localSheetId="31" name="_xlnm.Print_Area" vbProcedure="false">2005v2!$A$1:$S$61</definedName>
    <definedName function="false" hidden="false" localSheetId="28" name="_xlnm.Print_Area" vbProcedure="false">2006v1!$A$1:$S$60</definedName>
    <definedName function="false" hidden="false" localSheetId="29" name="_xlnm.Print_Area" vbProcedure="false">2006v2!$A$1:$R$63</definedName>
    <definedName function="false" hidden="false" localSheetId="26" name="_xlnm.Print_Area" vbProcedure="false">2007v1!$A$1:$S$57</definedName>
    <definedName function="false" hidden="false" localSheetId="27" name="_xlnm.Print_Area" vbProcedure="false">2007v2!$A$1:$R$59</definedName>
    <definedName function="false" hidden="false" localSheetId="24" name="_xlnm.Print_Area" vbProcedure="false">2008v1!$A$1:$S$58</definedName>
    <definedName function="false" hidden="false" localSheetId="25" name="_xlnm.Print_Area" vbProcedure="false">2008v2!$A$1:$R$61</definedName>
    <definedName function="false" hidden="false" localSheetId="22" name="_xlnm.Print_Area" vbProcedure="false">2009v1!$A$1:$S$58</definedName>
    <definedName function="false" hidden="false" localSheetId="23" name="_xlnm.Print_Area" vbProcedure="false">2009v2!$A$1:$S$59</definedName>
    <definedName function="false" hidden="false" localSheetId="20" name="_xlnm.Print_Area" vbProcedure="false">2010v1!$A$1:$S$59</definedName>
    <definedName function="false" hidden="false" localSheetId="21" name="_xlnm.Print_Area" vbProcedure="false">2010v2!$A$1:$R$59</definedName>
    <definedName function="false" hidden="false" localSheetId="18" name="_xlnm.Print_Area" vbProcedure="false">2011v1!$A$1:$S$58</definedName>
    <definedName function="false" hidden="false" localSheetId="19" name="_xlnm.Print_Area" vbProcedure="false">2011v2!$A$1:$S$60</definedName>
    <definedName function="false" hidden="false" localSheetId="16" name="_xlnm.Print_Area" vbProcedure="false">2012v1!$A$1:$S$58</definedName>
    <definedName function="false" hidden="false" localSheetId="17" name="_xlnm.Print_Area" vbProcedure="false">2012v2!$A$1:$S$58</definedName>
    <definedName function="false" hidden="false" localSheetId="14" name="_xlnm.Print_Area" vbProcedure="false">2013v1!$A$1:$S$58</definedName>
    <definedName function="false" hidden="false" localSheetId="15" name="_xlnm.Print_Area" vbProcedure="false">2013v2!$A$1:$S$60</definedName>
    <definedName function="false" hidden="false" localSheetId="13" name="_xlnm.Print_Area" vbProcedure="false">'2014 v2'!$A$1:$S$61</definedName>
    <definedName function="false" hidden="false" localSheetId="12" name="_xlnm.Print_Area" vbProcedure="false">2014v1!$A$1:$S$57</definedName>
    <definedName function="false" hidden="false" localSheetId="10" name="_xlnm.Print_Area" vbProcedure="false">2015v1!$A$1:$R$57</definedName>
    <definedName function="false" hidden="false" localSheetId="11" name="_xlnm.Print_Area" vbProcedure="false">2015v2!$A$1:$R$59</definedName>
    <definedName function="false" hidden="false" localSheetId="8" name="_xlnm.Print_Area" vbProcedure="false">2016v1!$A$1:$R$58</definedName>
    <definedName function="false" hidden="false" localSheetId="9" name="_xlnm.Print_Area" vbProcedure="false">2016v2!$A$1:$R$60</definedName>
    <definedName function="false" hidden="false" localSheetId="6" name="_xlnm.Print_Area" vbProcedure="false">2017v1!$A$1:$R$58</definedName>
    <definedName function="false" hidden="false" localSheetId="7" name="_xlnm.Print_Area" vbProcedure="false">2017v2!$A$1:$R$59</definedName>
    <definedName function="false" hidden="false" localSheetId="5" name="_xlnm.Print_Area" vbProcedure="false">'2018 v2'!$A$1:$R$59</definedName>
    <definedName function="false" hidden="false" localSheetId="4" name="_xlnm.Print_Area" vbProcedure="false">'2019 v2'!$A$1:$R$59</definedName>
    <definedName function="false" hidden="false" localSheetId="3" name="_xlnm.Print_Area" vbProcedure="false">'2020 v2'!$A$1:$R$61</definedName>
    <definedName function="false" hidden="false" localSheetId="2" name="_xlnm.Print_Area" vbProcedure="false">'2021 v2'!$A$1:$R$62</definedName>
    <definedName function="false" hidden="false" localSheetId="1" name="_xlnm.Print_Area" vbProcedure="false">'2022 v2'!$A$1:$R$61</definedName>
    <definedName function="false" hidden="false" localSheetId="0" name="_xlnm.Print_Area" vbProcedure="false">'2023'!$A$1:$L$59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<sst xmlns="http://schemas.openxmlformats.org/spreadsheetml/2006/main" count="2913" uniqueCount="171">
  <si>
    <t xml:space="preserve">National Government Cash Operation Report</t>
  </si>
  <si>
    <t xml:space="preserve">CY 2023</t>
  </si>
  <si>
    <t xml:space="preserve">(In Million Pesos)</t>
  </si>
  <si>
    <t xml:space="preserve">(Version 2)</t>
  </si>
  <si>
    <t xml:space="preserve">Particulars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</si>
  <si>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</si>
  <si>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</si>
  <si>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</si>
  <si>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</si>
  <si>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</si>
  <si>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</si>
  <si>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Total</t>
  </si>
  <si>
    <t xml:space="preserve">Revenues</t>
  </si>
  <si>
    <t xml:space="preserve">Tax Revenues</t>
  </si>
  <si>
    <t xml:space="preserve">BIR</t>
  </si>
  <si>
    <t xml:space="preserve">of which:</t>
  </si>
  <si>
    <t xml:space="preserve">   Documentary Stamp</t>
  </si>
  <si>
    <t xml:space="preserve">   Tax Expenditures</t>
  </si>
  <si>
    <t xml:space="preserve">BOC</t>
  </si>
  <si>
    <t xml:space="preserve">Other Offices </t>
  </si>
  <si>
    <t xml:space="preserve">Non-tax Revenues</t>
  </si>
  <si>
    <t xml:space="preserve">BTr Income</t>
  </si>
  <si>
    <t xml:space="preserve">Fees and Charges  </t>
  </si>
  <si>
    <t xml:space="preserve">Privatization</t>
  </si>
  <si>
    <t xml:space="preserve">Income from Malampaya</t>
  </si>
  <si>
    <t xml:space="preserve">Other non-tax</t>
  </si>
  <si>
    <t xml:space="preserve">Grants</t>
  </si>
  <si>
    <t xml:space="preserve">Expenditures</t>
  </si>
  <si>
    <t xml:space="preserve">Allotment to LGUs</t>
  </si>
  <si>
    <t xml:space="preserve">Interest Payments</t>
  </si>
  <si>
    <t xml:space="preserve">Tax Expenditures</t>
  </si>
  <si>
    <r>
      <rPr>
        <sz val="11"/>
        <rFont val="Arial"/>
        <family val="2"/>
        <charset val="1"/>
      </rPr>
      <t xml:space="preserve">Subsidy </t>
    </r>
    <r>
      <rPr>
        <i val="true"/>
        <vertAlign val="superscript"/>
        <sz val="11"/>
        <rFont val="Arial"/>
        <family val="2"/>
        <charset val="1"/>
      </rPr>
      <t xml:space="preserve"> </t>
    </r>
  </si>
  <si>
    <t xml:space="preserve"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</si>
  <si>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</si>
  <si>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 val="true"/>
        <vertAlign val="superscript"/>
        <sz val="11"/>
        <rFont val="Arial"/>
        <family val="2"/>
        <charset val="1"/>
      </rPr>
      <t xml:space="preserve"> </t>
    </r>
  </si>
  <si>
    <t xml:space="preserve">Surplus/(-)Deficit</t>
  </si>
  <si>
    <t xml:space="preserve">Financing</t>
  </si>
  <si>
    <t xml:space="preserve">External (Net)</t>
  </si>
  <si>
    <t xml:space="preserve">External (Gross)</t>
  </si>
  <si>
    <t xml:space="preserve">Less: Amortization</t>
  </si>
  <si>
    <t xml:space="preserve">Domestic (Net)</t>
  </si>
  <si>
    <t xml:space="preserve">Domestic (Gross)</t>
  </si>
  <si>
    <t xml:space="preserve">Less: Net Amortization</t>
  </si>
  <si>
    <t xml:space="preserve">Amortization    </t>
  </si>
  <si>
    <r>
      <rPr>
        <i val="true"/>
        <sz val="11"/>
        <rFont val="Arial"/>
        <family val="2"/>
        <charset val="1"/>
      </rPr>
      <t xml:space="preserve">of which: Redemption from BSF</t>
    </r>
    <r>
      <rPr>
        <i val="true"/>
        <vertAlign val="superscript"/>
        <sz val="11"/>
        <rFont val="Arial"/>
        <family val="2"/>
        <charset val="1"/>
      </rPr>
      <t xml:space="preserve">  1/</t>
    </r>
  </si>
  <si>
    <t xml:space="preserve">Change-In-Cash</t>
  </si>
  <si>
    <t xml:space="preserve">Notes:</t>
  </si>
  <si>
    <r>
      <rPr>
        <i val="true"/>
        <sz val="10"/>
        <rFont val="Arial"/>
        <family val="2"/>
        <charset val="1"/>
      </rPr>
      <t xml:space="preserve">This version follows the GFSM 2014 concept wherein reporting of debt amortization reflect the actual principal repayments to creditor including those serviced by the BSF;</t>
    </r>
    <r>
      <rPr>
        <i val="true"/>
        <sz val="10"/>
        <color rgb="FFFFFFFF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while financing includes gross proceeds of liability management transactions such as bond exchange.</t>
    </r>
  </si>
  <si>
    <t xml:space="preserve">1/</t>
  </si>
  <si>
    <t xml:space="preserve">Excludes actual disbursement from MDS Trust Accounts amounting to P17,370 Million. </t>
  </si>
  <si>
    <t xml:space="preserve">The amount was sourced from the Bond Sinking Fund.</t>
  </si>
  <si>
    <t xml:space="preserve">Source: COR(FPAD-RS)</t>
  </si>
  <si>
    <t xml:space="preserve">CY 2022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</si>
  <si>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</si>
  <si>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</si>
  <si>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</si>
  <si>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</si>
  <si>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</si>
  <si>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</si>
  <si>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</si>
  <si>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</si>
  <si>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t xml:space="preserve">2/</t>
  </si>
  <si>
    <t xml:space="preserve">RTB issuance in September is net of the exchange amounting to 43,769 million (as part of the Liability mnagement exercise of NG) in which maturity is on Feb. 2023.</t>
  </si>
  <si>
    <t xml:space="preserve">CY 2021</t>
  </si>
  <si>
    <t xml:space="preserve">Sept</t>
  </si>
  <si>
    <r>
      <rPr>
        <sz val="11"/>
        <rFont val="Arial"/>
        <family val="2"/>
        <charset val="1"/>
      </rPr>
      <t xml:space="preserve">Subsidy </t>
    </r>
    <r>
      <rPr>
        <i val="true"/>
        <vertAlign val="superscript"/>
        <sz val="11"/>
        <rFont val="Arial"/>
        <family val="2"/>
        <charset val="1"/>
      </rPr>
      <t xml:space="preserve"> 1/</t>
    </r>
  </si>
  <si>
    <r>
      <rPr>
        <sz val="11"/>
        <rFont val="Arial"/>
        <family val="2"/>
        <charset val="1"/>
      </rPr>
      <t xml:space="preserve">NG Disbursements </t>
    </r>
    <r>
      <rPr>
        <i val="true"/>
        <vertAlign val="superscript"/>
        <sz val="11"/>
        <rFont val="Arial"/>
        <family val="2"/>
        <charset val="1"/>
      </rPr>
      <t xml:space="preserve"> 2/</t>
    </r>
  </si>
  <si>
    <t xml:space="preserve">Amortization</t>
  </si>
  <si>
    <r>
      <rPr>
        <i val="true"/>
        <sz val="11"/>
        <rFont val="Arial"/>
        <family val="2"/>
        <charset val="1"/>
      </rPr>
      <t xml:space="preserve">of which: Redemption from BSF</t>
    </r>
    <r>
      <rPr>
        <i val="true"/>
        <vertAlign val="superscript"/>
        <sz val="11"/>
        <rFont val="Arial"/>
        <family val="2"/>
        <charset val="1"/>
      </rPr>
      <t xml:space="preserve">  3/</t>
    </r>
  </si>
  <si>
    <r>
      <rPr>
        <i val="true"/>
        <sz val="10"/>
        <rFont val="Arial Narrow"/>
        <family val="2"/>
        <charset val="1"/>
      </rPr>
      <t xml:space="preserve">This version follows the GFSM 2014 concept wherein reporting of debt amortization reflect the actual principal repayments to creditor including those serviced by the BSF;</t>
    </r>
    <r>
      <rPr>
        <i val="true"/>
        <sz val="10"/>
        <color rgb="FFFFFFFF"/>
        <rFont val="Arial Narrow"/>
        <family val="2"/>
        <charset val="1"/>
      </rPr>
      <t xml:space="preserve"> </t>
    </r>
    <r>
      <rPr>
        <i val="true"/>
        <sz val="10"/>
        <rFont val="Arial Narrow"/>
        <family val="2"/>
        <charset val="1"/>
      </rPr>
      <t xml:space="preserve">while financing includes gross proceeds of liability management transactions such as bond exchange.</t>
    </r>
  </si>
  <si>
    <t xml:space="preserve">Excludes repayment on advances from the Conversion into Subsidy of NFA pere SARO-BMB-C-21-0000447 dated per Jev # 01-2021-02-01569 dated Feb. 26, 2021</t>
  </si>
  <si>
    <t xml:space="preserve">Excludes actual disbursement from MDS Trust Accounts amounting to P60,511 Million. Recognized transfer/disb for the Coconut Farmers &amp; Industry Development Plan in September amounting to P10.0 billion.</t>
  </si>
  <si>
    <t xml:space="preserve">3/</t>
  </si>
  <si>
    <t xml:space="preserve">CY 2020</t>
  </si>
  <si>
    <t xml:space="preserve">Mar *</t>
  </si>
  <si>
    <t xml:space="preserve">Other Offices **</t>
  </si>
  <si>
    <t xml:space="preserve">Fees and Charges  **</t>
  </si>
  <si>
    <t xml:space="preserve">Subsidy</t>
  </si>
  <si>
    <t xml:space="preserve">Net Lending</t>
  </si>
  <si>
    <t xml:space="preserve">NG Disbursements</t>
  </si>
  <si>
    <t xml:space="preserve">of which: Redemption from BSF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</si>
  <si>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</si>
  <si>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</si>
  <si>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</si>
  <si>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 xml:space="preserve">**</t>
  </si>
  <si>
    <t xml:space="preserve">No reported collections for the month of May due to the imposition of ECQ nationwide.</t>
  </si>
  <si>
    <t xml:space="preserve">CY 2019</t>
  </si>
  <si>
    <t xml:space="preserve">Other Offices</t>
  </si>
  <si>
    <t xml:space="preserve">Fees and Charges</t>
  </si>
  <si>
    <t xml:space="preserve">1/ BIR and BOC collections are Net of Tax Refund</t>
  </si>
  <si>
    <t xml:space="preserve">2/ </t>
  </si>
  <si>
    <t xml:space="preserve">No actual releases in January due to delay in the issuance of NCA due to deffered passage of 2019 GAA</t>
  </si>
  <si>
    <t xml:space="preserve">CY 2018</t>
  </si>
  <si>
    <t xml:space="preserve">Prepared by: BTr/SDAD</t>
  </si>
  <si>
    <t xml:space="preserve">CY 2017</t>
  </si>
  <si>
    <t xml:space="preserve">(Version 1)</t>
  </si>
  <si>
    <t xml:space="preserve">Less: Payments</t>
  </si>
  <si>
    <t xml:space="preserve">Less: Payments </t>
  </si>
  <si>
    <t xml:space="preserve">Financing reporting reflect the net proceeds of liability management transactions such as bond exchange</t>
  </si>
  <si>
    <t xml:space="preserve">Domestic Amortization includes contribution to BSF and repayments/redemptions other than BSF.</t>
  </si>
  <si>
    <t xml:space="preserve">CY 2016</t>
  </si>
  <si>
    <t xml:space="preserve">June</t>
  </si>
  <si>
    <t xml:space="preserve">July</t>
  </si>
  <si>
    <t xml:space="preserve">CY 2015</t>
  </si>
  <si>
    <t xml:space="preserve">CY 2014</t>
  </si>
  <si>
    <t xml:space="preserve">Others</t>
  </si>
  <si>
    <t xml:space="preserve">Prepared by: SDAD-BTr</t>
  </si>
  <si>
    <t xml:space="preserve"> Jan</t>
  </si>
  <si>
    <t xml:space="preserve">Marcos Wealth</t>
  </si>
  <si>
    <t xml:space="preserve">CY 2013</t>
  </si>
  <si>
    <r>
      <rPr>
        <i val="true"/>
        <sz val="11"/>
        <rFont val="Arial"/>
        <family val="2"/>
        <charset val="1"/>
      </rPr>
      <t xml:space="preserve">This version follows the GFSM 2014 concept wherein reporting of debt amortization reflect the actual principal repayments to creditor including those serviced by the BSF;</t>
    </r>
    <r>
      <rPr>
        <i val="true"/>
        <sz val="11"/>
        <color rgb="FFFFFFFF"/>
        <rFont val="Arial"/>
        <family val="2"/>
        <charset val="1"/>
      </rPr>
      <t xml:space="preserve"> </t>
    </r>
    <r>
      <rPr>
        <i val="true"/>
        <sz val="11"/>
        <rFont val="Arial"/>
        <family val="2"/>
        <charset val="1"/>
      </rPr>
      <t xml:space="preserve">while financing includes gross proceeds of liability management transactions such as bond exchange.</t>
    </r>
  </si>
  <si>
    <t xml:space="preserve">CY 2012</t>
  </si>
  <si>
    <t xml:space="preserve">Fees and Other Charges</t>
  </si>
  <si>
    <t xml:space="preserve">CY 2011</t>
  </si>
  <si>
    <t xml:space="preserve">CY 2010</t>
  </si>
  <si>
    <t xml:space="preserve">       Jan</t>
  </si>
  <si>
    <t xml:space="preserve">CY 2009</t>
  </si>
  <si>
    <t xml:space="preserve">CY 2008</t>
  </si>
  <si>
    <t xml:space="preserve"> Mar</t>
  </si>
  <si>
    <t xml:space="preserve">CY 2007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</si>
  <si>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</si>
  <si>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</si>
  <si>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</si>
  <si>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</si>
  <si>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</si>
  <si>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</si>
  <si>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</si>
  <si>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</si>
  <si>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</si>
  <si>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 xml:space="preserve">CY 2006</t>
  </si>
  <si>
    <t xml:space="preserve">CY 2005</t>
  </si>
  <si>
    <t xml:space="preserve">CY 2004</t>
  </si>
  <si>
    <t xml:space="preserve">National Government Cash Operations Report</t>
  </si>
  <si>
    <t xml:space="preserve">CY 2003 </t>
  </si>
  <si>
    <t xml:space="preserve">TOTAL</t>
  </si>
  <si>
    <r>
      <rPr>
        <sz val="11"/>
        <rFont val="Arial"/>
        <family val="2"/>
        <charset val="1"/>
      </rPr>
      <t xml:space="preserve"> </t>
    </r>
    <r>
      <rPr>
        <b val="true"/>
        <i val="true"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Doc. Stamp Tax</t>
    </r>
  </si>
  <si>
    <r>
      <rPr>
        <sz val="11"/>
        <rFont val="Arial"/>
        <family val="2"/>
        <charset val="1"/>
      </rPr>
      <t xml:space="preserve"> </t>
    </r>
    <r>
      <rPr>
        <b val="true"/>
        <i val="true"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Tax Expenditures</t>
    </r>
  </si>
  <si>
    <t xml:space="preserve">Surplus/(Deficit)</t>
  </si>
  <si>
    <t xml:space="preserve">p/ - preliminary</t>
  </si>
  <si>
    <t xml:space="preserve">Source: COR(FPAD-BTr)</t>
  </si>
  <si>
    <t xml:space="preserve">Prepared by: SDAD</t>
  </si>
  <si>
    <t xml:space="preserve">CY 2002 </t>
  </si>
  <si>
    <r>
      <rPr>
        <sz val="11"/>
        <rFont val="Arial"/>
        <family val="2"/>
        <charset val="1"/>
      </rPr>
      <t xml:space="preserve">  </t>
    </r>
    <r>
      <rPr>
        <b val="true"/>
        <i val="true"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 xml:space="preserve">Doc. Stamp Tax</t>
    </r>
  </si>
  <si>
    <r>
      <rPr>
        <sz val="11"/>
        <rFont val="Arial"/>
        <family val="2"/>
        <charset val="1"/>
      </rPr>
      <t xml:space="preserve">  </t>
    </r>
    <r>
      <rPr>
        <b val="true"/>
        <i val="true"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 xml:space="preserve">Tax Expenditures</t>
    </r>
  </si>
  <si>
    <t xml:space="preserve">CY 2001 </t>
  </si>
  <si>
    <r>
      <rPr>
        <sz val="11"/>
        <rFont val="Arial"/>
        <family val="2"/>
        <charset val="1"/>
      </rPr>
      <t xml:space="preserve">  </t>
    </r>
    <r>
      <rPr>
        <b val="true"/>
        <i val="true"/>
        <sz val="11"/>
        <rFont val="Arial"/>
        <family val="2"/>
        <charset val="1"/>
      </rPr>
      <t xml:space="preserve">o.w.</t>
    </r>
    <r>
      <rPr>
        <sz val="11"/>
        <rFont val="Arial"/>
        <family val="2"/>
        <charset val="1"/>
      </rPr>
      <t xml:space="preserve"> Tax Expenditures</t>
    </r>
  </si>
  <si>
    <t xml:space="preserve">CY 2000 </t>
  </si>
  <si>
    <t xml:space="preserve">CARP</t>
  </si>
  <si>
    <t xml:space="preserve">Tax  Expenditures</t>
  </si>
  <si>
    <t xml:space="preserve">CY 1999</t>
  </si>
  <si>
    <t xml:space="preserve">Fees &amp; Other Charges</t>
  </si>
  <si>
    <t xml:space="preserve">SDAD/RS/BTr  </t>
  </si>
  <si>
    <t xml:space="preserve">CY 1998 </t>
  </si>
  <si>
    <t xml:space="preserve">National Government Cash Operations</t>
  </si>
  <si>
    <t xml:space="preserve">CY 1997</t>
  </si>
  <si>
    <t xml:space="preserve">CY 1996</t>
  </si>
  <si>
    <t xml:space="preserve">CY 1995</t>
  </si>
  <si>
    <t xml:space="preserve">Change in Cash</t>
  </si>
  <si>
    <t xml:space="preserve">CY 1994</t>
  </si>
  <si>
    <t xml:space="preserve">CY 1993</t>
  </si>
  <si>
    <t xml:space="preserve">Economic Support Fund</t>
  </si>
  <si>
    <t xml:space="preserve">Change-in-cash</t>
  </si>
  <si>
    <t xml:space="preserve">CY 1992</t>
  </si>
  <si>
    <t xml:space="preserve">Change-in-Cash</t>
  </si>
  <si>
    <t xml:space="preserve">CY 1991</t>
  </si>
  <si>
    <t xml:space="preserve">CY 1990</t>
  </si>
  <si>
    <t xml:space="preserve">CY 1989</t>
  </si>
  <si>
    <t xml:space="preserve">Sale of Assets</t>
  </si>
  <si>
    <t xml:space="preserve">CY 1988</t>
  </si>
  <si>
    <t xml:space="preserve">CY 1987</t>
  </si>
  <si>
    <t xml:space="preserve">CY 1986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</si>
</sst>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(* #,##0.00_);_(* \(#,##0.00\);_(* \-??_);_(@_)"/>
    <numFmt numFmtId="166" formatCode="#,##0"/>
    <numFmt numFmtId="167" formatCode="mmm/yy"/>
    <numFmt numFmtId="168" formatCode="#,##0_ ;[RED]\-#,##0\ "/>
    <numFmt numFmtId="169" formatCode="#,##0_);\(#,##0\)"/>
    <numFmt numFmtId="170" formatCode="d/mmm/yy"/>
    <numFmt numFmtId="171" formatCode="#,##0_);\(#,##0\)"/>
    <numFmt numFmtId="172" formatCode="m/d/yyyy"/>
    <numFmt numFmtId="173" formatCode="d/mmm"/>
    <numFmt numFmtId="174" formatCode="#,##0;[RED]#,##0"/>
    <numFmt numFmtId="175" formatCode="_(* #,##0_);_(* \(#,##0\);_(* \-_);_(@_)"/>
    <numFmt numFmtId="176" formatCode="#,##0_);[RED]\(#,##0\)"/>
    <numFmt numFmtId="177" formatCode="_-* #,##0.00_-;\-* #,##0.00_-;_-* \-??_-;_-@_-"/>
    <numFmt numFmtId="178" formatCode="0.00"/>
  </numFmts>
  <fonts count="3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i val="true"/>
      <sz val="11"/>
      <name val="Arial"/>
      <family val="2"/>
      <charset val="1"/>
    </font>
    <font>
      <b val="true"/>
      <u val="single"/>
      <sz val="11"/>
      <name val="Arial"/>
      <family val="2"/>
      <charset val="1"/>
    </font>
    <font>
      <i val="true"/>
      <vertAlign val="superscript"/>
      <sz val="11"/>
      <name val="Arial"/>
      <family val="2"/>
      <charset val="1"/>
    </font>
    <font>
      <u val="single"/>
      <sz val="11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b val="true"/>
      <i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 val="true"/>
      <sz val="9"/>
      <name val="Arial"/>
      <family val="2"/>
      <charset val="1"/>
    </font>
    <font>
      <i val="true"/>
      <sz val="10"/>
      <name val="Arial Narrow"/>
      <family val="2"/>
      <charset val="1"/>
    </font>
    <font>
      <i val="true"/>
      <sz val="10"/>
      <color rgb="FFFF0000"/>
      <name val="Arial Narrow"/>
      <family val="2"/>
      <charset val="1"/>
    </font>
    <font>
      <i val="true"/>
      <sz val="10"/>
      <color rgb="FFFFFFFF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i val="true"/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FFFFFF"/>
      <name val="Arial"/>
      <family val="2"/>
      <charset val="1"/>
    </font>
    <font>
      <i val="true"/>
      <sz val="11"/>
      <color rgb="FFFF0000"/>
      <name val="Arial"/>
      <family val="2"/>
      <charset val="1"/>
    </font>
    <font>
      <b val="true"/>
      <i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6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1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31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3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31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3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3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29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2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29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23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0" xfId="2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9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23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29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20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3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23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2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1" fontId="1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2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omma 3" xfId="22"/>
    <cellStyle name="Normal 2" xfId="23"/>
    <cellStyle name="Normal 3" xfId="24"/>
    <cellStyle name="Normal 4" xfId="25"/>
    <cellStyle name="Normal 5" xfId="26"/>
    <cellStyle name="Normal 6" xfId="27"/>
    <cellStyle name="Normal 6 2" xfId="28"/>
    <cellStyle name="Normal 6 3" xfId="29"/>
    <cellStyle name="Normal 7" xfId="30"/>
    <cellStyle name="Normal 8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.3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29"/>
    <col collapsed="false" customWidth="true" hidden="false" outlineLevel="0" max="6" min="6" style="1" width="12.57"/>
    <col collapsed="false" customWidth="true" hidden="false" outlineLevel="0" max="7" min="7" style="1" width="12.14"/>
    <col collapsed="false" customWidth="true" hidden="false" outlineLevel="0" max="9" min="8" style="1" width="11.3"/>
    <col collapsed="false" customWidth="true" hidden="false" outlineLevel="0" max="11" min="10" style="1" width="10.13"/>
    <col collapsed="false" customWidth="true" hidden="false" outlineLevel="0" max="12" min="12" style="1" width="10.99"/>
    <col collapsed="false" customWidth="false" hidden="false" outlineLevel="0" max="1024" min="13" style="1" width="9.13"/>
  </cols>
  <sheetData>
    <row r="1" customFormat="false" ht="6" hidden="false" customHeight="true" outlineLevel="0" collapsed="false"/>
    <row r="2" customFormat="false" ht="15" hidden="false" customHeight="false" outlineLevel="0" collapsed="false">
      <c r="A2" s="2" t="s">
        <v>0</v>
      </c>
      <c r="B2" s="2"/>
      <c r="C2" s="2"/>
      <c r="D2" s="2"/>
      <c r="E2" s="2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 t="s">
        <v>3</v>
      </c>
      <c r="B5" s="3"/>
    </row>
    <row r="6" customFormat="false" ht="6" hidden="false" customHeight="true" outlineLevel="0" collapsed="false"/>
    <row r="7" s="6" customFormat="true" ht="25.5" hidden="false" customHeight="true" outlineLevel="0" collapsed="false">
      <c r="A7" s="5" t="s">
        <v>4</v>
      </c>
      <c r="B7" s="5"/>
      <c r="C7" s="5"/>
      <c r="D7" s="5"/>
      <c r="E7" s="5"/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</row>
    <row r="8" customFormat="false" ht="6.75" hidden="false" customHeight="true" outlineLevel="0" collapsed="false"/>
    <row r="9" customFormat="false" ht="15" hidden="false" customHeight="false" outlineLevel="0" collapsed="false">
      <c r="B9" s="7" t="s">
        <v>12</v>
      </c>
      <c r="C9" s="7"/>
      <c r="D9" s="7"/>
      <c r="E9" s="7"/>
      <c r="F9" s="8" t="n">
        <f aca="false">+F10+F21+F28</f>
        <v>348167.25</v>
      </c>
      <c r="G9" s="8" t="n">
        <f aca="false">+G10+G21+G28</f>
        <v>211868</v>
      </c>
      <c r="H9" s="8" t="n">
        <f aca="false">+H10+H21+H28</f>
        <v>258650</v>
      </c>
      <c r="I9" s="8" t="n">
        <f aca="false">+I10+I21+I28</f>
        <v>440696.81</v>
      </c>
      <c r="J9" s="8" t="n">
        <f aca="false">+J10+J21+J28</f>
        <v>333437</v>
      </c>
      <c r="K9" s="8" t="n">
        <f aca="false">+K10+K21+K28</f>
        <v>267315</v>
      </c>
      <c r="L9" s="8" t="n">
        <f aca="false">+L10+L21+L28</f>
        <v>1860134.06</v>
      </c>
    </row>
    <row r="10" customFormat="false" ht="15" hidden="false" customHeight="false" outlineLevel="0" collapsed="false">
      <c r="C10" s="1" t="s">
        <v>13</v>
      </c>
      <c r="F10" s="8" t="n">
        <f aca="false">+F11+F16+F19</f>
        <v>306973</v>
      </c>
      <c r="G10" s="8" t="n">
        <f aca="false">+G11+G16+G19</f>
        <v>194051</v>
      </c>
      <c r="H10" s="8" t="n">
        <f aca="false">+H11+H16+H19</f>
        <v>221793</v>
      </c>
      <c r="I10" s="8" t="n">
        <f aca="false">+I11+I16+I19</f>
        <v>403589</v>
      </c>
      <c r="J10" s="8" t="n">
        <f aca="false">+J11+J16+J19</f>
        <v>291711</v>
      </c>
      <c r="K10" s="8" t="n">
        <f aca="false">+K11+K16+K19</f>
        <v>238870</v>
      </c>
      <c r="L10" s="8" t="n">
        <f aca="false">+L11+L16+L19</f>
        <v>1656987</v>
      </c>
    </row>
    <row r="11" customFormat="false" ht="14.25" hidden="false" customHeight="false" outlineLevel="0" collapsed="false">
      <c r="D11" s="1" t="s">
        <v>14</v>
      </c>
      <c r="F11" s="9" t="n">
        <v>234819</v>
      </c>
      <c r="G11" s="9" t="n">
        <v>129378</v>
      </c>
      <c r="H11" s="9" t="n">
        <v>140962</v>
      </c>
      <c r="I11" s="9" t="n">
        <v>336020</v>
      </c>
      <c r="J11" s="9" t="n">
        <v>213273</v>
      </c>
      <c r="K11" s="9" t="n">
        <v>164736</v>
      </c>
      <c r="L11" s="9" t="n">
        <f aca="false">SUM(F11+G11+H11+I11+J11+K11)</f>
        <v>1219188</v>
      </c>
    </row>
    <row r="12" customFormat="false" ht="14.25" hidden="false" customHeight="false" outlineLevel="0" collapsed="false">
      <c r="E12" s="6" t="s">
        <v>15</v>
      </c>
      <c r="F12" s="9"/>
      <c r="G12" s="9"/>
      <c r="H12" s="9"/>
      <c r="I12" s="9"/>
      <c r="J12" s="9"/>
      <c r="K12" s="9"/>
      <c r="L12" s="9"/>
    </row>
    <row r="13" customFormat="false" ht="14.25" hidden="false" customHeight="false" outlineLevel="0" collapsed="false">
      <c r="E13" s="1" t="s">
        <v>16</v>
      </c>
      <c r="F13" s="10" t="n">
        <v>0</v>
      </c>
      <c r="G13" s="9" t="n">
        <v>646</v>
      </c>
      <c r="H13" s="9" t="n">
        <v>2704</v>
      </c>
      <c r="I13" s="9" t="n">
        <v>3131</v>
      </c>
      <c r="J13" s="9" t="n">
        <v>1485</v>
      </c>
      <c r="K13" s="9" t="n">
        <v>1033</v>
      </c>
      <c r="L13" s="9" t="n">
        <f aca="false">SUM(F13+G13+H13+I13+J13+K13)</f>
        <v>8999</v>
      </c>
    </row>
    <row r="14" customFormat="false" ht="14.25" hidden="false" customHeight="false" outlineLevel="0" collapsed="false">
      <c r="E14" s="1" t="s">
        <v>17</v>
      </c>
      <c r="F14" s="9" t="n">
        <v>723</v>
      </c>
      <c r="G14" s="9" t="n">
        <v>5</v>
      </c>
      <c r="H14" s="9" t="n">
        <v>40</v>
      </c>
      <c r="I14" s="9" t="n">
        <v>42</v>
      </c>
      <c r="J14" s="9" t="n">
        <v>34</v>
      </c>
      <c r="K14" s="9" t="n">
        <v>2463</v>
      </c>
      <c r="L14" s="9" t="n">
        <f aca="false">SUM(F14+G14+H14+I14+J14+K14)</f>
        <v>3307</v>
      </c>
    </row>
    <row r="15" customFormat="false" ht="6" hidden="false" customHeight="true" outlineLevel="0" collapsed="false">
      <c r="F15" s="9"/>
      <c r="G15" s="9"/>
      <c r="H15" s="9"/>
      <c r="I15" s="9"/>
      <c r="J15" s="9"/>
      <c r="K15" s="9"/>
      <c r="L15" s="9"/>
    </row>
    <row r="16" customFormat="false" ht="14.25" hidden="false" customHeight="false" outlineLevel="0" collapsed="false">
      <c r="D16" s="1" t="s">
        <v>18</v>
      </c>
      <c r="F16" s="11" t="n">
        <v>70591</v>
      </c>
      <c r="G16" s="9" t="n">
        <v>62895</v>
      </c>
      <c r="H16" s="9" t="n">
        <v>80343</v>
      </c>
      <c r="I16" s="9" t="n">
        <v>67553</v>
      </c>
      <c r="J16" s="9" t="n">
        <v>77926</v>
      </c>
      <c r="K16" s="9" t="n">
        <v>74125</v>
      </c>
      <c r="L16" s="9" t="n">
        <f aca="false">SUM(F16+G16+H16+I16+J16+K16)</f>
        <v>433433</v>
      </c>
    </row>
    <row r="17" customFormat="false" ht="14.25" hidden="false" customHeight="false" outlineLevel="0" collapsed="false">
      <c r="E17" s="6" t="s">
        <v>15</v>
      </c>
      <c r="F17" s="9"/>
      <c r="G17" s="9"/>
      <c r="H17" s="9"/>
      <c r="I17" s="9"/>
      <c r="J17" s="9"/>
      <c r="K17" s="9"/>
      <c r="L17" s="9"/>
    </row>
    <row r="18" customFormat="false" ht="14.25" hidden="false" customHeight="false" outlineLevel="0" collapsed="false">
      <c r="E18" s="1" t="s">
        <v>17</v>
      </c>
      <c r="F18" s="10" t="n">
        <v>0</v>
      </c>
      <c r="G18" s="9" t="n">
        <v>132</v>
      </c>
      <c r="H18" s="9" t="n">
        <v>46</v>
      </c>
      <c r="I18" s="9" t="n">
        <v>0</v>
      </c>
      <c r="J18" s="9" t="n">
        <v>317</v>
      </c>
      <c r="K18" s="9" t="n">
        <v>325</v>
      </c>
      <c r="L18" s="9" t="n">
        <f aca="false">SUM(F18+G18+H18+I18+J18+K18)</f>
        <v>820</v>
      </c>
    </row>
    <row r="19" customFormat="false" ht="14.25" hidden="false" customHeight="false" outlineLevel="0" collapsed="false">
      <c r="D19" s="1" t="s">
        <v>19</v>
      </c>
      <c r="F19" s="11" t="n">
        <v>1563</v>
      </c>
      <c r="G19" s="9" t="n">
        <v>1778</v>
      </c>
      <c r="H19" s="9" t="n">
        <v>488</v>
      </c>
      <c r="I19" s="9" t="n">
        <v>16</v>
      </c>
      <c r="J19" s="9" t="n">
        <v>512</v>
      </c>
      <c r="K19" s="9" t="n">
        <v>9</v>
      </c>
      <c r="L19" s="9" t="n">
        <f aca="false">SUM(F19+G19+H19+I19+J19+K19)</f>
        <v>4366</v>
      </c>
    </row>
    <row r="20" customFormat="false" ht="14.25" hidden="false" customHeight="false" outlineLevel="0" collapsed="false">
      <c r="F20" s="9"/>
      <c r="G20" s="9"/>
      <c r="H20" s="9"/>
      <c r="I20" s="9"/>
      <c r="J20" s="9"/>
      <c r="K20" s="9"/>
      <c r="L20" s="9"/>
    </row>
    <row r="21" customFormat="false" ht="15" hidden="false" customHeight="false" outlineLevel="0" collapsed="false">
      <c r="C21" s="1" t="s">
        <v>20</v>
      </c>
      <c r="F21" s="8" t="n">
        <f aca="false">SUM(F22:F26)</f>
        <v>41184</v>
      </c>
      <c r="G21" s="8" t="n">
        <f aca="false">SUM(G22:G26)</f>
        <v>17817</v>
      </c>
      <c r="H21" s="8" t="n">
        <f aca="false">SUM(H22:H26)</f>
        <v>36857</v>
      </c>
      <c r="I21" s="8" t="n">
        <f aca="false">SUM(I22:I26)</f>
        <v>37086.81</v>
      </c>
      <c r="J21" s="8" t="n">
        <f aca="false">SUM(J22:J26)</f>
        <v>41710</v>
      </c>
      <c r="K21" s="8" t="n">
        <f aca="false">SUM(K22:K26)</f>
        <v>28287</v>
      </c>
      <c r="L21" s="8" t="n">
        <f aca="false">SUM(L22:L26)</f>
        <v>202941.81</v>
      </c>
    </row>
    <row r="22" customFormat="false" ht="14.25" hidden="false" customHeight="false" outlineLevel="0" collapsed="false">
      <c r="D22" s="1" t="s">
        <v>21</v>
      </c>
      <c r="F22" s="9" t="n">
        <v>17753</v>
      </c>
      <c r="G22" s="9" t="n">
        <v>6398</v>
      </c>
      <c r="H22" s="9" t="n">
        <v>14873</v>
      </c>
      <c r="I22" s="9" t="n">
        <v>18271</v>
      </c>
      <c r="J22" s="9" t="n">
        <v>24942</v>
      </c>
      <c r="K22" s="9" t="n">
        <v>10753</v>
      </c>
      <c r="L22" s="9" t="n">
        <f aca="false">SUM(F22+G22+H22+I22+J22+K22)</f>
        <v>92990</v>
      </c>
    </row>
    <row r="23" customFormat="false" ht="14.25" hidden="false" customHeight="false" outlineLevel="0" collapsed="false">
      <c r="D23" s="1" t="s">
        <v>22</v>
      </c>
      <c r="F23" s="12" t="n">
        <v>2254</v>
      </c>
      <c r="G23" s="12" t="n">
        <v>1391</v>
      </c>
      <c r="H23" s="12" t="n">
        <v>1454</v>
      </c>
      <c r="I23" s="12" t="n">
        <v>1015</v>
      </c>
      <c r="J23" s="12" t="n">
        <v>390</v>
      </c>
      <c r="K23" s="12" t="n">
        <v>481</v>
      </c>
      <c r="L23" s="9" t="n">
        <f aca="false">SUM(F23+G23+H23+I23+J23+K23)</f>
        <v>6985</v>
      </c>
    </row>
    <row r="24" customFormat="false" ht="14.25" hidden="false" customHeight="false" outlineLevel="0" collapsed="false">
      <c r="D24" s="1" t="s">
        <v>23</v>
      </c>
      <c r="F24" s="9" t="n">
        <v>0</v>
      </c>
      <c r="G24" s="9" t="n">
        <v>22</v>
      </c>
      <c r="H24" s="9" t="n">
        <v>6</v>
      </c>
      <c r="I24" s="9" t="n">
        <v>8.81</v>
      </c>
      <c r="J24" s="9" t="n">
        <v>12</v>
      </c>
      <c r="K24" s="9" t="n">
        <v>3</v>
      </c>
      <c r="L24" s="9" t="n">
        <f aca="false">SUM(F24+G24+H24+I24+J24+K24)</f>
        <v>51.81</v>
      </c>
    </row>
    <row r="25" customFormat="false" ht="14.25" hidden="false" customHeight="false" outlineLevel="0" collapsed="false">
      <c r="D25" s="1" t="s">
        <v>24</v>
      </c>
      <c r="F25" s="11" t="n">
        <v>10514</v>
      </c>
      <c r="G25" s="9" t="n">
        <v>2077</v>
      </c>
      <c r="H25" s="9" t="n">
        <v>1653</v>
      </c>
      <c r="I25" s="9" t="n">
        <v>370</v>
      </c>
      <c r="J25" s="9" t="n">
        <v>1182</v>
      </c>
      <c r="K25" s="9" t="n">
        <v>1316</v>
      </c>
      <c r="L25" s="9" t="n">
        <f aca="false">SUM(F25+G25+H25+I25+J25+K25)</f>
        <v>17112</v>
      </c>
    </row>
    <row r="26" customFormat="false" ht="14.25" hidden="false" customHeight="false" outlineLevel="0" collapsed="false">
      <c r="D26" s="1" t="s">
        <v>25</v>
      </c>
      <c r="F26" s="9" t="n">
        <v>10663</v>
      </c>
      <c r="G26" s="9" t="n">
        <v>7929</v>
      </c>
      <c r="H26" s="9" t="n">
        <v>18871</v>
      </c>
      <c r="I26" s="9" t="n">
        <v>17422</v>
      </c>
      <c r="J26" s="9" t="n">
        <v>15184</v>
      </c>
      <c r="K26" s="9" t="n">
        <v>15734</v>
      </c>
      <c r="L26" s="9" t="n">
        <f aca="false">SUM(F26+G26+H26+I26+J26+K26)</f>
        <v>85803</v>
      </c>
    </row>
    <row r="27" customFormat="false" ht="14.25" hidden="false" customHeight="false" outlineLevel="0" collapsed="false">
      <c r="F27" s="9"/>
      <c r="G27" s="9"/>
      <c r="H27" s="9"/>
      <c r="I27" s="9"/>
      <c r="J27" s="9"/>
      <c r="K27" s="9"/>
      <c r="L27" s="9"/>
    </row>
    <row r="28" customFormat="false" ht="14.25" hidden="false" customHeight="false" outlineLevel="0" collapsed="false">
      <c r="C28" s="1" t="s">
        <v>26</v>
      </c>
      <c r="F28" s="9" t="n">
        <v>10.25</v>
      </c>
      <c r="G28" s="9" t="n">
        <v>0</v>
      </c>
      <c r="H28" s="9" t="n">
        <v>0</v>
      </c>
      <c r="I28" s="9" t="n">
        <v>21</v>
      </c>
      <c r="J28" s="9" t="n">
        <v>16</v>
      </c>
      <c r="K28" s="9" t="n">
        <v>158</v>
      </c>
      <c r="L28" s="9" t="n">
        <f aca="false">SUM(F28+G28+H28+I28+J28+K28)</f>
        <v>205.25</v>
      </c>
    </row>
    <row r="29" customFormat="false" ht="14.25" hidden="false" customHeight="false" outlineLevel="0" collapsed="false">
      <c r="F29" s="9"/>
      <c r="G29" s="9"/>
      <c r="H29" s="9"/>
      <c r="I29" s="9"/>
      <c r="J29" s="9"/>
      <c r="K29" s="9"/>
      <c r="L29" s="9"/>
    </row>
    <row r="30" customFormat="false" ht="15" hidden="false" customHeight="false" outlineLevel="0" collapsed="false">
      <c r="B30" s="7" t="s">
        <v>27</v>
      </c>
      <c r="C30" s="7"/>
      <c r="D30" s="7"/>
      <c r="E30" s="7"/>
      <c r="F30" s="8" t="n">
        <f aca="false">SUM(F31:F37)</f>
        <v>302418</v>
      </c>
      <c r="G30" s="8" t="n">
        <f aca="false">SUM(G31:G37)</f>
        <v>318241</v>
      </c>
      <c r="H30" s="8" t="n">
        <f aca="false">SUM(H31:H37)</f>
        <v>468911</v>
      </c>
      <c r="I30" s="8" t="n">
        <f aca="false">SUM(I31:I37)</f>
        <v>373899</v>
      </c>
      <c r="J30" s="8" t="n">
        <f aca="false">SUM(J31:J37)</f>
        <v>455668</v>
      </c>
      <c r="K30" s="8" t="n">
        <f aca="false">SUM(K31:K37)</f>
        <v>492713</v>
      </c>
      <c r="L30" s="8" t="n">
        <f aca="false">SUM(L31:L37)</f>
        <v>2411850</v>
      </c>
    </row>
    <row r="31" customFormat="false" ht="14.25" hidden="false" customHeight="false" outlineLevel="0" collapsed="false">
      <c r="D31" s="1" t="s">
        <v>28</v>
      </c>
      <c r="F31" s="9" t="n">
        <v>73752</v>
      </c>
      <c r="G31" s="9" t="n">
        <v>73834</v>
      </c>
      <c r="H31" s="9" t="n">
        <v>83271</v>
      </c>
      <c r="I31" s="9" t="n">
        <v>74110</v>
      </c>
      <c r="J31" s="9" t="n">
        <v>74940</v>
      </c>
      <c r="K31" s="9" t="n">
        <v>81485</v>
      </c>
      <c r="L31" s="9" t="n">
        <f aca="false">SUM(F31+G31+H31+I31+J31+K31)</f>
        <v>461392</v>
      </c>
    </row>
    <row r="32" customFormat="false" ht="14.25" hidden="false" customHeight="false" outlineLevel="0" collapsed="false">
      <c r="D32" s="1" t="s">
        <v>29</v>
      </c>
      <c r="F32" s="9" t="n">
        <v>46970</v>
      </c>
      <c r="G32" s="9" t="n">
        <v>34109</v>
      </c>
      <c r="H32" s="9" t="n">
        <v>60898</v>
      </c>
      <c r="I32" s="9" t="n">
        <v>46253</v>
      </c>
      <c r="J32" s="9" t="n">
        <v>41344</v>
      </c>
      <c r="K32" s="9" t="n">
        <v>52884</v>
      </c>
      <c r="L32" s="9" t="n">
        <f aca="false">SUM(F32+G32+H32+I32+J32+K32)</f>
        <v>282458</v>
      </c>
    </row>
    <row r="33" customFormat="false" ht="14.25" hidden="false" customHeight="false" outlineLevel="0" collapsed="false">
      <c r="D33" s="1" t="s">
        <v>30</v>
      </c>
      <c r="F33" s="9" t="n">
        <f aca="false">F13+F14+F18</f>
        <v>723</v>
      </c>
      <c r="G33" s="9" t="n">
        <f aca="false">G13+G14+G18</f>
        <v>783</v>
      </c>
      <c r="H33" s="9" t="n">
        <f aca="false">H13+H14+H18</f>
        <v>2790</v>
      </c>
      <c r="I33" s="9" t="n">
        <f aca="false">I13+I14+I18</f>
        <v>3173</v>
      </c>
      <c r="J33" s="9" t="n">
        <f aca="false">J13+J14+J18</f>
        <v>1836</v>
      </c>
      <c r="K33" s="9" t="n">
        <f aca="false">K13+K14+K18</f>
        <v>3821</v>
      </c>
      <c r="L33" s="9" t="n">
        <f aca="false">SUM(F33+G33+H33+I33+J33+K33)</f>
        <v>13126</v>
      </c>
    </row>
    <row r="34" customFormat="false" ht="17.25" hidden="false" customHeight="true" outlineLevel="0" collapsed="false">
      <c r="D34" s="1" t="s">
        <v>31</v>
      </c>
      <c r="F34" s="9" t="n">
        <v>1112</v>
      </c>
      <c r="G34" s="9" t="n">
        <v>9401</v>
      </c>
      <c r="H34" s="9" t="n">
        <v>10795</v>
      </c>
      <c r="I34" s="9" t="n">
        <v>8962</v>
      </c>
      <c r="J34" s="9" t="n">
        <v>7376</v>
      </c>
      <c r="K34" s="9" t="n">
        <v>26055</v>
      </c>
      <c r="L34" s="9" t="n">
        <f aca="false">SUM(F34+G34+H34+I34+J34+K34)</f>
        <v>63701</v>
      </c>
    </row>
    <row r="35" customFormat="false" ht="14.25" hidden="false" customHeight="false" outlineLevel="0" collapsed="false">
      <c r="D35" s="1" t="s">
        <v>32</v>
      </c>
      <c r="F35" s="9" t="n">
        <v>0</v>
      </c>
      <c r="G35" s="9" t="n">
        <v>11</v>
      </c>
      <c r="H35" s="9" t="n">
        <v>106</v>
      </c>
      <c r="I35" s="9" t="n">
        <v>12</v>
      </c>
      <c r="J35" s="9" t="n">
        <v>38</v>
      </c>
      <c r="K35" s="9" t="n">
        <v>12</v>
      </c>
      <c r="L35" s="9" t="n">
        <f aca="false">SUM(F35+G35+H35+I35+J35+K35)</f>
        <v>179</v>
      </c>
    </row>
    <row r="36" customFormat="false" ht="14.25" hidden="false" customHeight="false" outlineLevel="0" collapsed="false">
      <c r="D36" s="1" t="s">
        <v>33</v>
      </c>
      <c r="F36" s="9" t="n">
        <v>0</v>
      </c>
      <c r="G36" s="9" t="n">
        <v>12</v>
      </c>
      <c r="H36" s="9" t="n">
        <v>628</v>
      </c>
      <c r="I36" s="9" t="n">
        <v>5068</v>
      </c>
      <c r="J36" s="9" t="n">
        <v>45</v>
      </c>
      <c r="K36" s="9" t="n">
        <v>6440</v>
      </c>
      <c r="L36" s="9" t="n">
        <f aca="false">SUM(F36+G36+H36+I36+J36+K36)</f>
        <v>12193</v>
      </c>
    </row>
    <row r="37" customFormat="false" ht="16.5" hidden="false" customHeight="false" outlineLevel="0" collapsed="false">
      <c r="D37" s="1" t="s">
        <v>34</v>
      </c>
      <c r="F37" s="9" t="n">
        <f aca="false">157549+23035-F33</f>
        <v>179861</v>
      </c>
      <c r="G37" s="9" t="n">
        <f aca="false">175407+25467-G33</f>
        <v>200091</v>
      </c>
      <c r="H37" s="9" t="n">
        <f aca="false">280904+32309-H33</f>
        <v>310423</v>
      </c>
      <c r="I37" s="9" t="n">
        <f aca="false">216088+23406-I33</f>
        <v>236321</v>
      </c>
      <c r="J37" s="9" t="n">
        <f aca="false">313342+18583-J33</f>
        <v>330089</v>
      </c>
      <c r="K37" s="9" t="n">
        <f aca="false">291902+33935-K33</f>
        <v>322016</v>
      </c>
      <c r="L37" s="9" t="n">
        <f aca="false">SUM(F37+G37+H37+I37+J37+K37)</f>
        <v>1578801</v>
      </c>
    </row>
    <row r="38" customFormat="false" ht="14.25" hidden="false" customHeight="false" outlineLevel="0" collapsed="false">
      <c r="F38" s="9"/>
      <c r="G38" s="9"/>
      <c r="H38" s="9"/>
      <c r="I38" s="9"/>
      <c r="J38" s="9"/>
      <c r="K38" s="9"/>
      <c r="L38" s="9"/>
    </row>
    <row r="39" customFormat="false" ht="15" hidden="false" customHeight="false" outlineLevel="0" collapsed="false">
      <c r="B39" s="7" t="s">
        <v>35</v>
      </c>
      <c r="C39" s="7"/>
      <c r="D39" s="7"/>
      <c r="E39" s="7"/>
      <c r="F39" s="13" t="n">
        <f aca="false">+F9-F30</f>
        <v>45749.25</v>
      </c>
      <c r="G39" s="13" t="n">
        <f aca="false">+G9-G30</f>
        <v>-106373</v>
      </c>
      <c r="H39" s="13" t="n">
        <f aca="false">+H9-H30</f>
        <v>-210261</v>
      </c>
      <c r="I39" s="13" t="n">
        <f aca="false">+I9-I30</f>
        <v>66797.81</v>
      </c>
      <c r="J39" s="13" t="n">
        <f aca="false">+J9-J30</f>
        <v>-122231</v>
      </c>
      <c r="K39" s="13" t="n">
        <f aca="false">+K9-K30</f>
        <v>-225398</v>
      </c>
      <c r="L39" s="13" t="n">
        <f aca="false">+L9-L30</f>
        <v>-551715.94</v>
      </c>
    </row>
    <row r="40" customFormat="false" ht="14.25" hidden="false" customHeight="false" outlineLevel="0" collapsed="false">
      <c r="F40" s="9"/>
      <c r="G40" s="9"/>
      <c r="H40" s="9"/>
      <c r="I40" s="9"/>
      <c r="J40" s="9"/>
      <c r="K40" s="9"/>
      <c r="L40" s="9"/>
    </row>
    <row r="41" customFormat="false" ht="15" hidden="false" customHeight="false" outlineLevel="0" collapsed="false">
      <c r="B41" s="7" t="s">
        <v>36</v>
      </c>
      <c r="C41" s="7"/>
      <c r="D41" s="7"/>
      <c r="E41" s="7"/>
      <c r="F41" s="8" t="n">
        <f aca="false">+F42+F46</f>
        <v>366005</v>
      </c>
      <c r="G41" s="8" t="n">
        <f aca="false">+G42+G46</f>
        <v>305339</v>
      </c>
      <c r="H41" s="8" t="n">
        <f aca="false">+H42+H46</f>
        <v>229432</v>
      </c>
      <c r="I41" s="8" t="n">
        <f aca="false">+I42+I46</f>
        <v>125230</v>
      </c>
      <c r="J41" s="8" t="n">
        <f aca="false">+J42+J46</f>
        <v>141671</v>
      </c>
      <c r="K41" s="8" t="n">
        <f aca="false">+K42+K46</f>
        <v>158951</v>
      </c>
      <c r="L41" s="8" t="n">
        <f aca="false">+L42+L46</f>
        <v>1326628</v>
      </c>
    </row>
    <row r="42" customFormat="false" ht="14.25" hidden="false" customHeight="false" outlineLevel="0" collapsed="false">
      <c r="C42" s="1" t="s">
        <v>37</v>
      </c>
      <c r="F42" s="14" t="n">
        <f aca="false">+F43-F44</f>
        <v>186705</v>
      </c>
      <c r="G42" s="14" t="n">
        <f aca="false">+G43-G44</f>
        <v>-22160</v>
      </c>
      <c r="H42" s="14" t="n">
        <f aca="false">+H43-H44</f>
        <v>83645</v>
      </c>
      <c r="I42" s="14" t="n">
        <f aca="false">+I43-I44</f>
        <v>29228</v>
      </c>
      <c r="J42" s="14" t="n">
        <f aca="false">+J43-J44</f>
        <v>9944</v>
      </c>
      <c r="K42" s="14" t="n">
        <f aca="false">+K43-K44</f>
        <v>15031</v>
      </c>
      <c r="L42" s="14" t="n">
        <f aca="false">+L43-L44</f>
        <v>302393</v>
      </c>
    </row>
    <row r="43" customFormat="false" ht="14.25" hidden="false" customHeight="false" outlineLevel="0" collapsed="false">
      <c r="D43" s="1" t="s">
        <v>38</v>
      </c>
      <c r="F43" s="9" t="n">
        <v>187563</v>
      </c>
      <c r="G43" s="9" t="n">
        <v>15984</v>
      </c>
      <c r="H43" s="9" t="n">
        <v>91557</v>
      </c>
      <c r="I43" s="9" t="n">
        <v>33779</v>
      </c>
      <c r="J43" s="9" t="n">
        <v>14991</v>
      </c>
      <c r="K43" s="9" t="n">
        <v>22567</v>
      </c>
      <c r="L43" s="9" t="n">
        <f aca="false">SUM(F43+G43+H43+I43+J43+K43)</f>
        <v>366441</v>
      </c>
    </row>
    <row r="44" customFormat="false" ht="14.25" hidden="false" customHeight="false" outlineLevel="0" collapsed="false">
      <c r="D44" s="1" t="s">
        <v>39</v>
      </c>
      <c r="F44" s="9" t="n">
        <v>858</v>
      </c>
      <c r="G44" s="9" t="n">
        <v>38144</v>
      </c>
      <c r="H44" s="9" t="n">
        <v>7912</v>
      </c>
      <c r="I44" s="9" t="n">
        <v>4551</v>
      </c>
      <c r="J44" s="9" t="n">
        <v>5047</v>
      </c>
      <c r="K44" s="9" t="n">
        <v>7536</v>
      </c>
      <c r="L44" s="9" t="n">
        <f aca="false">SUM(F44+G44+H44+I44+J44+K44)</f>
        <v>64048</v>
      </c>
    </row>
    <row r="45" customFormat="false" ht="14.25" hidden="false" customHeight="false" outlineLevel="0" collapsed="false">
      <c r="F45" s="9"/>
      <c r="G45" s="9"/>
      <c r="H45" s="9"/>
      <c r="I45" s="9"/>
      <c r="J45" s="9"/>
      <c r="K45" s="9"/>
      <c r="L45" s="9"/>
    </row>
    <row r="46" customFormat="false" ht="15" hidden="false" customHeight="false" outlineLevel="0" collapsed="false">
      <c r="C46" s="1" t="s">
        <v>40</v>
      </c>
      <c r="F46" s="8" t="n">
        <f aca="false">+F47-F48</f>
        <v>179300</v>
      </c>
      <c r="G46" s="8" t="n">
        <f aca="false">+G47-G48</f>
        <v>327499</v>
      </c>
      <c r="H46" s="8" t="n">
        <f aca="false">+H47-H48</f>
        <v>145787</v>
      </c>
      <c r="I46" s="8" t="n">
        <f aca="false">+I47-I48</f>
        <v>96002</v>
      </c>
      <c r="J46" s="8" t="n">
        <f aca="false">+J47-J48</f>
        <v>131727</v>
      </c>
      <c r="K46" s="8" t="n">
        <f aca="false">+K47-K48</f>
        <v>143920</v>
      </c>
      <c r="L46" s="8" t="n">
        <f aca="false">+L47-L48</f>
        <v>1024235</v>
      </c>
    </row>
    <row r="47" customFormat="false" ht="14.25" hidden="false" customHeight="false" outlineLevel="0" collapsed="false">
      <c r="D47" s="1" t="s">
        <v>41</v>
      </c>
      <c r="F47" s="9" t="n">
        <v>179300</v>
      </c>
      <c r="G47" s="9" t="n">
        <v>359313</v>
      </c>
      <c r="H47" s="9" t="n">
        <v>146045</v>
      </c>
      <c r="I47" s="9" t="n">
        <v>96127</v>
      </c>
      <c r="J47" s="9" t="n">
        <v>131792</v>
      </c>
      <c r="K47" s="9" t="n">
        <v>143920</v>
      </c>
      <c r="L47" s="9" t="n">
        <f aca="false">SUM(F47+G47+H47+I47+J47+K47)</f>
        <v>1056497</v>
      </c>
    </row>
    <row r="48" customFormat="false" ht="15" hidden="false" customHeight="false" outlineLevel="0" collapsed="false">
      <c r="D48" s="1" t="s">
        <v>42</v>
      </c>
      <c r="F48" s="15" t="n">
        <f aca="false">F49-F50</f>
        <v>0</v>
      </c>
      <c r="G48" s="15" t="n">
        <f aca="false">G49-G50</f>
        <v>31814</v>
      </c>
      <c r="H48" s="15" t="n">
        <f aca="false">H49-H50</f>
        <v>258</v>
      </c>
      <c r="I48" s="15" t="n">
        <f aca="false">I49-I50</f>
        <v>125</v>
      </c>
      <c r="J48" s="15" t="n">
        <f aca="false">J49-J50</f>
        <v>65</v>
      </c>
      <c r="K48" s="15" t="n">
        <f aca="false">K49-K50</f>
        <v>0</v>
      </c>
      <c r="L48" s="15" t="n">
        <f aca="false">L49-L50</f>
        <v>32262</v>
      </c>
    </row>
    <row r="49" customFormat="false" ht="14.25" hidden="false" customHeight="false" outlineLevel="0" collapsed="false">
      <c r="E49" s="1" t="s">
        <v>43</v>
      </c>
      <c r="F49" s="9" t="n">
        <v>3</v>
      </c>
      <c r="G49" s="9" t="n">
        <v>303461</v>
      </c>
      <c r="H49" s="9" t="n">
        <v>73361</v>
      </c>
      <c r="I49" s="9" t="n">
        <v>153959</v>
      </c>
      <c r="J49" s="9" t="n">
        <v>2656</v>
      </c>
      <c r="K49" s="9" t="n">
        <v>27981</v>
      </c>
      <c r="L49" s="9" t="n">
        <f aca="false">SUM(F49+G49+H49+I49+J49+K49)</f>
        <v>561421</v>
      </c>
    </row>
    <row r="50" customFormat="false" ht="16.5" hidden="false" customHeight="false" outlineLevel="0" collapsed="false">
      <c r="E50" s="16" t="s">
        <v>44</v>
      </c>
      <c r="F50" s="9" t="n">
        <v>3</v>
      </c>
      <c r="G50" s="9" t="n">
        <v>271647</v>
      </c>
      <c r="H50" s="9" t="n">
        <v>73103</v>
      </c>
      <c r="I50" s="9" t="n">
        <v>153834</v>
      </c>
      <c r="J50" s="9" t="n">
        <v>2591</v>
      </c>
      <c r="K50" s="9" t="n">
        <v>27981</v>
      </c>
      <c r="L50" s="9" t="n">
        <f aca="false">SUM(F50+G50+H50+I50+J50+K50)</f>
        <v>529159</v>
      </c>
    </row>
    <row r="51" customFormat="false" ht="14.25" hidden="false" customHeight="true" outlineLevel="0" collapsed="false">
      <c r="F51" s="9"/>
      <c r="G51" s="9"/>
      <c r="H51" s="9"/>
      <c r="I51" s="9"/>
      <c r="J51" s="9"/>
      <c r="K51" s="9"/>
      <c r="L51" s="9"/>
    </row>
    <row r="52" s="7" customFormat="true" ht="16.5" hidden="false" customHeight="true" outlineLevel="0" collapsed="false">
      <c r="B52" s="7" t="s">
        <v>45</v>
      </c>
      <c r="F52" s="13" t="n">
        <v>583384</v>
      </c>
      <c r="G52" s="13" t="n">
        <v>-171251</v>
      </c>
      <c r="H52" s="13" t="n">
        <v>497279.48</v>
      </c>
      <c r="I52" s="13" t="n">
        <v>44649.52</v>
      </c>
      <c r="J52" s="13" t="n">
        <v>-61957</v>
      </c>
      <c r="K52" s="13" t="n">
        <v>-115141</v>
      </c>
      <c r="L52" s="13" t="n">
        <f aca="false">SUM(F52+G52+H52+I52+J52+K52)</f>
        <v>776964</v>
      </c>
    </row>
    <row r="53" customFormat="false" ht="15" hidden="false" customHeight="false" outlineLevel="0" collapsed="false">
      <c r="A53" s="17"/>
      <c r="B53" s="17"/>
      <c r="C53" s="17"/>
      <c r="D53" s="17"/>
      <c r="E53" s="17"/>
      <c r="F53" s="18"/>
    </row>
    <row r="54" s="20" customFormat="true" ht="13.5" hidden="false" customHeight="false" outlineLevel="0" collapsed="false">
      <c r="A54" s="19" t="s">
        <v>46</v>
      </c>
      <c r="B54" s="19"/>
    </row>
    <row r="55" s="20" customFormat="true" ht="72" hidden="false" customHeight="true" outlineLevel="0" collapsed="false">
      <c r="B55" s="21" t="s">
        <v>47</v>
      </c>
      <c r="C55" s="21"/>
      <c r="D55" s="21"/>
      <c r="E55" s="21"/>
      <c r="F55" s="21"/>
    </row>
    <row r="56" s="20" customFormat="true" ht="32.25" hidden="true" customHeight="true" outlineLevel="0" collapsed="false">
      <c r="A56" s="22" t="s">
        <v>48</v>
      </c>
      <c r="B56" s="23" t="s">
        <v>49</v>
      </c>
      <c r="C56" s="23"/>
      <c r="D56" s="23"/>
      <c r="E56" s="23"/>
      <c r="F56" s="23"/>
    </row>
    <row r="57" s="20" customFormat="true" ht="18.75" hidden="false" customHeight="true" outlineLevel="0" collapsed="false">
      <c r="A57" s="24" t="s">
        <v>48</v>
      </c>
      <c r="B57" s="25" t="s">
        <v>50</v>
      </c>
      <c r="C57" s="26"/>
      <c r="D57" s="26"/>
      <c r="E57" s="27"/>
    </row>
    <row r="58" s="20" customFormat="true" ht="15.75" hidden="false" customHeight="true" outlineLevel="0" collapsed="false">
      <c r="A58" s="28"/>
      <c r="B58" s="29"/>
      <c r="C58" s="29"/>
      <c r="D58" s="29"/>
      <c r="E58" s="29"/>
      <c r="F58" s="29"/>
    </row>
    <row r="59" s="20" customFormat="true" ht="12.75" hidden="false" customHeight="false" outlineLevel="0" collapsed="false">
      <c r="A59" s="20" t="s">
        <v>51</v>
      </c>
    </row>
    <row r="60" customFormat="false" ht="16.5" hidden="false" customHeight="false" outlineLevel="0" collapsed="false">
      <c r="A60" s="30"/>
      <c r="B60" s="31"/>
      <c r="C60" s="32"/>
      <c r="D60" s="32"/>
      <c r="E60" s="32"/>
    </row>
    <row r="61" customFormat="false" ht="14.25" hidden="false" customHeight="false" outlineLevel="0" collapsed="false">
      <c r="A61" s="6"/>
    </row>
    <row r="62" customFormat="false" ht="21" hidden="false" customHeight="true" outlineLevel="0" collapsed="false">
      <c r="A62" s="33"/>
    </row>
  </sheetData>
  <mergeCells count="3">
    <mergeCell ref="A7:E7"/>
    <mergeCell ref="B55:F55"/>
    <mergeCell ref="B56:F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2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45" activeCellId="0" sqref="R45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28.42"/>
    <col collapsed="false" customWidth="true" hidden="false" outlineLevel="0" max="11" min="6" style="100" width="9.42"/>
    <col collapsed="false" customWidth="false" hidden="false" outlineLevel="0" max="16" min="12" style="100" width="9.14"/>
    <col collapsed="false" customWidth="true" hidden="false" outlineLevel="0" max="17" min="17" style="100" width="9.85"/>
    <col collapsed="false" customWidth="true" hidden="false" outlineLevel="0" max="18" min="18" style="100" width="10.85"/>
    <col collapsed="false" customWidth="false" hidden="false" outlineLevel="0" max="1024" min="19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100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03" t="s">
        <v>3</v>
      </c>
      <c r="B4" s="102"/>
    </row>
    <row r="5" customFormat="false" ht="6" hidden="false" customHeight="true" outlineLevel="0" collapsed="false"/>
    <row r="6" customFormat="false" ht="21.75" hidden="false" customHeight="true" outlineLevel="0" collapsed="false">
      <c r="A6" s="104"/>
      <c r="B6" s="105" t="s">
        <v>4</v>
      </c>
      <c r="C6" s="105"/>
      <c r="D6" s="105"/>
      <c r="E6" s="105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101</v>
      </c>
      <c r="L6" s="105" t="s">
        <v>102</v>
      </c>
      <c r="M6" s="105" t="s">
        <v>54</v>
      </c>
      <c r="N6" s="105" t="s">
        <v>55</v>
      </c>
      <c r="O6" s="105" t="s">
        <v>56</v>
      </c>
      <c r="P6" s="105" t="s">
        <v>57</v>
      </c>
      <c r="Q6" s="105" t="s">
        <v>58</v>
      </c>
      <c r="R6" s="106" t="s">
        <v>11</v>
      </c>
    </row>
    <row r="7" customFormat="false" ht="15" hidden="false" customHeight="true" outlineLevel="0" collapsed="false"/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182226</v>
      </c>
      <c r="G8" s="108" t="n">
        <f aca="false">G9+G19+G26</f>
        <v>138952</v>
      </c>
      <c r="H8" s="108" t="n">
        <f aca="false">H9+H19+H26</f>
        <v>157800</v>
      </c>
      <c r="I8" s="108" t="n">
        <f aca="false">I9+I19+I26</f>
        <v>246633</v>
      </c>
      <c r="J8" s="108" t="n">
        <f aca="false">J9+J19+J26</f>
        <v>199759</v>
      </c>
      <c r="K8" s="108" t="n">
        <f aca="false">K9+K19+K26</f>
        <v>175585</v>
      </c>
      <c r="L8" s="108" t="n">
        <f aca="false">L9+L19+L26</f>
        <v>170250</v>
      </c>
      <c r="M8" s="108" t="n">
        <f aca="false">M9+M19+M26</f>
        <v>209569</v>
      </c>
      <c r="N8" s="108" t="n">
        <f aca="false">N9+N19+N26</f>
        <v>165960</v>
      </c>
      <c r="O8" s="108" t="n">
        <f aca="false">O9+O19+O26</f>
        <v>174642</v>
      </c>
      <c r="P8" s="108" t="n">
        <f aca="false">P9+P19+P26</f>
        <v>209212</v>
      </c>
      <c r="Q8" s="108" t="n">
        <f aca="false">Q9+Q19+Q26</f>
        <v>165326</v>
      </c>
      <c r="R8" s="108" t="n">
        <f aca="false">R9+R19+R26</f>
        <v>2195914</v>
      </c>
      <c r="S8" s="100" t="s">
        <v>59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161896</v>
      </c>
      <c r="G9" s="109" t="n">
        <f aca="false">G10+G14+G17</f>
        <v>123936</v>
      </c>
      <c r="H9" s="109" t="n">
        <f aca="false">H10+H14+H17</f>
        <v>139503</v>
      </c>
      <c r="I9" s="109" t="n">
        <f aca="false">I10+I14+I17</f>
        <v>211765</v>
      </c>
      <c r="J9" s="109" t="n">
        <f aca="false">J10+J14+J17</f>
        <v>185077</v>
      </c>
      <c r="K9" s="109" t="n">
        <f aca="false">K10+K14+K17</f>
        <v>160759</v>
      </c>
      <c r="L9" s="109" t="n">
        <f aca="false">L10+L14+L17</f>
        <v>149963</v>
      </c>
      <c r="M9" s="109" t="n">
        <f aca="false">M10+M14+M17</f>
        <v>191975</v>
      </c>
      <c r="N9" s="109" t="n">
        <f aca="false">N10+N14+N17</f>
        <v>147772</v>
      </c>
      <c r="O9" s="109" t="n">
        <f aca="false">O10+O14+O17</f>
        <v>157378</v>
      </c>
      <c r="P9" s="109" t="n">
        <f aca="false">P10+P14+P17</f>
        <v>197758</v>
      </c>
      <c r="Q9" s="109" t="n">
        <f aca="false">Q10+Q14+Q17</f>
        <v>152608</v>
      </c>
      <c r="R9" s="109" t="n">
        <f aca="false">R10+R14+R17</f>
        <v>1980390</v>
      </c>
    </row>
    <row r="10" customFormat="false" ht="15" hidden="false" customHeight="true" outlineLevel="0" collapsed="false">
      <c r="D10" s="100" t="s">
        <v>14</v>
      </c>
      <c r="F10" s="110" t="n">
        <v>129652</v>
      </c>
      <c r="G10" s="110" t="n">
        <v>94837</v>
      </c>
      <c r="H10" s="110" t="n">
        <v>105683</v>
      </c>
      <c r="I10" s="110" t="n">
        <v>177656</v>
      </c>
      <c r="J10" s="110" t="n">
        <v>151575</v>
      </c>
      <c r="K10" s="110" t="n">
        <v>124018</v>
      </c>
      <c r="L10" s="110" t="n">
        <v>117448</v>
      </c>
      <c r="M10" s="110" t="n">
        <v>157468</v>
      </c>
      <c r="N10" s="110" t="n">
        <v>112996</v>
      </c>
      <c r="O10" s="110" t="n">
        <v>121893</v>
      </c>
      <c r="P10" s="110" t="n">
        <v>156772</v>
      </c>
      <c r="Q10" s="110" t="n">
        <v>117216</v>
      </c>
      <c r="R10" s="110" t="n">
        <f aca="false">SUM(F10:Q10)</f>
        <v>1567214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132</v>
      </c>
      <c r="G12" s="110" t="n">
        <v>191</v>
      </c>
      <c r="H12" s="110" t="n">
        <v>327</v>
      </c>
      <c r="I12" s="110" t="n">
        <v>286</v>
      </c>
      <c r="J12" s="110" t="n">
        <v>671</v>
      </c>
      <c r="K12" s="110" t="n">
        <v>202</v>
      </c>
      <c r="L12" s="110" t="n">
        <v>0</v>
      </c>
      <c r="M12" s="110" t="n">
        <v>491</v>
      </c>
      <c r="N12" s="110" t="n">
        <v>336</v>
      </c>
      <c r="O12" s="110" t="n">
        <v>655</v>
      </c>
      <c r="P12" s="110" t="n">
        <v>128</v>
      </c>
      <c r="Q12" s="110" t="n">
        <v>177</v>
      </c>
      <c r="R12" s="110" t="n">
        <f aca="false">SUM(F12:Q12)</f>
        <v>3596</v>
      </c>
    </row>
    <row r="13" customFormat="false" ht="15" hidden="false" customHeight="true" outlineLevel="0" collapsed="false">
      <c r="E13" s="100" t="s">
        <v>17</v>
      </c>
      <c r="F13" s="110" t="n">
        <v>28</v>
      </c>
      <c r="G13" s="110" t="n">
        <v>28</v>
      </c>
      <c r="H13" s="110" t="n">
        <v>18</v>
      </c>
      <c r="I13" s="110" t="n">
        <v>874</v>
      </c>
      <c r="J13" s="110" t="n">
        <v>296</v>
      </c>
      <c r="K13" s="110" t="n">
        <v>2178</v>
      </c>
      <c r="L13" s="110" t="n">
        <v>0</v>
      </c>
      <c r="M13" s="110" t="n">
        <v>77</v>
      </c>
      <c r="N13" s="110" t="n">
        <v>291</v>
      </c>
      <c r="O13" s="110" t="n">
        <v>29</v>
      </c>
      <c r="P13" s="110" t="n">
        <v>435</v>
      </c>
      <c r="Q13" s="110" t="n">
        <v>192</v>
      </c>
      <c r="R13" s="110" t="n">
        <f aca="false">SUM(F13:Q13)</f>
        <v>4446</v>
      </c>
    </row>
    <row r="14" customFormat="false" ht="15" hidden="false" customHeight="true" outlineLevel="0" collapsed="false">
      <c r="D14" s="100" t="s">
        <v>18</v>
      </c>
      <c r="F14" s="110" t="n">
        <v>31083</v>
      </c>
      <c r="G14" s="110" t="n">
        <v>27035</v>
      </c>
      <c r="H14" s="110" t="n">
        <v>32383</v>
      </c>
      <c r="I14" s="110" t="n">
        <v>32712</v>
      </c>
      <c r="J14" s="110" t="n">
        <v>32070</v>
      </c>
      <c r="K14" s="110" t="n">
        <v>35268</v>
      </c>
      <c r="L14" s="110" t="n">
        <v>30987</v>
      </c>
      <c r="M14" s="110" t="n">
        <v>33069</v>
      </c>
      <c r="N14" s="110" t="n">
        <v>33326</v>
      </c>
      <c r="O14" s="110" t="n">
        <v>33365</v>
      </c>
      <c r="P14" s="110" t="n">
        <v>40227</v>
      </c>
      <c r="Q14" s="110" t="n">
        <v>34840</v>
      </c>
      <c r="R14" s="110" t="n">
        <f aca="false">SUM(F14:Q14)</f>
        <v>396365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0</v>
      </c>
      <c r="I16" s="110" t="n">
        <v>17</v>
      </c>
      <c r="J16" s="110" t="n">
        <v>0</v>
      </c>
      <c r="K16" s="110" t="n">
        <v>99</v>
      </c>
      <c r="L16" s="110" t="n">
        <v>104</v>
      </c>
      <c r="M16" s="110" t="n">
        <v>333</v>
      </c>
      <c r="N16" s="110" t="n">
        <v>66</v>
      </c>
      <c r="O16" s="110" t="n">
        <v>195</v>
      </c>
      <c r="P16" s="110" t="n">
        <v>4816</v>
      </c>
      <c r="Q16" s="110" t="n">
        <v>2122</v>
      </c>
      <c r="R16" s="110" t="n">
        <f aca="false">SUM(F16:Q16)</f>
        <v>7752</v>
      </c>
      <c r="T16" s="100" t="s">
        <v>59</v>
      </c>
    </row>
    <row r="17" customFormat="false" ht="15" hidden="false" customHeight="true" outlineLevel="0" collapsed="false">
      <c r="D17" s="100" t="s">
        <v>87</v>
      </c>
      <c r="F17" s="110" t="n">
        <v>1161</v>
      </c>
      <c r="G17" s="110" t="n">
        <v>2064</v>
      </c>
      <c r="H17" s="110" t="n">
        <v>1437</v>
      </c>
      <c r="I17" s="110" t="n">
        <v>1397</v>
      </c>
      <c r="J17" s="110" t="n">
        <v>1432</v>
      </c>
      <c r="K17" s="110" t="n">
        <v>1473</v>
      </c>
      <c r="L17" s="110" t="n">
        <v>1528</v>
      </c>
      <c r="M17" s="110" t="n">
        <v>1438</v>
      </c>
      <c r="N17" s="110" t="n">
        <v>1450</v>
      </c>
      <c r="O17" s="110" t="n">
        <v>2120</v>
      </c>
      <c r="P17" s="110" t="n">
        <v>759</v>
      </c>
      <c r="Q17" s="110" t="n">
        <v>552</v>
      </c>
      <c r="R17" s="110" t="n">
        <f aca="false">SUM(F17:Q17)</f>
        <v>16811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customFormat="false" ht="15" hidden="false" customHeight="true" outlineLevel="0" collapsed="false">
      <c r="C19" s="100" t="s">
        <v>20</v>
      </c>
      <c r="F19" s="109" t="n">
        <f aca="false">SUM(F20:F24)</f>
        <v>20325</v>
      </c>
      <c r="G19" s="109" t="n">
        <f aca="false">SUM(G20:G24)</f>
        <v>15004</v>
      </c>
      <c r="H19" s="109" t="n">
        <f aca="false">SUM(H20:H24)</f>
        <v>18294</v>
      </c>
      <c r="I19" s="109" t="n">
        <f aca="false">SUM(I20:I24)</f>
        <v>34866</v>
      </c>
      <c r="J19" s="109" t="n">
        <f aca="false">SUM(J20:J24)</f>
        <v>14677</v>
      </c>
      <c r="K19" s="109" t="n">
        <f aca="false">SUM(K20:K24)</f>
        <v>14825</v>
      </c>
      <c r="L19" s="109" t="n">
        <f aca="false">SUM(L20:L24)</f>
        <v>20275</v>
      </c>
      <c r="M19" s="109" t="n">
        <f aca="false">SUM(M20:M24)</f>
        <v>17594</v>
      </c>
      <c r="N19" s="109" t="n">
        <f aca="false">SUM(N20:N24)</f>
        <v>18188</v>
      </c>
      <c r="O19" s="109" t="n">
        <f aca="false">SUM(O20:O24)</f>
        <v>17251</v>
      </c>
      <c r="P19" s="109" t="n">
        <f aca="false">SUM(P20:P24)</f>
        <v>11447</v>
      </c>
      <c r="Q19" s="109" t="n">
        <f aca="false">SUM(Q20:Q24)</f>
        <v>12700</v>
      </c>
      <c r="R19" s="109" t="n">
        <f aca="false">SUM(F19:Q19)</f>
        <v>215446</v>
      </c>
      <c r="S19" s="110"/>
    </row>
    <row r="20" customFormat="false" ht="15" hidden="false" customHeight="true" outlineLevel="0" collapsed="false">
      <c r="D20" s="1" t="s">
        <v>21</v>
      </c>
      <c r="E20" s="1"/>
      <c r="F20" s="110" t="n">
        <v>7930</v>
      </c>
      <c r="G20" s="110" t="n">
        <v>5834</v>
      </c>
      <c r="H20" s="110" t="n">
        <v>11150</v>
      </c>
      <c r="I20" s="110" t="n">
        <v>27972</v>
      </c>
      <c r="J20" s="110" t="n">
        <v>5728</v>
      </c>
      <c r="K20" s="110" t="n">
        <v>5084</v>
      </c>
      <c r="L20" s="110" t="n">
        <v>9061</v>
      </c>
      <c r="M20" s="110" t="n">
        <v>5818</v>
      </c>
      <c r="N20" s="110" t="n">
        <v>7708</v>
      </c>
      <c r="O20" s="110" t="n">
        <v>4858</v>
      </c>
      <c r="P20" s="110" t="n">
        <v>4188</v>
      </c>
      <c r="Q20" s="110" t="n">
        <v>6406</v>
      </c>
      <c r="R20" s="110" t="n">
        <f aca="false">SUM(F20:Q20)</f>
        <v>101737</v>
      </c>
    </row>
    <row r="21" customFormat="false" ht="15" hidden="false" customHeight="true" outlineLevel="0" collapsed="false">
      <c r="D21" s="1" t="s">
        <v>88</v>
      </c>
      <c r="E21" s="1"/>
      <c r="F21" s="110" t="n">
        <v>3362</v>
      </c>
      <c r="G21" s="110" t="n">
        <v>2953</v>
      </c>
      <c r="H21" s="110" t="n">
        <v>2636</v>
      </c>
      <c r="I21" s="110" t="n">
        <v>3675</v>
      </c>
      <c r="J21" s="110" t="n">
        <v>3136</v>
      </c>
      <c r="K21" s="110" t="n">
        <v>2583</v>
      </c>
      <c r="L21" s="110" t="n">
        <v>3816</v>
      </c>
      <c r="M21" s="110" t="n">
        <v>2536</v>
      </c>
      <c r="N21" s="110" t="n">
        <v>3854</v>
      </c>
      <c r="O21" s="110" t="n">
        <v>4374</v>
      </c>
      <c r="P21" s="110" t="n">
        <v>4394</v>
      </c>
      <c r="Q21" s="110" t="n">
        <v>2500</v>
      </c>
      <c r="R21" s="110" t="n">
        <f aca="false">SUM(F21:Q21)</f>
        <v>39819</v>
      </c>
      <c r="S21" s="110"/>
    </row>
    <row r="22" customFormat="false" ht="15" hidden="false" customHeight="true" outlineLevel="0" collapsed="false">
      <c r="D22" s="1" t="s">
        <v>23</v>
      </c>
      <c r="E22" s="1"/>
      <c r="F22" s="110" t="n">
        <v>0</v>
      </c>
      <c r="G22" s="110" t="n">
        <v>0</v>
      </c>
      <c r="H22" s="110" t="n">
        <v>40</v>
      </c>
      <c r="I22" s="110" t="n">
        <v>60</v>
      </c>
      <c r="J22" s="110" t="n">
        <v>0</v>
      </c>
      <c r="K22" s="110" t="n">
        <v>345</v>
      </c>
      <c r="L22" s="110" t="n">
        <v>76</v>
      </c>
      <c r="M22" s="110" t="n">
        <v>24</v>
      </c>
      <c r="N22" s="110" t="n">
        <v>1</v>
      </c>
      <c r="O22" s="110" t="n">
        <v>17</v>
      </c>
      <c r="P22" s="110" t="n">
        <v>0</v>
      </c>
      <c r="Q22" s="110" t="n">
        <v>94</v>
      </c>
      <c r="R22" s="110" t="n">
        <f aca="false">SUM(F22:Q22)</f>
        <v>657</v>
      </c>
      <c r="S22" s="110"/>
    </row>
    <row r="23" customFormat="false" ht="15" hidden="false" customHeight="true" outlineLevel="0" collapsed="false">
      <c r="D23" s="1" t="s">
        <v>24</v>
      </c>
      <c r="E23" s="1"/>
      <c r="F23" s="110" t="n">
        <v>1393.796</v>
      </c>
      <c r="G23" s="110" t="n">
        <v>1047.33</v>
      </c>
      <c r="H23" s="110" t="n">
        <v>943.548</v>
      </c>
      <c r="I23" s="110" t="n">
        <v>988.974</v>
      </c>
      <c r="J23" s="110" t="n">
        <v>1448.579</v>
      </c>
      <c r="K23" s="110" t="n">
        <v>889.505</v>
      </c>
      <c r="L23" s="110" t="n">
        <v>1343.179</v>
      </c>
      <c r="M23" s="110" t="n">
        <v>1190.769</v>
      </c>
      <c r="N23" s="110" t="n">
        <v>1166.296</v>
      </c>
      <c r="O23" s="110" t="n">
        <v>872.434</v>
      </c>
      <c r="P23" s="110" t="n">
        <v>1041.93</v>
      </c>
      <c r="Q23" s="110" t="n">
        <v>1100.065</v>
      </c>
      <c r="R23" s="110" t="n">
        <f aca="false">SUM(F23:Q23)</f>
        <v>13426.405</v>
      </c>
      <c r="S23" s="110"/>
    </row>
    <row r="24" customFormat="false" ht="15" hidden="false" customHeight="true" outlineLevel="0" collapsed="false">
      <c r="D24" s="1" t="s">
        <v>25</v>
      </c>
      <c r="E24" s="1"/>
      <c r="F24" s="110" t="n">
        <v>7639.204</v>
      </c>
      <c r="G24" s="110" t="n">
        <v>5169.67</v>
      </c>
      <c r="H24" s="110" t="n">
        <v>3524.452</v>
      </c>
      <c r="I24" s="110" t="n">
        <v>2170.026</v>
      </c>
      <c r="J24" s="110" t="n">
        <v>4364.421</v>
      </c>
      <c r="K24" s="110" t="n">
        <v>5923.495</v>
      </c>
      <c r="L24" s="110" t="n">
        <v>5978.821</v>
      </c>
      <c r="M24" s="110" t="n">
        <v>8025.231</v>
      </c>
      <c r="N24" s="110" t="n">
        <v>5458.704</v>
      </c>
      <c r="O24" s="110" t="n">
        <v>7129.566</v>
      </c>
      <c r="P24" s="110" t="n">
        <v>1823.07</v>
      </c>
      <c r="Q24" s="110" t="n">
        <v>2599.935</v>
      </c>
      <c r="R24" s="110" t="n">
        <f aca="false">SUM(F24:Q24)</f>
        <v>59806.595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5</v>
      </c>
      <c r="G26" s="110" t="n">
        <v>12</v>
      </c>
      <c r="H26" s="110" t="n">
        <v>3</v>
      </c>
      <c r="I26" s="110" t="n">
        <v>2</v>
      </c>
      <c r="J26" s="110" t="n">
        <v>5</v>
      </c>
      <c r="K26" s="110" t="n">
        <v>1</v>
      </c>
      <c r="L26" s="110" t="n">
        <v>12</v>
      </c>
      <c r="M26" s="110" t="n">
        <v>0</v>
      </c>
      <c r="N26" s="110" t="n">
        <v>0</v>
      </c>
      <c r="O26" s="110" t="n">
        <v>13</v>
      </c>
      <c r="P26" s="110" t="n">
        <v>7</v>
      </c>
      <c r="Q26" s="110" t="n">
        <v>18</v>
      </c>
      <c r="R26" s="110" t="n">
        <f aca="false">SUM(F26:Q26)</f>
        <v>78</v>
      </c>
    </row>
    <row r="27" customFormat="false" ht="15" hidden="false" customHeight="true" outlineLevel="0" collapsed="false">
      <c r="F27" s="110" t="s">
        <v>59</v>
      </c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185700.453</v>
      </c>
      <c r="G28" s="108" t="n">
        <f aca="false">SUM(G30:G36)</f>
        <v>173577.87</v>
      </c>
      <c r="H28" s="108" t="n">
        <f aca="false">SUM(H30:H36)</f>
        <v>232188</v>
      </c>
      <c r="I28" s="108" t="n">
        <f aca="false">SUM(I30:I36)</f>
        <v>191611</v>
      </c>
      <c r="J28" s="108" t="n">
        <f aca="false">SUM(J30:J36)</f>
        <v>217415</v>
      </c>
      <c r="K28" s="108" t="n">
        <f aca="false">SUM(K30:K36)</f>
        <v>220779</v>
      </c>
      <c r="L28" s="108" t="n">
        <f aca="false">SUM(L30:L36)</f>
        <v>220917</v>
      </c>
      <c r="M28" s="108" t="n">
        <f aca="false">SUM(M30:M36)</f>
        <v>176962</v>
      </c>
      <c r="N28" s="108" t="n">
        <f aca="false">SUM(N30:N36)</f>
        <v>241287</v>
      </c>
      <c r="O28" s="108" t="n">
        <f aca="false">SUM(O30:O36)</f>
        <v>176987</v>
      </c>
      <c r="P28" s="108" t="n">
        <f aca="false">SUM(P30:P36)</f>
        <v>228357</v>
      </c>
      <c r="Q28" s="108" t="n">
        <f aca="false">SUM(Q30:Q36)</f>
        <v>283555</v>
      </c>
      <c r="R28" s="108" t="n">
        <f aca="false">SUM(F28:Q28)</f>
        <v>2549336.323</v>
      </c>
      <c r="S28" s="110" t="s">
        <v>59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40501</v>
      </c>
      <c r="G30" s="110" t="n">
        <v>42204</v>
      </c>
      <c r="H30" s="110" t="n">
        <v>39020</v>
      </c>
      <c r="I30" s="110" t="n">
        <v>35849</v>
      </c>
      <c r="J30" s="110" t="n">
        <v>35725</v>
      </c>
      <c r="K30" s="110" t="n">
        <v>36877</v>
      </c>
      <c r="L30" s="110" t="n">
        <v>35801</v>
      </c>
      <c r="M30" s="110" t="n">
        <v>36290</v>
      </c>
      <c r="N30" s="110" t="n">
        <v>35977</v>
      </c>
      <c r="O30" s="110" t="n">
        <v>38987</v>
      </c>
      <c r="P30" s="110" t="n">
        <v>36177</v>
      </c>
      <c r="Q30" s="110" t="n">
        <v>36368</v>
      </c>
      <c r="R30" s="110" t="n">
        <f aca="false">SUM(F30:Q30)</f>
        <v>449776</v>
      </c>
      <c r="S30" s="110"/>
    </row>
    <row r="31" customFormat="false" ht="15" hidden="false" customHeight="true" outlineLevel="0" collapsed="false">
      <c r="D31" s="100" t="s">
        <v>29</v>
      </c>
      <c r="F31" s="110" t="n">
        <v>45594.453</v>
      </c>
      <c r="G31" s="110" t="n">
        <v>21280</v>
      </c>
      <c r="H31" s="110" t="n">
        <v>35749</v>
      </c>
      <c r="I31" s="110" t="n">
        <v>14765</v>
      </c>
      <c r="J31" s="110" t="n">
        <v>18658</v>
      </c>
      <c r="K31" s="110" t="n">
        <v>17666</v>
      </c>
      <c r="L31" s="110" t="n">
        <v>40020</v>
      </c>
      <c r="M31" s="110" t="n">
        <v>23442</v>
      </c>
      <c r="N31" s="110" t="n">
        <v>32602</v>
      </c>
      <c r="O31" s="110" t="n">
        <v>16054</v>
      </c>
      <c r="P31" s="110" t="n">
        <v>19551</v>
      </c>
      <c r="Q31" s="110" t="n">
        <v>19073</v>
      </c>
      <c r="R31" s="110" t="n">
        <f aca="false">SUM(F31:Q31)</f>
        <v>304454.453</v>
      </c>
      <c r="S31" s="110"/>
    </row>
    <row r="32" customFormat="false" ht="15" hidden="false" customHeight="true" outlineLevel="0" collapsed="false">
      <c r="D32" s="100" t="s">
        <v>30</v>
      </c>
      <c r="F32" s="110" t="n">
        <v>160</v>
      </c>
      <c r="G32" s="110" t="n">
        <v>219</v>
      </c>
      <c r="H32" s="110" t="n">
        <v>345</v>
      </c>
      <c r="I32" s="110" t="n">
        <v>1177</v>
      </c>
      <c r="J32" s="110" t="n">
        <v>967</v>
      </c>
      <c r="K32" s="110" t="n">
        <v>2479</v>
      </c>
      <c r="L32" s="110" t="n">
        <v>104</v>
      </c>
      <c r="M32" s="110" t="n">
        <v>901</v>
      </c>
      <c r="N32" s="110" t="n">
        <v>693</v>
      </c>
      <c r="O32" s="110" t="n">
        <v>879</v>
      </c>
      <c r="P32" s="110" t="n">
        <v>5379</v>
      </c>
      <c r="Q32" s="110" t="n">
        <v>2491</v>
      </c>
      <c r="R32" s="110" t="n">
        <f aca="false">SUM(F32:Q32)</f>
        <v>15794</v>
      </c>
    </row>
    <row r="33" customFormat="false" ht="15" hidden="false" customHeight="true" outlineLevel="0" collapsed="false">
      <c r="D33" s="100" t="s">
        <v>77</v>
      </c>
      <c r="F33" s="110" t="n">
        <v>1697</v>
      </c>
      <c r="G33" s="110" t="n">
        <v>2658</v>
      </c>
      <c r="H33" s="110" t="n">
        <v>3889</v>
      </c>
      <c r="I33" s="110" t="n">
        <v>4825</v>
      </c>
      <c r="J33" s="110" t="n">
        <v>7478</v>
      </c>
      <c r="K33" s="110" t="n">
        <v>16050</v>
      </c>
      <c r="L33" s="110" t="n">
        <v>35258</v>
      </c>
      <c r="M33" s="110" t="n">
        <v>7402</v>
      </c>
      <c r="N33" s="110" t="n">
        <v>3119</v>
      </c>
      <c r="O33" s="110" t="n">
        <v>1514</v>
      </c>
      <c r="P33" s="110" t="n">
        <v>14234</v>
      </c>
      <c r="Q33" s="110" t="n">
        <v>5066</v>
      </c>
      <c r="R33" s="110" t="n">
        <f aca="false">SUM(F33:Q33)</f>
        <v>103190</v>
      </c>
      <c r="S33" s="110"/>
    </row>
    <row r="34" customFormat="false" ht="15" hidden="false" customHeight="true" outlineLevel="0" collapsed="false">
      <c r="D34" s="100" t="s">
        <v>32</v>
      </c>
      <c r="F34" s="110" t="n">
        <v>3029</v>
      </c>
      <c r="G34" s="110" t="n">
        <v>6</v>
      </c>
      <c r="H34" s="110" t="n">
        <v>5138</v>
      </c>
      <c r="I34" s="110" t="n">
        <v>199</v>
      </c>
      <c r="J34" s="110" t="n">
        <v>17</v>
      </c>
      <c r="K34" s="110" t="n">
        <v>60</v>
      </c>
      <c r="L34" s="110" t="n">
        <v>0</v>
      </c>
      <c r="M34" s="110" t="n">
        <v>7</v>
      </c>
      <c r="N34" s="110" t="n">
        <v>41</v>
      </c>
      <c r="O34" s="110" t="n">
        <v>11</v>
      </c>
      <c r="P34" s="110" t="n">
        <v>16</v>
      </c>
      <c r="Q34" s="110" t="n">
        <v>3157</v>
      </c>
      <c r="R34" s="110" t="n">
        <f aca="false">SUM(F34:Q34)</f>
        <v>11681</v>
      </c>
    </row>
    <row r="35" customFormat="false" ht="15" hidden="false" customHeight="true" outlineLevel="0" collapsed="false">
      <c r="D35" s="100" t="s">
        <v>78</v>
      </c>
      <c r="F35" s="110" t="n">
        <v>31</v>
      </c>
      <c r="G35" s="110" t="n">
        <v>706</v>
      </c>
      <c r="H35" s="110" t="n">
        <v>2767</v>
      </c>
      <c r="I35" s="110" t="n">
        <v>215</v>
      </c>
      <c r="J35" s="110" t="n">
        <v>152</v>
      </c>
      <c r="K35" s="110" t="n">
        <v>220</v>
      </c>
      <c r="L35" s="110" t="n">
        <v>32</v>
      </c>
      <c r="M35" s="110" t="n">
        <v>-1148</v>
      </c>
      <c r="N35" s="110" t="n">
        <v>741</v>
      </c>
      <c r="O35" s="110" t="n">
        <v>763</v>
      </c>
      <c r="P35" s="110" t="n">
        <v>172</v>
      </c>
      <c r="Q35" s="110" t="n">
        <v>10647</v>
      </c>
      <c r="R35" s="110" t="n">
        <f aca="false">SUM(F35:Q35)</f>
        <v>15298</v>
      </c>
    </row>
    <row r="36" customFormat="false" ht="15" hidden="false" customHeight="true" outlineLevel="0" collapsed="false">
      <c r="D36" s="1" t="s">
        <v>79</v>
      </c>
      <c r="F36" s="110" t="n">
        <v>94688</v>
      </c>
      <c r="G36" s="110" t="n">
        <v>106504.87</v>
      </c>
      <c r="H36" s="110" t="n">
        <v>145280</v>
      </c>
      <c r="I36" s="110" t="n">
        <v>134581</v>
      </c>
      <c r="J36" s="110" t="n">
        <v>154418</v>
      </c>
      <c r="K36" s="110" t="n">
        <v>147427</v>
      </c>
      <c r="L36" s="110" t="n">
        <v>109702</v>
      </c>
      <c r="M36" s="110" t="n">
        <v>110068</v>
      </c>
      <c r="N36" s="110" t="n">
        <v>168114</v>
      </c>
      <c r="O36" s="110" t="n">
        <v>118779</v>
      </c>
      <c r="P36" s="110" t="n">
        <v>152828</v>
      </c>
      <c r="Q36" s="110" t="n">
        <v>206753</v>
      </c>
      <c r="R36" s="110" t="n">
        <f aca="false">SUM(F36:Q36)</f>
        <v>1649142.87</v>
      </c>
      <c r="S36" s="110" t="s">
        <v>59</v>
      </c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10"/>
      <c r="S37" s="110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F8-F28</f>
        <v>-3474.45300000001</v>
      </c>
      <c r="G38" s="112" t="n">
        <f aca="false">G8-G28</f>
        <v>-34625.87</v>
      </c>
      <c r="H38" s="112" t="n">
        <f aca="false">H8-H28</f>
        <v>-74388</v>
      </c>
      <c r="I38" s="112" t="n">
        <f aca="false">I8-I28</f>
        <v>55022</v>
      </c>
      <c r="J38" s="112" t="n">
        <f aca="false">J8-J28</f>
        <v>-17656</v>
      </c>
      <c r="K38" s="112" t="n">
        <f aca="false">K8-K28</f>
        <v>-45194</v>
      </c>
      <c r="L38" s="112" t="n">
        <f aca="false">L8-L28</f>
        <v>-50667</v>
      </c>
      <c r="M38" s="112" t="n">
        <f aca="false">M8-M28</f>
        <v>32607</v>
      </c>
      <c r="N38" s="112" t="n">
        <f aca="false">N8-N28</f>
        <v>-75327</v>
      </c>
      <c r="O38" s="112" t="n">
        <f aca="false">O8-O28</f>
        <v>-2345</v>
      </c>
      <c r="P38" s="112" t="n">
        <f aca="false">P8-P28</f>
        <v>-19145</v>
      </c>
      <c r="Q38" s="112" t="n">
        <f aca="false">Q8-Q28</f>
        <v>-118229</v>
      </c>
      <c r="R38" s="112" t="n">
        <f aca="false">SUM(F38:Q38)</f>
        <v>-353422.323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19134</v>
      </c>
      <c r="G40" s="108" t="n">
        <v>22973</v>
      </c>
      <c r="H40" s="108" t="n">
        <v>58407</v>
      </c>
      <c r="I40" s="108" t="n">
        <v>25199</v>
      </c>
      <c r="J40" s="108" t="n">
        <v>23206</v>
      </c>
      <c r="K40" s="108" t="n">
        <v>27642</v>
      </c>
      <c r="L40" s="108" t="n">
        <v>27778</v>
      </c>
      <c r="M40" s="108" t="n">
        <v>24211</v>
      </c>
      <c r="N40" s="108" t="n">
        <v>96911</v>
      </c>
      <c r="O40" s="108" t="n">
        <v>-7271</v>
      </c>
      <c r="P40" s="108" t="n">
        <v>17736</v>
      </c>
      <c r="Q40" s="108" t="n">
        <v>-4987</v>
      </c>
      <c r="R40" s="108" t="n">
        <v>330939</v>
      </c>
    </row>
    <row r="41" customFormat="false" ht="15" hidden="false" customHeight="true" outlineLevel="0" collapsed="false">
      <c r="C41" s="100" t="s">
        <v>37</v>
      </c>
      <c r="F41" s="109" t="n">
        <v>-12636</v>
      </c>
      <c r="G41" s="109" t="n">
        <v>-3154</v>
      </c>
      <c r="H41" s="109" t="n">
        <v>30418</v>
      </c>
      <c r="I41" s="109" t="n">
        <v>559</v>
      </c>
      <c r="J41" s="109" t="n">
        <v>-4457</v>
      </c>
      <c r="K41" s="109" t="n">
        <v>-3518</v>
      </c>
      <c r="L41" s="109" t="n">
        <v>-138</v>
      </c>
      <c r="M41" s="109" t="n">
        <v>-2509</v>
      </c>
      <c r="N41" s="109" t="n">
        <v>-2917</v>
      </c>
      <c r="O41" s="109" t="n">
        <v>-20466</v>
      </c>
      <c r="P41" s="109" t="n">
        <v>-5552</v>
      </c>
      <c r="Q41" s="109" t="n">
        <v>257</v>
      </c>
      <c r="R41" s="109" t="n">
        <v>-24113</v>
      </c>
      <c r="S41" s="110"/>
    </row>
    <row r="42" customFormat="false" ht="15" hidden="false" customHeight="true" outlineLevel="0" collapsed="false">
      <c r="D42" s="100" t="s">
        <v>38</v>
      </c>
      <c r="F42" s="110" t="n">
        <v>10292</v>
      </c>
      <c r="G42" s="110" t="n">
        <v>781</v>
      </c>
      <c r="H42" s="110" t="n">
        <v>115197</v>
      </c>
      <c r="I42" s="110" t="n">
        <v>3397</v>
      </c>
      <c r="J42" s="110" t="n">
        <v>2186</v>
      </c>
      <c r="K42" s="110" t="n">
        <v>1821</v>
      </c>
      <c r="L42" s="110" t="n">
        <v>1787</v>
      </c>
      <c r="M42" s="110" t="n">
        <v>1454</v>
      </c>
      <c r="N42" s="110" t="n">
        <v>2314</v>
      </c>
      <c r="O42" s="110" t="n">
        <v>3589</v>
      </c>
      <c r="P42" s="110" t="n">
        <v>801</v>
      </c>
      <c r="Q42" s="110" t="n">
        <v>5904</v>
      </c>
      <c r="R42" s="110" t="n">
        <v>149523</v>
      </c>
    </row>
    <row r="43" customFormat="false" ht="15" hidden="false" customHeight="true" outlineLevel="0" collapsed="false">
      <c r="D43" s="100" t="s">
        <v>97</v>
      </c>
      <c r="F43" s="110" t="n">
        <v>22928</v>
      </c>
      <c r="G43" s="110" t="n">
        <v>3935</v>
      </c>
      <c r="H43" s="110" t="n">
        <v>84779</v>
      </c>
      <c r="I43" s="110" t="n">
        <v>2838</v>
      </c>
      <c r="J43" s="110" t="n">
        <v>6643</v>
      </c>
      <c r="K43" s="110" t="n">
        <v>5339</v>
      </c>
      <c r="L43" s="110" t="n">
        <v>1925</v>
      </c>
      <c r="M43" s="110" t="n">
        <v>3963</v>
      </c>
      <c r="N43" s="110" t="n">
        <v>5231</v>
      </c>
      <c r="O43" s="110" t="n">
        <v>24055</v>
      </c>
      <c r="P43" s="110" t="n">
        <v>6353</v>
      </c>
      <c r="Q43" s="110" t="n">
        <v>5647</v>
      </c>
      <c r="R43" s="110" t="n">
        <v>173636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31770</v>
      </c>
      <c r="G45" s="109" t="n">
        <v>26127</v>
      </c>
      <c r="H45" s="109" t="n">
        <v>27989</v>
      </c>
      <c r="I45" s="109" t="n">
        <v>24640</v>
      </c>
      <c r="J45" s="109" t="n">
        <v>27663</v>
      </c>
      <c r="K45" s="109" t="n">
        <v>31160</v>
      </c>
      <c r="L45" s="109" t="n">
        <v>27916</v>
      </c>
      <c r="M45" s="109" t="n">
        <v>26720</v>
      </c>
      <c r="N45" s="109" t="n">
        <v>99828</v>
      </c>
      <c r="O45" s="109" t="n">
        <v>13195</v>
      </c>
      <c r="P45" s="109" t="n">
        <v>23288</v>
      </c>
      <c r="Q45" s="109" t="n">
        <v>-5244</v>
      </c>
      <c r="R45" s="109" t="n">
        <v>355052</v>
      </c>
    </row>
    <row r="46" customFormat="false" ht="15" hidden="false" customHeight="true" outlineLevel="0" collapsed="false">
      <c r="D46" s="100" t="s">
        <v>41</v>
      </c>
      <c r="F46" s="110" t="n">
        <v>31770</v>
      </c>
      <c r="G46" s="110" t="n">
        <v>26127</v>
      </c>
      <c r="H46" s="110" t="n">
        <v>28755</v>
      </c>
      <c r="I46" s="110" t="n">
        <v>24640</v>
      </c>
      <c r="J46" s="110" t="n">
        <v>27853</v>
      </c>
      <c r="K46" s="110" t="n">
        <v>31365</v>
      </c>
      <c r="L46" s="110" t="n">
        <v>28055</v>
      </c>
      <c r="M46" s="110" t="n">
        <v>27198</v>
      </c>
      <c r="N46" s="110" t="n">
        <v>100044</v>
      </c>
      <c r="O46" s="110" t="n">
        <v>13332</v>
      </c>
      <c r="P46" s="110" t="n">
        <v>23400</v>
      </c>
      <c r="Q46" s="110" t="n">
        <v>-5042</v>
      </c>
      <c r="R46" s="110" t="n">
        <v>357497</v>
      </c>
    </row>
    <row r="47" customFormat="false" ht="15" hidden="false" customHeight="true" outlineLevel="0" collapsed="false">
      <c r="D47" s="100" t="s">
        <v>42</v>
      </c>
      <c r="F47" s="110" t="n">
        <v>0</v>
      </c>
      <c r="G47" s="110" t="n">
        <v>0</v>
      </c>
      <c r="H47" s="110" t="n">
        <v>766</v>
      </c>
      <c r="I47" s="110" t="n">
        <v>0</v>
      </c>
      <c r="J47" s="110" t="n">
        <v>190</v>
      </c>
      <c r="K47" s="110" t="n">
        <v>205</v>
      </c>
      <c r="L47" s="110" t="n">
        <v>139</v>
      </c>
      <c r="M47" s="110" t="n">
        <v>478</v>
      </c>
      <c r="N47" s="110" t="n">
        <v>216</v>
      </c>
      <c r="O47" s="110" t="n">
        <v>137</v>
      </c>
      <c r="P47" s="110" t="n">
        <v>112</v>
      </c>
      <c r="Q47" s="110" t="n">
        <v>202</v>
      </c>
      <c r="R47" s="110" t="n">
        <v>2445</v>
      </c>
    </row>
    <row r="48" customFormat="false" ht="15" hidden="false" customHeight="true" outlineLevel="0" collapsed="false">
      <c r="E48" s="1" t="s">
        <v>67</v>
      </c>
      <c r="F48" s="35" t="n">
        <v>92437</v>
      </c>
      <c r="G48" s="35" t="n">
        <v>0</v>
      </c>
      <c r="H48" s="35" t="n">
        <v>37777</v>
      </c>
      <c r="I48" s="35" t="n">
        <v>97010</v>
      </c>
      <c r="J48" s="35" t="n">
        <v>190</v>
      </c>
      <c r="K48" s="35" t="n">
        <v>205</v>
      </c>
      <c r="L48" s="35" t="n">
        <v>139</v>
      </c>
      <c r="M48" s="35" t="n">
        <v>478</v>
      </c>
      <c r="N48" s="35" t="n">
        <v>80588</v>
      </c>
      <c r="O48" s="35" t="n">
        <v>137</v>
      </c>
      <c r="P48" s="35" t="n">
        <v>2712</v>
      </c>
      <c r="Q48" s="35" t="n">
        <v>202</v>
      </c>
      <c r="R48" s="110" t="n">
        <v>311875</v>
      </c>
      <c r="S48" s="110"/>
    </row>
    <row r="49" customFormat="false" ht="15" hidden="false" customHeight="true" outlineLevel="0" collapsed="false">
      <c r="E49" s="16" t="s">
        <v>80</v>
      </c>
      <c r="F49" s="35" t="n">
        <v>92437</v>
      </c>
      <c r="G49" s="35" t="n">
        <v>0</v>
      </c>
      <c r="H49" s="35" t="n">
        <v>37011</v>
      </c>
      <c r="I49" s="35" t="n">
        <v>97010</v>
      </c>
      <c r="J49" s="35" t="n">
        <v>0</v>
      </c>
      <c r="K49" s="35" t="n">
        <v>0</v>
      </c>
      <c r="L49" s="35" t="n">
        <v>0</v>
      </c>
      <c r="M49" s="35" t="n">
        <v>0</v>
      </c>
      <c r="N49" s="35" t="n">
        <v>80372</v>
      </c>
      <c r="O49" s="35" t="n">
        <v>0</v>
      </c>
      <c r="P49" s="35" t="n">
        <v>2600</v>
      </c>
      <c r="Q49" s="35" t="n">
        <v>0</v>
      </c>
      <c r="R49" s="110" t="n">
        <v>309430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-68115</v>
      </c>
      <c r="G51" s="108" t="n">
        <v>-13090.24</v>
      </c>
      <c r="H51" s="108" t="n">
        <v>-35130.76</v>
      </c>
      <c r="I51" s="108" t="n">
        <v>-3428.15999999992</v>
      </c>
      <c r="J51" s="108" t="n">
        <v>5118.15999999992</v>
      </c>
      <c r="K51" s="108" t="n">
        <v>-10872</v>
      </c>
      <c r="L51" s="108" t="n">
        <v>-11356</v>
      </c>
      <c r="M51" s="108" t="n">
        <v>65448</v>
      </c>
      <c r="N51" s="108" t="n">
        <v>-69780</v>
      </c>
      <c r="O51" s="108" t="n">
        <v>-9827</v>
      </c>
      <c r="P51" s="108" t="n">
        <v>-1274</v>
      </c>
      <c r="Q51" s="108" t="n">
        <v>-105347</v>
      </c>
      <c r="R51" s="108" t="n">
        <v>-257654</v>
      </c>
      <c r="S51" s="110"/>
    </row>
    <row r="52" customFormat="false" ht="14.25" hidden="false" customHeight="false" outlineLevel="0" collapsed="false"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</row>
    <row r="53" customFormat="false" ht="15" hidden="false" customHeight="false" outlineLevel="0" collapsed="false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s="115" customFormat="true" ht="13.5" hidden="false" customHeight="false" outlineLevel="0" collapsed="false">
      <c r="B54" s="116" t="s">
        <v>46</v>
      </c>
    </row>
    <row r="55" s="115" customFormat="true" ht="25.5" hidden="false" customHeight="true" outlineLevel="0" collapsed="false">
      <c r="B55" s="116"/>
      <c r="C55" s="21" t="s">
        <v>47</v>
      </c>
      <c r="D55" s="21"/>
      <c r="E55" s="21"/>
      <c r="F55" s="21"/>
      <c r="G55" s="21"/>
      <c r="H55" s="21"/>
      <c r="I55" s="21"/>
    </row>
    <row r="56" s="115" customFormat="true" ht="25.5" hidden="false" customHeight="true" outlineLevel="0" collapsed="false">
      <c r="B56" s="116"/>
      <c r="C56" s="21"/>
      <c r="D56" s="21"/>
      <c r="E56" s="21"/>
      <c r="F56" s="21"/>
      <c r="G56" s="21"/>
      <c r="H56" s="21"/>
      <c r="I56" s="21"/>
    </row>
    <row r="57" s="115" customFormat="true" ht="25.5" hidden="false" customHeight="true" outlineLevel="0" collapsed="false">
      <c r="B57" s="26"/>
      <c r="C57" s="21"/>
      <c r="D57" s="21"/>
      <c r="E57" s="21"/>
      <c r="F57" s="21"/>
      <c r="G57" s="21"/>
      <c r="H57" s="21"/>
      <c r="I57" s="21"/>
    </row>
    <row r="58" s="115" customFormat="true" ht="12.75" hidden="false" customHeight="false" outlineLevel="0" collapsed="false">
      <c r="B58" s="26"/>
    </row>
    <row r="59" s="115" customFormat="true" ht="12.75" hidden="false" customHeight="false" outlineLevel="0" collapsed="false">
      <c r="B59" s="26" t="s">
        <v>51</v>
      </c>
    </row>
    <row r="60" s="115" customFormat="true" ht="12.75" hidden="false" customHeight="false" outlineLevel="0" collapsed="false">
      <c r="B60" s="26" t="s">
        <v>93</v>
      </c>
    </row>
    <row r="63" customFormat="false" ht="14.25" hidden="false" customHeight="false" outlineLevel="0" collapsed="false">
      <c r="A63" s="31"/>
    </row>
  </sheetData>
  <mergeCells count="2">
    <mergeCell ref="B6:E6"/>
    <mergeCell ref="C55:I57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S29" activeCellId="0" sqref="S29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22.28"/>
    <col collapsed="false" customWidth="true" hidden="false" outlineLevel="0" max="9" min="6" style="100" width="9.42"/>
    <col collapsed="false" customWidth="true" hidden="false" outlineLevel="0" max="11" min="10" style="100" width="10.29"/>
    <col collapsed="false" customWidth="true" hidden="false" outlineLevel="0" max="16" min="12" style="100" width="9.42"/>
    <col collapsed="false" customWidth="true" hidden="false" outlineLevel="0" max="17" min="17" style="100" width="10.29"/>
    <col collapsed="false" customWidth="true" hidden="false" outlineLevel="0" max="18" min="18" style="100" width="12.14"/>
    <col collapsed="false" customWidth="false" hidden="false" outlineLevel="0" max="1024" min="19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103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95</v>
      </c>
      <c r="B4" s="102"/>
    </row>
    <row r="5" customFormat="false" ht="6" hidden="false" customHeight="true" outlineLevel="0" collapsed="false"/>
    <row r="6" customFormat="false" ht="21" hidden="false" customHeight="true" outlineLevel="0" collapsed="false">
      <c r="A6" s="104"/>
      <c r="B6" s="105" t="s">
        <v>4</v>
      </c>
      <c r="C6" s="105"/>
      <c r="D6" s="105"/>
      <c r="E6" s="105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101</v>
      </c>
      <c r="L6" s="105" t="s">
        <v>102</v>
      </c>
      <c r="M6" s="105" t="s">
        <v>54</v>
      </c>
      <c r="N6" s="105" t="s">
        <v>55</v>
      </c>
      <c r="O6" s="105" t="s">
        <v>56</v>
      </c>
      <c r="P6" s="105" t="s">
        <v>57</v>
      </c>
      <c r="Q6" s="105" t="s">
        <v>58</v>
      </c>
      <c r="R6" s="106" t="s">
        <v>11</v>
      </c>
    </row>
    <row r="7" customFormat="false" ht="15" hidden="false" customHeight="true" outlineLevel="0" collapsed="false"/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+F9+F19+F26</f>
        <v>166652</v>
      </c>
      <c r="G8" s="108" t="n">
        <f aca="false">+G9+G19+G26</f>
        <v>132772</v>
      </c>
      <c r="H8" s="108" t="n">
        <f aca="false">+H9+H19+H26</f>
        <v>171106</v>
      </c>
      <c r="I8" s="108" t="n">
        <f aca="false">+I9+I19+I26</f>
        <v>209104</v>
      </c>
      <c r="J8" s="108" t="n">
        <f aca="false">+J9+J19+J26</f>
        <v>242525</v>
      </c>
      <c r="K8" s="108" t="n">
        <f aca="false">+K9+K19+K26</f>
        <v>163576</v>
      </c>
      <c r="L8" s="108" t="n">
        <f aca="false">+L9+L19+L26</f>
        <v>178474</v>
      </c>
      <c r="M8" s="108" t="n">
        <f aca="false">+M9+M19+M26</f>
        <v>176656</v>
      </c>
      <c r="N8" s="108" t="n">
        <f aca="false">+N9+N19+N26</f>
        <v>164112</v>
      </c>
      <c r="O8" s="108" t="n">
        <f aca="false">+O9+O19+O26</f>
        <v>163015</v>
      </c>
      <c r="P8" s="108" t="n">
        <f aca="false">+P9+P19+P26</f>
        <v>177451</v>
      </c>
      <c r="Q8" s="108" t="n">
        <f aca="false">+Q9+Q19+Q26</f>
        <v>163513</v>
      </c>
      <c r="R8" s="108" t="n">
        <f aca="false">+R9+R19+R26</f>
        <v>2108956</v>
      </c>
      <c r="S8" s="100" t="s">
        <v>59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151565</v>
      </c>
      <c r="G9" s="109" t="n">
        <f aca="false">G10+G14+G17</f>
        <v>117505</v>
      </c>
      <c r="H9" s="109" t="n">
        <f aca="false">H10+H14+H17</f>
        <v>134593</v>
      </c>
      <c r="I9" s="109" t="n">
        <f aca="false">I10+I14+I17</f>
        <v>190119</v>
      </c>
      <c r="J9" s="109" t="n">
        <f aca="false">J10+J14+J17</f>
        <v>156924</v>
      </c>
      <c r="K9" s="109" t="n">
        <f aca="false">K10+K14+K17</f>
        <v>142325</v>
      </c>
      <c r="L9" s="109" t="n">
        <f aca="false">L10+L14+L17</f>
        <v>149378</v>
      </c>
      <c r="M9" s="109" t="n">
        <f aca="false">M10+M14+M17</f>
        <v>167115</v>
      </c>
      <c r="N9" s="109" t="n">
        <f aca="false">N10+N14+N17</f>
        <v>146189</v>
      </c>
      <c r="O9" s="109" t="n">
        <f aca="false">O10+O14+O17</f>
        <v>149327</v>
      </c>
      <c r="P9" s="109" t="n">
        <f aca="false">P10+P14+P17</f>
        <v>165959</v>
      </c>
      <c r="Q9" s="109" t="n">
        <f aca="false">Q10+Q14+Q17</f>
        <v>144476</v>
      </c>
      <c r="R9" s="109" t="n">
        <f aca="false">R10+R14+R17</f>
        <v>1815475</v>
      </c>
    </row>
    <row r="10" customFormat="false" ht="15" hidden="false" customHeight="true" outlineLevel="0" collapsed="false">
      <c r="D10" s="100" t="s">
        <v>14</v>
      </c>
      <c r="F10" s="110" t="n">
        <v>121134</v>
      </c>
      <c r="G10" s="110" t="n">
        <v>88891</v>
      </c>
      <c r="H10" s="110" t="n">
        <v>97063</v>
      </c>
      <c r="I10" s="110" t="n">
        <v>160777</v>
      </c>
      <c r="J10" s="110" t="n">
        <v>128454</v>
      </c>
      <c r="K10" s="110" t="n">
        <v>109550</v>
      </c>
      <c r="L10" s="110" t="n">
        <v>118193</v>
      </c>
      <c r="M10" s="110" t="n">
        <v>138529</v>
      </c>
      <c r="N10" s="110" t="n">
        <v>112268</v>
      </c>
      <c r="O10" s="110" t="n">
        <v>115761</v>
      </c>
      <c r="P10" s="110" t="n">
        <v>136368</v>
      </c>
      <c r="Q10" s="110" t="n">
        <v>106314</v>
      </c>
      <c r="R10" s="110" t="n">
        <v>1433302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436</v>
      </c>
      <c r="H12" s="110" t="n">
        <v>649</v>
      </c>
      <c r="I12" s="110" t="n">
        <v>0</v>
      </c>
      <c r="J12" s="110" t="n">
        <v>344</v>
      </c>
      <c r="K12" s="110" t="n">
        <v>167</v>
      </c>
      <c r="L12" s="110" t="n">
        <v>257</v>
      </c>
      <c r="M12" s="110" t="n">
        <v>196</v>
      </c>
      <c r="N12" s="110" t="n">
        <v>329</v>
      </c>
      <c r="O12" s="110" t="n">
        <v>1481</v>
      </c>
      <c r="P12" s="110" t="n">
        <v>0</v>
      </c>
      <c r="Q12" s="110" t="n">
        <v>251</v>
      </c>
      <c r="R12" s="110" t="n">
        <v>4110</v>
      </c>
    </row>
    <row r="13" customFormat="false" ht="15" hidden="false" customHeight="true" outlineLevel="0" collapsed="false">
      <c r="E13" s="100" t="s">
        <v>17</v>
      </c>
      <c r="F13" s="110" t="n">
        <v>0</v>
      </c>
      <c r="G13" s="110" t="n">
        <v>57</v>
      </c>
      <c r="H13" s="110" t="n">
        <v>638</v>
      </c>
      <c r="I13" s="110" t="n">
        <v>867</v>
      </c>
      <c r="J13" s="110" t="n">
        <v>969</v>
      </c>
      <c r="K13" s="110" t="n">
        <v>32</v>
      </c>
      <c r="L13" s="110" t="n">
        <v>64</v>
      </c>
      <c r="M13" s="110" t="n">
        <v>285</v>
      </c>
      <c r="N13" s="110" t="n">
        <v>0</v>
      </c>
      <c r="O13" s="110" t="n">
        <v>66</v>
      </c>
      <c r="P13" s="110" t="n">
        <v>286</v>
      </c>
      <c r="Q13" s="110" t="n">
        <v>318</v>
      </c>
      <c r="R13" s="110" t="n">
        <v>3582</v>
      </c>
    </row>
    <row r="14" customFormat="false" ht="15" hidden="false" customHeight="true" outlineLevel="0" collapsed="false">
      <c r="D14" s="100" t="s">
        <v>18</v>
      </c>
      <c r="F14" s="110" t="n">
        <v>29381</v>
      </c>
      <c r="G14" s="110" t="n">
        <v>27194</v>
      </c>
      <c r="H14" s="110" t="n">
        <v>35717</v>
      </c>
      <c r="I14" s="110" t="n">
        <v>28136</v>
      </c>
      <c r="J14" s="110" t="n">
        <v>26699</v>
      </c>
      <c r="K14" s="110" t="n">
        <v>31522</v>
      </c>
      <c r="L14" s="110" t="n">
        <v>30033</v>
      </c>
      <c r="M14" s="110" t="n">
        <v>26895</v>
      </c>
      <c r="N14" s="110" t="n">
        <v>32651</v>
      </c>
      <c r="O14" s="110" t="n">
        <v>32490</v>
      </c>
      <c r="P14" s="110" t="n">
        <v>29061</v>
      </c>
      <c r="Q14" s="110" t="n">
        <v>37755</v>
      </c>
      <c r="R14" s="110" t="n">
        <v>367534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4952</v>
      </c>
      <c r="I16" s="110" t="n">
        <v>21</v>
      </c>
      <c r="J16" s="110" t="n">
        <v>0</v>
      </c>
      <c r="K16" s="110" t="n">
        <v>0</v>
      </c>
      <c r="L16" s="110" t="n">
        <v>13</v>
      </c>
      <c r="M16" s="110" t="n">
        <v>6</v>
      </c>
      <c r="N16" s="110" t="n">
        <v>179</v>
      </c>
      <c r="O16" s="110" t="n">
        <v>0</v>
      </c>
      <c r="P16" s="110" t="n">
        <v>130</v>
      </c>
      <c r="Q16" s="110" t="n">
        <v>4828</v>
      </c>
      <c r="R16" s="110" t="n">
        <v>10129</v>
      </c>
    </row>
    <row r="17" customFormat="false" ht="15" hidden="false" customHeight="true" outlineLevel="0" collapsed="false">
      <c r="D17" s="100" t="s">
        <v>87</v>
      </c>
      <c r="F17" s="110" t="n">
        <v>1050</v>
      </c>
      <c r="G17" s="110" t="n">
        <v>1420</v>
      </c>
      <c r="H17" s="110" t="n">
        <v>1813</v>
      </c>
      <c r="I17" s="110" t="n">
        <v>1206</v>
      </c>
      <c r="J17" s="110" t="n">
        <v>1771</v>
      </c>
      <c r="K17" s="110" t="n">
        <v>1253</v>
      </c>
      <c r="L17" s="110" t="n">
        <v>1152</v>
      </c>
      <c r="M17" s="110" t="n">
        <v>1691</v>
      </c>
      <c r="N17" s="110" t="n">
        <v>1270</v>
      </c>
      <c r="O17" s="110" t="n">
        <v>1076</v>
      </c>
      <c r="P17" s="110" t="n">
        <v>530</v>
      </c>
      <c r="Q17" s="110" t="n">
        <v>407</v>
      </c>
      <c r="R17" s="110" t="n">
        <v>14639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customFormat="false" ht="15" hidden="false" customHeight="true" outlineLevel="0" collapsed="false">
      <c r="C19" s="100" t="s">
        <v>20</v>
      </c>
      <c r="F19" s="109" t="n">
        <f aca="false">SUM(F20:F24)</f>
        <v>15036</v>
      </c>
      <c r="G19" s="109" t="n">
        <f aca="false">SUM(G20:G24)</f>
        <v>15229</v>
      </c>
      <c r="H19" s="109" t="n">
        <f aca="false">SUM(H20:H24)</f>
        <v>36487</v>
      </c>
      <c r="I19" s="109" t="n">
        <f aca="false">SUM(I20:I24)</f>
        <v>18983</v>
      </c>
      <c r="J19" s="109" t="n">
        <f aca="false">SUM(J20:J24)</f>
        <v>85600</v>
      </c>
      <c r="K19" s="109" t="n">
        <f aca="false">SUM(K20:K24)</f>
        <v>21251</v>
      </c>
      <c r="L19" s="109" t="n">
        <f aca="false">SUM(L20:L24)</f>
        <v>29094</v>
      </c>
      <c r="M19" s="109" t="n">
        <f aca="false">SUM(M20:M24)</f>
        <v>9541</v>
      </c>
      <c r="N19" s="109" t="n">
        <f aca="false">SUM(N20:N24)</f>
        <v>17900</v>
      </c>
      <c r="O19" s="109" t="n">
        <f aca="false">SUM(O20:O24)</f>
        <v>13685</v>
      </c>
      <c r="P19" s="109" t="n">
        <f aca="false">SUM(P20:P24)</f>
        <v>11482</v>
      </c>
      <c r="Q19" s="109" t="n">
        <f aca="false">SUM(Q20:Q24)</f>
        <v>19029</v>
      </c>
      <c r="R19" s="109" t="n">
        <f aca="false">SUM(R20:R24)</f>
        <v>293317</v>
      </c>
      <c r="S19" s="100" t="s">
        <v>59</v>
      </c>
    </row>
    <row r="20" customFormat="false" ht="15" hidden="false" customHeight="true" outlineLevel="0" collapsed="false">
      <c r="D20" s="100" t="s">
        <v>21</v>
      </c>
      <c r="F20" s="110" t="n">
        <v>8928</v>
      </c>
      <c r="G20" s="110" t="n">
        <v>4377</v>
      </c>
      <c r="H20" s="110" t="n">
        <v>24569</v>
      </c>
      <c r="I20" s="110" t="n">
        <v>11579</v>
      </c>
      <c r="J20" s="110" t="n">
        <v>10952</v>
      </c>
      <c r="K20" s="110" t="n">
        <v>6630</v>
      </c>
      <c r="L20" s="110" t="n">
        <v>14185</v>
      </c>
      <c r="M20" s="110" t="n">
        <v>2683</v>
      </c>
      <c r="N20" s="110" t="n">
        <v>7952</v>
      </c>
      <c r="O20" s="110" t="n">
        <v>5585</v>
      </c>
      <c r="P20" s="110" t="n">
        <v>3101</v>
      </c>
      <c r="Q20" s="110" t="n">
        <v>9494</v>
      </c>
      <c r="R20" s="110" t="n">
        <f aca="false">SUM(F20:Q20)</f>
        <v>110035</v>
      </c>
    </row>
    <row r="21" customFormat="false" ht="15" hidden="false" customHeight="true" outlineLevel="0" collapsed="false">
      <c r="D21" s="100" t="s">
        <v>88</v>
      </c>
      <c r="F21" s="110" t="n">
        <v>1736</v>
      </c>
      <c r="G21" s="110" t="n">
        <v>3710</v>
      </c>
      <c r="H21" s="110" t="n">
        <v>2596</v>
      </c>
      <c r="I21" s="110" t="n">
        <v>3265</v>
      </c>
      <c r="J21" s="110" t="n">
        <v>4091</v>
      </c>
      <c r="K21" s="110" t="n">
        <v>2562</v>
      </c>
      <c r="L21" s="110" t="n">
        <v>2358</v>
      </c>
      <c r="M21" s="110" t="n">
        <v>3231</v>
      </c>
      <c r="N21" s="110" t="n">
        <v>2987</v>
      </c>
      <c r="O21" s="110" t="n">
        <v>5520</v>
      </c>
      <c r="P21" s="110" t="n">
        <v>2188</v>
      </c>
      <c r="Q21" s="110" t="n">
        <v>2161</v>
      </c>
      <c r="R21" s="110" t="n">
        <f aca="false">SUM(F21:Q21)</f>
        <v>36405</v>
      </c>
      <c r="S21" s="110"/>
    </row>
    <row r="22" customFormat="false" ht="15" hidden="false" customHeight="true" outlineLevel="0" collapsed="false">
      <c r="D22" s="100" t="s">
        <v>23</v>
      </c>
      <c r="F22" s="110" t="n">
        <v>142</v>
      </c>
      <c r="G22" s="110" t="n">
        <v>0</v>
      </c>
      <c r="H22" s="110" t="n">
        <v>42</v>
      </c>
      <c r="I22" s="110" t="n">
        <v>0</v>
      </c>
      <c r="J22" s="110" t="n">
        <v>60071</v>
      </c>
      <c r="K22" s="110" t="n">
        <v>2351</v>
      </c>
      <c r="L22" s="110" t="n">
        <v>126</v>
      </c>
      <c r="M22" s="110" t="n">
        <v>0</v>
      </c>
      <c r="N22" s="110" t="n">
        <v>15</v>
      </c>
      <c r="O22" s="110" t="n">
        <v>0</v>
      </c>
      <c r="P22" s="110" t="n">
        <v>9</v>
      </c>
      <c r="Q22" s="110" t="n">
        <v>27</v>
      </c>
      <c r="R22" s="110" t="n">
        <f aca="false">SUM(F22:Q22)</f>
        <v>62783</v>
      </c>
    </row>
    <row r="23" customFormat="false" ht="15" hidden="false" customHeight="true" outlineLevel="0" collapsed="false">
      <c r="D23" s="1" t="s">
        <v>24</v>
      </c>
      <c r="F23" s="110" t="n">
        <v>2211.71</v>
      </c>
      <c r="G23" s="110" t="n">
        <v>1833.998</v>
      </c>
      <c r="H23" s="110" t="n">
        <v>1455.498</v>
      </c>
      <c r="I23" s="110" t="n">
        <v>1614.933</v>
      </c>
      <c r="J23" s="110" t="n">
        <v>679.886</v>
      </c>
      <c r="K23" s="110" t="n">
        <v>310.9</v>
      </c>
      <c r="L23" s="110" t="n">
        <v>1257.79</v>
      </c>
      <c r="M23" s="110" t="n">
        <v>1073.532</v>
      </c>
      <c r="N23" s="110" t="n">
        <v>694.706</v>
      </c>
      <c r="O23" s="110" t="n">
        <v>1044.813</v>
      </c>
      <c r="P23" s="110" t="n">
        <v>1045.495</v>
      </c>
      <c r="Q23" s="110" t="n">
        <v>1097.357</v>
      </c>
      <c r="R23" s="110" t="n">
        <f aca="false">SUM(F23:Q23)</f>
        <v>14320.618</v>
      </c>
      <c r="S23" s="110"/>
    </row>
    <row r="24" customFormat="false" ht="15" hidden="false" customHeight="true" outlineLevel="0" collapsed="false">
      <c r="D24" s="1" t="s">
        <v>25</v>
      </c>
      <c r="F24" s="110" t="n">
        <v>2018.29</v>
      </c>
      <c r="G24" s="110" t="n">
        <v>5308.002</v>
      </c>
      <c r="H24" s="110" t="n">
        <v>7824.502</v>
      </c>
      <c r="I24" s="110" t="n">
        <v>2524.067</v>
      </c>
      <c r="J24" s="110" t="n">
        <v>9806.114</v>
      </c>
      <c r="K24" s="110" t="n">
        <v>9397.1</v>
      </c>
      <c r="L24" s="110" t="n">
        <v>11167.21</v>
      </c>
      <c r="M24" s="110" t="n">
        <v>2553.468</v>
      </c>
      <c r="N24" s="110" t="n">
        <v>6251.294</v>
      </c>
      <c r="O24" s="110" t="n">
        <v>1535.187</v>
      </c>
      <c r="P24" s="110" t="n">
        <v>5138.505</v>
      </c>
      <c r="Q24" s="110" t="n">
        <v>6249.643</v>
      </c>
      <c r="R24" s="110" t="n">
        <f aca="false">SUM(F24:Q24)</f>
        <v>69773.382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 t="s">
        <v>59</v>
      </c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51</v>
      </c>
      <c r="G26" s="110" t="n">
        <v>38</v>
      </c>
      <c r="H26" s="110" t="n">
        <v>26</v>
      </c>
      <c r="I26" s="110" t="n">
        <v>2</v>
      </c>
      <c r="J26" s="110" t="n">
        <v>1</v>
      </c>
      <c r="K26" s="110" t="n">
        <v>0</v>
      </c>
      <c r="L26" s="110" t="n">
        <v>2</v>
      </c>
      <c r="M26" s="110" t="n">
        <v>0</v>
      </c>
      <c r="N26" s="110" t="n">
        <v>23</v>
      </c>
      <c r="O26" s="110" t="n">
        <v>3</v>
      </c>
      <c r="P26" s="110" t="n">
        <v>10</v>
      </c>
      <c r="Q26" s="110" t="n">
        <v>8</v>
      </c>
      <c r="R26" s="110" t="n">
        <v>164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173124</v>
      </c>
      <c r="G28" s="108" t="n">
        <f aca="false">SUM(G30:G36)</f>
        <v>142445</v>
      </c>
      <c r="H28" s="108" t="n">
        <f aca="false">SUM(H30:H36)</f>
        <v>188478</v>
      </c>
      <c r="I28" s="108" t="n">
        <f aca="false">SUM(I30:I36)</f>
        <v>156505</v>
      </c>
      <c r="J28" s="108" t="n">
        <f aca="false">SUM(J30:J36)</f>
        <v>175188</v>
      </c>
      <c r="K28" s="108" t="n">
        <f aca="false">SUM(K30:K36)</f>
        <v>236249</v>
      </c>
      <c r="L28" s="108" t="n">
        <f aca="false">SUM(L30:L36)</f>
        <v>210672</v>
      </c>
      <c r="M28" s="108" t="n">
        <f aca="false">SUM(M30:M36)</f>
        <v>161616</v>
      </c>
      <c r="N28" s="108" t="n">
        <f aca="false">SUM(N30:N36)</f>
        <v>186252</v>
      </c>
      <c r="O28" s="108" t="n">
        <f aca="false">SUM(O30:O36)</f>
        <v>190037</v>
      </c>
      <c r="P28" s="108" t="n">
        <f aca="false">SUM(P30:P36)</f>
        <v>171422</v>
      </c>
      <c r="Q28" s="108" t="n">
        <f aca="false">SUM(Q30:Q36)</f>
        <v>238657</v>
      </c>
      <c r="R28" s="108" t="n">
        <f aca="false">SUM(F28:Q28)</f>
        <v>2230645</v>
      </c>
      <c r="S28" s="110" t="s">
        <v>59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 t="s">
        <v>59</v>
      </c>
    </row>
    <row r="30" customFormat="false" ht="15" hidden="false" customHeight="true" outlineLevel="0" collapsed="false">
      <c r="D30" s="100" t="s">
        <v>28</v>
      </c>
      <c r="F30" s="110" t="n">
        <v>32489</v>
      </c>
      <c r="G30" s="110" t="n">
        <v>32286</v>
      </c>
      <c r="H30" s="110" t="n">
        <v>32291</v>
      </c>
      <c r="I30" s="110" t="n">
        <v>32277</v>
      </c>
      <c r="J30" s="110" t="n">
        <v>32277</v>
      </c>
      <c r="K30" s="110" t="n">
        <v>32277</v>
      </c>
      <c r="L30" s="110" t="n">
        <v>32277</v>
      </c>
      <c r="M30" s="110" t="n">
        <v>32277</v>
      </c>
      <c r="N30" s="110" t="n">
        <v>32277</v>
      </c>
      <c r="O30" s="110" t="n">
        <v>32277</v>
      </c>
      <c r="P30" s="110" t="n">
        <v>32277</v>
      </c>
      <c r="Q30" s="110" t="n">
        <v>32277</v>
      </c>
      <c r="R30" s="110" t="n">
        <f aca="false">SUM(F30:Q30)</f>
        <v>387559</v>
      </c>
      <c r="S30" s="110"/>
    </row>
    <row r="31" customFormat="false" ht="15" hidden="false" customHeight="true" outlineLevel="0" collapsed="false">
      <c r="D31" s="100" t="s">
        <v>29</v>
      </c>
      <c r="F31" s="110" t="n">
        <v>51391</v>
      </c>
      <c r="G31" s="110" t="n">
        <v>18902</v>
      </c>
      <c r="H31" s="110" t="n">
        <v>30321</v>
      </c>
      <c r="I31" s="110" t="n">
        <v>15677</v>
      </c>
      <c r="J31" s="110" t="n">
        <v>20626</v>
      </c>
      <c r="K31" s="110" t="n">
        <v>19205</v>
      </c>
      <c r="L31" s="110" t="n">
        <v>53078</v>
      </c>
      <c r="M31" s="110" t="n">
        <v>16457</v>
      </c>
      <c r="N31" s="110" t="n">
        <v>30094</v>
      </c>
      <c r="O31" s="110" t="n">
        <v>16144</v>
      </c>
      <c r="P31" s="110" t="n">
        <v>15992</v>
      </c>
      <c r="Q31" s="110" t="n">
        <v>21477</v>
      </c>
      <c r="R31" s="110" t="n">
        <f aca="false">SUM(F31:Q31)</f>
        <v>309364</v>
      </c>
      <c r="S31" s="110"/>
    </row>
    <row r="32" customFormat="false" ht="15" hidden="false" customHeight="true" outlineLevel="0" collapsed="false">
      <c r="D32" s="100" t="s">
        <v>30</v>
      </c>
      <c r="F32" s="110" t="n">
        <v>0</v>
      </c>
      <c r="G32" s="110" t="n">
        <v>493</v>
      </c>
      <c r="H32" s="110" t="n">
        <v>6239</v>
      </c>
      <c r="I32" s="110" t="n">
        <v>888</v>
      </c>
      <c r="J32" s="110" t="n">
        <v>1313</v>
      </c>
      <c r="K32" s="110" t="n">
        <v>199</v>
      </c>
      <c r="L32" s="110" t="n">
        <v>334</v>
      </c>
      <c r="M32" s="110" t="n">
        <v>487</v>
      </c>
      <c r="N32" s="110" t="n">
        <v>508</v>
      </c>
      <c r="O32" s="110" t="n">
        <v>1547</v>
      </c>
      <c r="P32" s="110" t="n">
        <v>416</v>
      </c>
      <c r="Q32" s="110" t="n">
        <v>5397</v>
      </c>
      <c r="R32" s="110" t="n">
        <f aca="false">SUM(F32:Q32)</f>
        <v>17821</v>
      </c>
    </row>
    <row r="33" customFormat="false" ht="15" hidden="false" customHeight="true" outlineLevel="0" collapsed="false">
      <c r="D33" s="100" t="s">
        <v>77</v>
      </c>
      <c r="F33" s="110" t="n">
        <v>145</v>
      </c>
      <c r="G33" s="110" t="n">
        <v>685</v>
      </c>
      <c r="H33" s="110" t="n">
        <v>2862</v>
      </c>
      <c r="I33" s="110" t="n">
        <v>785</v>
      </c>
      <c r="J33" s="110" t="n">
        <v>4546</v>
      </c>
      <c r="K33" s="110" t="n">
        <v>34947</v>
      </c>
      <c r="L33" s="110" t="n">
        <v>2318</v>
      </c>
      <c r="M33" s="110" t="n">
        <v>8802</v>
      </c>
      <c r="N33" s="110" t="n">
        <v>729</v>
      </c>
      <c r="O33" s="110" t="n">
        <v>6480</v>
      </c>
      <c r="P33" s="110" t="n">
        <v>3707</v>
      </c>
      <c r="Q33" s="110" t="n">
        <v>12007</v>
      </c>
      <c r="R33" s="110" t="n">
        <f aca="false">SUM(F33:Q33)</f>
        <v>78013</v>
      </c>
      <c r="S33" s="110"/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15</v>
      </c>
      <c r="H34" s="110" t="n">
        <v>131</v>
      </c>
      <c r="I34" s="110" t="n">
        <v>146</v>
      </c>
      <c r="J34" s="110" t="n">
        <v>0</v>
      </c>
      <c r="K34" s="110" t="n">
        <v>25</v>
      </c>
      <c r="L34" s="110" t="n">
        <v>0</v>
      </c>
      <c r="M34" s="110" t="n">
        <v>19</v>
      </c>
      <c r="N34" s="110" t="n">
        <v>0</v>
      </c>
      <c r="O34" s="110" t="n">
        <v>176</v>
      </c>
      <c r="P34" s="110" t="n">
        <v>25</v>
      </c>
      <c r="Q34" s="110" t="n">
        <v>230</v>
      </c>
      <c r="R34" s="110" t="n">
        <f aca="false">SUM(F34:Q34)</f>
        <v>767</v>
      </c>
    </row>
    <row r="35" customFormat="false" ht="15" hidden="false" customHeight="true" outlineLevel="0" collapsed="false">
      <c r="D35" s="100" t="s">
        <v>78</v>
      </c>
      <c r="F35" s="110" t="n">
        <v>850</v>
      </c>
      <c r="G35" s="110" t="n">
        <v>217</v>
      </c>
      <c r="H35" s="110" t="n">
        <v>1151</v>
      </c>
      <c r="I35" s="110" t="n">
        <v>436</v>
      </c>
      <c r="J35" s="110" t="n">
        <v>342</v>
      </c>
      <c r="K35" s="110" t="n">
        <v>-337</v>
      </c>
      <c r="L35" s="110" t="n">
        <v>267</v>
      </c>
      <c r="M35" s="110" t="n">
        <v>162</v>
      </c>
      <c r="N35" s="110" t="n">
        <v>1404</v>
      </c>
      <c r="O35" s="110" t="n">
        <v>4404</v>
      </c>
      <c r="P35" s="110" t="n">
        <v>380</v>
      </c>
      <c r="Q35" s="110" t="n">
        <v>420</v>
      </c>
      <c r="R35" s="110" t="n">
        <f aca="false">SUM(F35:Q35)</f>
        <v>9696</v>
      </c>
    </row>
    <row r="36" customFormat="false" ht="15" hidden="false" customHeight="true" outlineLevel="0" collapsed="false">
      <c r="D36" s="1" t="s">
        <v>79</v>
      </c>
      <c r="F36" s="110" t="n">
        <v>88249</v>
      </c>
      <c r="G36" s="110" t="n">
        <v>89847</v>
      </c>
      <c r="H36" s="110" t="n">
        <v>115483</v>
      </c>
      <c r="I36" s="110" t="n">
        <v>106296</v>
      </c>
      <c r="J36" s="110" t="n">
        <v>116084</v>
      </c>
      <c r="K36" s="110" t="n">
        <v>149933</v>
      </c>
      <c r="L36" s="110" t="n">
        <v>122398</v>
      </c>
      <c r="M36" s="110" t="n">
        <v>103412</v>
      </c>
      <c r="N36" s="110" t="n">
        <v>121240</v>
      </c>
      <c r="O36" s="110" t="n">
        <v>129009</v>
      </c>
      <c r="P36" s="110" t="n">
        <v>118625</v>
      </c>
      <c r="Q36" s="110" t="n">
        <v>166849</v>
      </c>
      <c r="R36" s="110" t="n">
        <f aca="false">SUM(F36:Q36)</f>
        <v>1427425</v>
      </c>
      <c r="S36" s="110"/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10"/>
      <c r="S37" s="110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-6472</v>
      </c>
      <c r="G38" s="112" t="n">
        <f aca="false">+G8-G28</f>
        <v>-9673</v>
      </c>
      <c r="H38" s="112" t="n">
        <f aca="false">+H8-H28</f>
        <v>-17372</v>
      </c>
      <c r="I38" s="112" t="n">
        <f aca="false">+I8-I28</f>
        <v>52599</v>
      </c>
      <c r="J38" s="112" t="n">
        <f aca="false">+J8-J28</f>
        <v>67337</v>
      </c>
      <c r="K38" s="112" t="n">
        <f aca="false">+K8-K28</f>
        <v>-72673</v>
      </c>
      <c r="L38" s="112" t="n">
        <f aca="false">+L8-L28</f>
        <v>-32198</v>
      </c>
      <c r="M38" s="112" t="n">
        <f aca="false">+M8-M28</f>
        <v>15040</v>
      </c>
      <c r="N38" s="112" t="n">
        <f aca="false">+N8-N28</f>
        <v>-22140</v>
      </c>
      <c r="O38" s="112" t="n">
        <f aca="false">+O8-O28</f>
        <v>-27022</v>
      </c>
      <c r="P38" s="112" t="n">
        <f aca="false">+P8-P28</f>
        <v>6029</v>
      </c>
      <c r="Q38" s="112" t="n">
        <f aca="false">+Q8-Q28</f>
        <v>-75144</v>
      </c>
      <c r="R38" s="112" t="n">
        <f aca="false">SUM(F38:Q38)</f>
        <v>-121689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-23528</v>
      </c>
      <c r="G40" s="108" t="n">
        <v>21790</v>
      </c>
      <c r="H40" s="108" t="n">
        <v>-7570</v>
      </c>
      <c r="I40" s="108" t="n">
        <v>-6370</v>
      </c>
      <c r="J40" s="108" t="n">
        <v>802</v>
      </c>
      <c r="K40" s="108" t="n">
        <v>30319</v>
      </c>
      <c r="L40" s="108" t="n">
        <v>19897</v>
      </c>
      <c r="M40" s="108" t="n">
        <v>24441</v>
      </c>
      <c r="N40" s="108" t="n">
        <v>16361</v>
      </c>
      <c r="O40" s="108" t="n">
        <v>30111</v>
      </c>
      <c r="P40" s="108" t="n">
        <v>-7166</v>
      </c>
      <c r="Q40" s="108" t="n">
        <v>-6236</v>
      </c>
      <c r="R40" s="108" t="n">
        <v>92851</v>
      </c>
    </row>
    <row r="41" customFormat="false" ht="15" hidden="false" customHeight="true" outlineLevel="0" collapsed="false">
      <c r="C41" s="100" t="s">
        <v>37</v>
      </c>
      <c r="F41" s="109" t="n">
        <v>34497</v>
      </c>
      <c r="G41" s="109" t="n">
        <v>11468</v>
      </c>
      <c r="H41" s="109" t="n">
        <v>-23360</v>
      </c>
      <c r="I41" s="109" t="n">
        <v>22471</v>
      </c>
      <c r="J41" s="109" t="n">
        <v>-4516</v>
      </c>
      <c r="K41" s="109" t="n">
        <v>10287</v>
      </c>
      <c r="L41" s="109" t="n">
        <v>3647</v>
      </c>
      <c r="M41" s="109" t="n">
        <v>-449</v>
      </c>
      <c r="N41" s="109" t="n">
        <v>-3755</v>
      </c>
      <c r="O41" s="109" t="n">
        <v>15984</v>
      </c>
      <c r="P41" s="109" t="n">
        <v>-5647</v>
      </c>
      <c r="Q41" s="109" t="n">
        <v>4155</v>
      </c>
      <c r="R41" s="109" t="n">
        <v>64782</v>
      </c>
      <c r="S41" s="110"/>
    </row>
    <row r="42" customFormat="false" ht="15" hidden="false" customHeight="true" outlineLevel="0" collapsed="false">
      <c r="D42" s="100" t="s">
        <v>38</v>
      </c>
      <c r="F42" s="110" t="n">
        <v>35765</v>
      </c>
      <c r="G42" s="110" t="n">
        <v>15266</v>
      </c>
      <c r="H42" s="110" t="n">
        <v>3362</v>
      </c>
      <c r="I42" s="110" t="n">
        <v>25284</v>
      </c>
      <c r="J42" s="110" t="n">
        <v>760</v>
      </c>
      <c r="K42" s="110" t="n">
        <v>14960</v>
      </c>
      <c r="L42" s="110" t="n">
        <v>5444</v>
      </c>
      <c r="M42" s="110" t="n">
        <v>3282</v>
      </c>
      <c r="N42" s="110" t="n">
        <v>914</v>
      </c>
      <c r="O42" s="110" t="n">
        <v>18888</v>
      </c>
      <c r="P42" s="110" t="n">
        <v>786</v>
      </c>
      <c r="Q42" s="110" t="n">
        <v>10118</v>
      </c>
      <c r="R42" s="110" t="n">
        <v>134829</v>
      </c>
    </row>
    <row r="43" customFormat="false" ht="15" hidden="false" customHeight="true" outlineLevel="0" collapsed="false">
      <c r="D43" s="100" t="s">
        <v>97</v>
      </c>
      <c r="F43" s="110" t="n">
        <v>1268</v>
      </c>
      <c r="G43" s="110" t="n">
        <v>3798</v>
      </c>
      <c r="H43" s="110" t="n">
        <v>26722</v>
      </c>
      <c r="I43" s="110" t="n">
        <v>2813</v>
      </c>
      <c r="J43" s="110" t="n">
        <v>5276</v>
      </c>
      <c r="K43" s="110" t="n">
        <v>4673</v>
      </c>
      <c r="L43" s="110" t="n">
        <v>1797</v>
      </c>
      <c r="M43" s="110" t="n">
        <v>3731</v>
      </c>
      <c r="N43" s="110" t="n">
        <v>4669</v>
      </c>
      <c r="O43" s="110" t="n">
        <v>2904</v>
      </c>
      <c r="P43" s="110" t="n">
        <v>6433</v>
      </c>
      <c r="Q43" s="110" t="n">
        <v>5963</v>
      </c>
      <c r="R43" s="110" t="n">
        <v>70047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-58025</v>
      </c>
      <c r="G45" s="109" t="n">
        <v>10322</v>
      </c>
      <c r="H45" s="109" t="n">
        <v>15790</v>
      </c>
      <c r="I45" s="109" t="n">
        <v>-28841</v>
      </c>
      <c r="J45" s="109" t="n">
        <v>5318</v>
      </c>
      <c r="K45" s="109" t="n">
        <v>20032</v>
      </c>
      <c r="L45" s="109" t="n">
        <v>16250</v>
      </c>
      <c r="M45" s="109" t="n">
        <v>24890</v>
      </c>
      <c r="N45" s="109" t="n">
        <v>20116</v>
      </c>
      <c r="O45" s="109" t="n">
        <v>14127</v>
      </c>
      <c r="P45" s="109" t="n">
        <v>-1519</v>
      </c>
      <c r="Q45" s="109" t="n">
        <v>-10391</v>
      </c>
      <c r="R45" s="109" t="n">
        <v>28069</v>
      </c>
    </row>
    <row r="46" customFormat="false" ht="15" hidden="false" customHeight="true" outlineLevel="0" collapsed="false">
      <c r="D46" s="100" t="s">
        <v>41</v>
      </c>
      <c r="F46" s="110" t="n">
        <v>7890</v>
      </c>
      <c r="G46" s="110" t="n">
        <v>12000</v>
      </c>
      <c r="H46" s="110" t="n">
        <v>26600</v>
      </c>
      <c r="I46" s="110" t="n">
        <v>2460</v>
      </c>
      <c r="J46" s="110" t="n">
        <v>21385</v>
      </c>
      <c r="K46" s="110" t="n">
        <v>20515</v>
      </c>
      <c r="L46" s="110" t="n">
        <v>27945</v>
      </c>
      <c r="M46" s="110" t="n">
        <v>29340</v>
      </c>
      <c r="N46" s="110" t="n">
        <v>26764</v>
      </c>
      <c r="O46" s="110" t="n">
        <v>14880</v>
      </c>
      <c r="P46" s="110" t="n">
        <v>2554</v>
      </c>
      <c r="Q46" s="110" t="n">
        <v>-9535</v>
      </c>
      <c r="R46" s="110" t="n">
        <v>182798</v>
      </c>
    </row>
    <row r="47" customFormat="false" ht="15" hidden="false" customHeight="true" outlineLevel="0" collapsed="false">
      <c r="D47" s="100" t="s">
        <v>97</v>
      </c>
      <c r="F47" s="110" t="n">
        <v>65915</v>
      </c>
      <c r="G47" s="110" t="n">
        <v>1678</v>
      </c>
      <c r="H47" s="110" t="n">
        <v>10810</v>
      </c>
      <c r="I47" s="110" t="n">
        <v>31301</v>
      </c>
      <c r="J47" s="110" t="n">
        <v>16067</v>
      </c>
      <c r="K47" s="110" t="n">
        <v>483</v>
      </c>
      <c r="L47" s="110" t="n">
        <v>11695</v>
      </c>
      <c r="M47" s="110" t="n">
        <v>4450</v>
      </c>
      <c r="N47" s="110" t="n">
        <v>6648</v>
      </c>
      <c r="O47" s="110" t="n">
        <v>753</v>
      </c>
      <c r="P47" s="110" t="n">
        <v>4073</v>
      </c>
      <c r="Q47" s="110" t="n">
        <v>856</v>
      </c>
      <c r="R47" s="110" t="n">
        <v>154729</v>
      </c>
    </row>
    <row r="48" customFormat="false" ht="1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customFormat="false" ht="15" hidden="false" customHeight="true" outlineLevel="0" collapsed="false">
      <c r="B49" s="107" t="s">
        <v>45</v>
      </c>
      <c r="C49" s="107"/>
      <c r="D49" s="107"/>
      <c r="E49" s="107"/>
      <c r="F49" s="108" t="n">
        <v>68897</v>
      </c>
      <c r="G49" s="108" t="n">
        <v>-4867</v>
      </c>
      <c r="H49" s="108" t="n">
        <v>-33290</v>
      </c>
      <c r="I49" s="108" t="n">
        <v>107139</v>
      </c>
      <c r="J49" s="108" t="n">
        <v>-5629</v>
      </c>
      <c r="K49" s="108" t="n">
        <v>-71700</v>
      </c>
      <c r="L49" s="108" t="n">
        <v>17213</v>
      </c>
      <c r="M49" s="108" t="n">
        <v>24235</v>
      </c>
      <c r="N49" s="108" t="n">
        <v>-18082</v>
      </c>
      <c r="O49" s="108" t="n">
        <v>1877</v>
      </c>
      <c r="P49" s="108" t="n">
        <v>-7830</v>
      </c>
      <c r="Q49" s="108" t="n">
        <v>-79543</v>
      </c>
      <c r="R49" s="108" t="n">
        <v>-1580</v>
      </c>
    </row>
    <row r="50" customFormat="false" ht="14.25" hidden="false" customHeight="fals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false" outlineLevel="0" collapsed="false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</row>
    <row r="52" customFormat="false" ht="15" hidden="false" customHeight="false" outlineLevel="0" collapsed="false">
      <c r="B52" s="103" t="s">
        <v>46</v>
      </c>
    </row>
    <row r="53" customFormat="false" ht="14.25" hidden="false" customHeight="false" outlineLevel="0" collapsed="false">
      <c r="B53" s="103"/>
      <c r="C53" s="31" t="s">
        <v>98</v>
      </c>
    </row>
    <row r="54" customFormat="false" ht="14.25" hidden="false" customHeight="false" outlineLevel="0" collapsed="false">
      <c r="B54" s="31"/>
      <c r="C54" s="31" t="s">
        <v>99</v>
      </c>
    </row>
    <row r="55" customFormat="false" ht="14.25" hidden="false" customHeight="false" outlineLevel="0" collapsed="false">
      <c r="A55" s="31"/>
    </row>
    <row r="56" customFormat="false" ht="14.25" hidden="false" customHeight="false" outlineLevel="0" collapsed="false">
      <c r="B56" s="31" t="s">
        <v>51</v>
      </c>
    </row>
    <row r="57" customFormat="false" ht="14.25" hidden="false" customHeight="false" outlineLevel="0" collapsed="false">
      <c r="B57" s="31" t="s">
        <v>93</v>
      </c>
    </row>
  </sheetData>
  <mergeCells count="1">
    <mergeCell ref="B6:E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P34" activeCellId="0" sqref="P34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33.42"/>
    <col collapsed="false" customWidth="true" hidden="false" outlineLevel="0" max="17" min="6" style="100" width="9.42"/>
    <col collapsed="false" customWidth="true" hidden="false" outlineLevel="0" max="18" min="18" style="100" width="10.85"/>
    <col collapsed="false" customWidth="false" hidden="false" outlineLevel="0" max="1024" min="19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103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3</v>
      </c>
      <c r="B4" s="102"/>
    </row>
    <row r="5" customFormat="false" ht="6" hidden="false" customHeight="true" outlineLevel="0" collapsed="false"/>
    <row r="6" customFormat="false" ht="21" hidden="false" customHeight="true" outlineLevel="0" collapsed="false">
      <c r="A6" s="118"/>
      <c r="B6" s="119" t="s">
        <v>4</v>
      </c>
      <c r="C6" s="119"/>
      <c r="D6" s="119"/>
      <c r="E6" s="119"/>
      <c r="F6" s="119" t="s">
        <v>5</v>
      </c>
      <c r="G6" s="119" t="s">
        <v>6</v>
      </c>
      <c r="H6" s="119" t="s">
        <v>7</v>
      </c>
      <c r="I6" s="119" t="s">
        <v>8</v>
      </c>
      <c r="J6" s="119" t="s">
        <v>9</v>
      </c>
      <c r="K6" s="119" t="s">
        <v>10</v>
      </c>
      <c r="L6" s="119" t="s">
        <v>53</v>
      </c>
      <c r="M6" s="119" t="s">
        <v>54</v>
      </c>
      <c r="N6" s="119" t="s">
        <v>55</v>
      </c>
      <c r="O6" s="119" t="s">
        <v>56</v>
      </c>
      <c r="P6" s="119" t="s">
        <v>57</v>
      </c>
      <c r="Q6" s="119" t="s">
        <v>58</v>
      </c>
      <c r="R6" s="119" t="s">
        <v>11</v>
      </c>
    </row>
    <row r="7" customFormat="false" ht="15" hidden="false" customHeight="true" outlineLevel="0" collapsed="false"/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166652</v>
      </c>
      <c r="G8" s="108" t="n">
        <f aca="false">G9+G19+G26</f>
        <v>132772</v>
      </c>
      <c r="H8" s="108" t="n">
        <f aca="false">H9+H19+H26</f>
        <v>171106</v>
      </c>
      <c r="I8" s="108" t="n">
        <f aca="false">I9+I19+I26</f>
        <v>209104</v>
      </c>
      <c r="J8" s="108" t="n">
        <f aca="false">J9+J19+J26</f>
        <v>242525</v>
      </c>
      <c r="K8" s="108" t="n">
        <f aca="false">K9+K19+K26</f>
        <v>163576</v>
      </c>
      <c r="L8" s="108" t="n">
        <f aca="false">L9+L19+L26</f>
        <v>178474</v>
      </c>
      <c r="M8" s="108" t="n">
        <f aca="false">M9+M19+M26</f>
        <v>176656</v>
      </c>
      <c r="N8" s="108" t="n">
        <f aca="false">N9+N19+N26</f>
        <v>164112</v>
      </c>
      <c r="O8" s="108" t="n">
        <f aca="false">O9+O19+O26</f>
        <v>163015</v>
      </c>
      <c r="P8" s="108" t="n">
        <f aca="false">P9+P19+P26</f>
        <v>177451</v>
      </c>
      <c r="Q8" s="108" t="n">
        <f aca="false">Q9+Q19+Q26</f>
        <v>163513</v>
      </c>
      <c r="R8" s="108" t="n">
        <f aca="false">R9+R19+R26</f>
        <v>2108956</v>
      </c>
      <c r="S8" s="100" t="s">
        <v>59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151565</v>
      </c>
      <c r="G9" s="109" t="n">
        <f aca="false">G10+G14+G17</f>
        <v>117505</v>
      </c>
      <c r="H9" s="109" t="n">
        <f aca="false">H10+H14+H17</f>
        <v>134593</v>
      </c>
      <c r="I9" s="109" t="n">
        <f aca="false">I10+I14+I17</f>
        <v>190119</v>
      </c>
      <c r="J9" s="109" t="n">
        <f aca="false">J10+J14+J17</f>
        <v>156924</v>
      </c>
      <c r="K9" s="109" t="n">
        <f aca="false">K10+K14+K17</f>
        <v>142325</v>
      </c>
      <c r="L9" s="109" t="n">
        <f aca="false">L10+L14+L17</f>
        <v>149378</v>
      </c>
      <c r="M9" s="109" t="n">
        <f aca="false">M10+M14+M17</f>
        <v>167115</v>
      </c>
      <c r="N9" s="109" t="n">
        <f aca="false">N10+N14+N17</f>
        <v>146189</v>
      </c>
      <c r="O9" s="109" t="n">
        <f aca="false">O10+O14+O17</f>
        <v>149327</v>
      </c>
      <c r="P9" s="109" t="n">
        <f aca="false">P10+P14+P17</f>
        <v>165959</v>
      </c>
      <c r="Q9" s="109" t="n">
        <f aca="false">Q10+Q14+Q17</f>
        <v>144476</v>
      </c>
      <c r="R9" s="109" t="n">
        <f aca="false">R10+R14+R17</f>
        <v>1815475</v>
      </c>
    </row>
    <row r="10" customFormat="false" ht="15" hidden="false" customHeight="true" outlineLevel="0" collapsed="false">
      <c r="D10" s="100" t="s">
        <v>14</v>
      </c>
      <c r="F10" s="110" t="n">
        <v>121134</v>
      </c>
      <c r="G10" s="110" t="n">
        <v>88891</v>
      </c>
      <c r="H10" s="110" t="n">
        <v>97063</v>
      </c>
      <c r="I10" s="110" t="n">
        <v>160777</v>
      </c>
      <c r="J10" s="110" t="n">
        <v>128454</v>
      </c>
      <c r="K10" s="110" t="n">
        <v>109550</v>
      </c>
      <c r="L10" s="110" t="n">
        <v>118193</v>
      </c>
      <c r="M10" s="110" t="n">
        <v>138529</v>
      </c>
      <c r="N10" s="110" t="n">
        <v>112268</v>
      </c>
      <c r="O10" s="110" t="n">
        <v>115761</v>
      </c>
      <c r="P10" s="110" t="n">
        <v>136368</v>
      </c>
      <c r="Q10" s="110" t="n">
        <v>106314</v>
      </c>
      <c r="R10" s="110" t="n">
        <f aca="false">SUM(F10:Q10)</f>
        <v>1433302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436</v>
      </c>
      <c r="H12" s="110" t="n">
        <v>649</v>
      </c>
      <c r="I12" s="110" t="n">
        <v>0</v>
      </c>
      <c r="J12" s="110" t="n">
        <v>344</v>
      </c>
      <c r="K12" s="110" t="n">
        <v>167</v>
      </c>
      <c r="L12" s="110" t="n">
        <v>257</v>
      </c>
      <c r="M12" s="110" t="n">
        <v>196</v>
      </c>
      <c r="N12" s="110" t="n">
        <v>329</v>
      </c>
      <c r="O12" s="110" t="n">
        <v>1481</v>
      </c>
      <c r="P12" s="110" t="n">
        <v>0</v>
      </c>
      <c r="Q12" s="110" t="n">
        <v>251</v>
      </c>
      <c r="R12" s="110" t="n">
        <f aca="false">SUM(F12:Q12)</f>
        <v>4110</v>
      </c>
    </row>
    <row r="13" customFormat="false" ht="15" hidden="false" customHeight="true" outlineLevel="0" collapsed="false">
      <c r="E13" s="100" t="s">
        <v>17</v>
      </c>
      <c r="F13" s="110" t="n">
        <v>0</v>
      </c>
      <c r="G13" s="110" t="n">
        <v>57</v>
      </c>
      <c r="H13" s="110" t="n">
        <v>638</v>
      </c>
      <c r="I13" s="110" t="n">
        <v>867</v>
      </c>
      <c r="J13" s="110" t="n">
        <v>969</v>
      </c>
      <c r="K13" s="110" t="n">
        <v>32</v>
      </c>
      <c r="L13" s="110" t="n">
        <v>64</v>
      </c>
      <c r="M13" s="110" t="n">
        <v>285</v>
      </c>
      <c r="N13" s="110" t="n">
        <v>0</v>
      </c>
      <c r="O13" s="110" t="n">
        <v>66</v>
      </c>
      <c r="P13" s="110" t="n">
        <v>286</v>
      </c>
      <c r="Q13" s="110" t="n">
        <v>318</v>
      </c>
      <c r="R13" s="110" t="n">
        <f aca="false">SUM(F13:Q13)</f>
        <v>3582</v>
      </c>
    </row>
    <row r="14" customFormat="false" ht="15" hidden="false" customHeight="true" outlineLevel="0" collapsed="false">
      <c r="D14" s="100" t="s">
        <v>18</v>
      </c>
      <c r="F14" s="110" t="n">
        <v>29381</v>
      </c>
      <c r="G14" s="110" t="n">
        <v>27194</v>
      </c>
      <c r="H14" s="110" t="n">
        <v>35717</v>
      </c>
      <c r="I14" s="110" t="n">
        <v>28136</v>
      </c>
      <c r="J14" s="110" t="n">
        <v>26699</v>
      </c>
      <c r="K14" s="110" t="n">
        <v>31522</v>
      </c>
      <c r="L14" s="110" t="n">
        <v>30033</v>
      </c>
      <c r="M14" s="110" t="n">
        <v>26895</v>
      </c>
      <c r="N14" s="110" t="n">
        <v>32651</v>
      </c>
      <c r="O14" s="110" t="n">
        <v>32490</v>
      </c>
      <c r="P14" s="110" t="n">
        <v>29061</v>
      </c>
      <c r="Q14" s="110" t="n">
        <v>37755</v>
      </c>
      <c r="R14" s="110" t="n">
        <f aca="false">SUM(F14:Q14)</f>
        <v>367534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4952</v>
      </c>
      <c r="I16" s="110" t="n">
        <v>21</v>
      </c>
      <c r="J16" s="110" t="n">
        <v>0</v>
      </c>
      <c r="K16" s="110" t="n">
        <v>0</v>
      </c>
      <c r="L16" s="110" t="n">
        <v>13</v>
      </c>
      <c r="M16" s="110" t="n">
        <v>6</v>
      </c>
      <c r="N16" s="110" t="n">
        <v>179</v>
      </c>
      <c r="O16" s="110" t="n">
        <v>0</v>
      </c>
      <c r="P16" s="110" t="n">
        <v>130</v>
      </c>
      <c r="Q16" s="110" t="n">
        <v>4828</v>
      </c>
      <c r="R16" s="110" t="n">
        <f aca="false">SUM(F16:Q16)</f>
        <v>10129</v>
      </c>
    </row>
    <row r="17" customFormat="false" ht="15" hidden="false" customHeight="true" outlineLevel="0" collapsed="false">
      <c r="D17" s="100" t="s">
        <v>87</v>
      </c>
      <c r="F17" s="110" t="n">
        <v>1050</v>
      </c>
      <c r="G17" s="110" t="n">
        <v>1420</v>
      </c>
      <c r="H17" s="110" t="n">
        <v>1813</v>
      </c>
      <c r="I17" s="110" t="n">
        <v>1206</v>
      </c>
      <c r="J17" s="110" t="n">
        <v>1771</v>
      </c>
      <c r="K17" s="110" t="n">
        <v>1253</v>
      </c>
      <c r="L17" s="110" t="n">
        <v>1152</v>
      </c>
      <c r="M17" s="110" t="n">
        <v>1691</v>
      </c>
      <c r="N17" s="110" t="n">
        <v>1270</v>
      </c>
      <c r="O17" s="110" t="n">
        <v>1076</v>
      </c>
      <c r="P17" s="110" t="n">
        <v>530</v>
      </c>
      <c r="Q17" s="110" t="n">
        <v>407</v>
      </c>
      <c r="R17" s="110" t="n">
        <f aca="false">SUM(F17:Q17)</f>
        <v>14639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customFormat="false" ht="15" hidden="false" customHeight="true" outlineLevel="0" collapsed="false">
      <c r="C19" s="100" t="s">
        <v>20</v>
      </c>
      <c r="F19" s="109" t="n">
        <f aca="false">SUM(F20:F24)</f>
        <v>15036</v>
      </c>
      <c r="G19" s="109" t="n">
        <f aca="false">SUM(G20:G24)</f>
        <v>15229</v>
      </c>
      <c r="H19" s="109" t="n">
        <f aca="false">SUM(H20:H24)</f>
        <v>36487</v>
      </c>
      <c r="I19" s="109" t="n">
        <f aca="false">SUM(I20:I24)</f>
        <v>18983</v>
      </c>
      <c r="J19" s="109" t="n">
        <f aca="false">SUM(J20:J24)</f>
        <v>85600</v>
      </c>
      <c r="K19" s="109" t="n">
        <f aca="false">SUM(K20:K24)</f>
        <v>21251</v>
      </c>
      <c r="L19" s="109" t="n">
        <f aca="false">SUM(L20:L24)</f>
        <v>29094</v>
      </c>
      <c r="M19" s="109" t="n">
        <f aca="false">SUM(M20:M24)</f>
        <v>9541</v>
      </c>
      <c r="N19" s="109" t="n">
        <f aca="false">SUM(N20:N24)</f>
        <v>17900</v>
      </c>
      <c r="O19" s="109" t="n">
        <f aca="false">SUM(O20:O24)</f>
        <v>13685</v>
      </c>
      <c r="P19" s="109" t="n">
        <f aca="false">SUM(P20:P24)</f>
        <v>11482</v>
      </c>
      <c r="Q19" s="109" t="n">
        <f aca="false">SUM(Q20:Q24)</f>
        <v>19029</v>
      </c>
      <c r="R19" s="109" t="n">
        <f aca="false">SUM(R20:R24)</f>
        <v>293317</v>
      </c>
      <c r="S19" s="100" t="s">
        <v>59</v>
      </c>
    </row>
    <row r="20" customFormat="false" ht="15" hidden="false" customHeight="true" outlineLevel="0" collapsed="false">
      <c r="D20" s="100" t="s">
        <v>21</v>
      </c>
      <c r="F20" s="110" t="n">
        <v>8928</v>
      </c>
      <c r="G20" s="110" t="n">
        <v>4377</v>
      </c>
      <c r="H20" s="110" t="n">
        <v>24569</v>
      </c>
      <c r="I20" s="110" t="n">
        <v>11579</v>
      </c>
      <c r="J20" s="110" t="n">
        <v>10952</v>
      </c>
      <c r="K20" s="110" t="n">
        <v>6630</v>
      </c>
      <c r="L20" s="110" t="n">
        <v>14185</v>
      </c>
      <c r="M20" s="110" t="n">
        <v>2683</v>
      </c>
      <c r="N20" s="110" t="n">
        <v>7952</v>
      </c>
      <c r="O20" s="110" t="n">
        <v>5585</v>
      </c>
      <c r="P20" s="110" t="n">
        <v>3101</v>
      </c>
      <c r="Q20" s="110" t="n">
        <v>9494</v>
      </c>
      <c r="R20" s="110" t="n">
        <f aca="false">SUM(F20:Q20)</f>
        <v>110035</v>
      </c>
    </row>
    <row r="21" customFormat="false" ht="15" hidden="false" customHeight="true" outlineLevel="0" collapsed="false">
      <c r="D21" s="100" t="s">
        <v>88</v>
      </c>
      <c r="F21" s="110" t="n">
        <v>1736</v>
      </c>
      <c r="G21" s="110" t="n">
        <v>3710</v>
      </c>
      <c r="H21" s="110" t="n">
        <v>2596</v>
      </c>
      <c r="I21" s="110" t="n">
        <v>3265</v>
      </c>
      <c r="J21" s="110" t="n">
        <v>4091</v>
      </c>
      <c r="K21" s="110" t="n">
        <v>2562</v>
      </c>
      <c r="L21" s="110" t="n">
        <v>2358</v>
      </c>
      <c r="M21" s="110" t="n">
        <v>3231</v>
      </c>
      <c r="N21" s="110" t="n">
        <v>2987</v>
      </c>
      <c r="O21" s="110" t="n">
        <v>5520</v>
      </c>
      <c r="P21" s="110" t="n">
        <v>2188</v>
      </c>
      <c r="Q21" s="110" t="n">
        <v>2161</v>
      </c>
      <c r="R21" s="110" t="n">
        <f aca="false">SUM(F21:Q21)</f>
        <v>36405</v>
      </c>
      <c r="S21" s="110"/>
    </row>
    <row r="22" customFormat="false" ht="15" hidden="false" customHeight="true" outlineLevel="0" collapsed="false">
      <c r="D22" s="100" t="s">
        <v>23</v>
      </c>
      <c r="F22" s="110" t="n">
        <v>142</v>
      </c>
      <c r="G22" s="110" t="n">
        <v>0</v>
      </c>
      <c r="H22" s="110" t="n">
        <v>42</v>
      </c>
      <c r="I22" s="110" t="n">
        <v>0</v>
      </c>
      <c r="J22" s="110" t="n">
        <v>60071</v>
      </c>
      <c r="K22" s="110" t="n">
        <v>2351</v>
      </c>
      <c r="L22" s="110" t="n">
        <v>126</v>
      </c>
      <c r="M22" s="110" t="n">
        <v>0</v>
      </c>
      <c r="N22" s="110" t="n">
        <v>15</v>
      </c>
      <c r="O22" s="110" t="n">
        <v>0</v>
      </c>
      <c r="P22" s="110" t="n">
        <v>9</v>
      </c>
      <c r="Q22" s="110" t="n">
        <v>27</v>
      </c>
      <c r="R22" s="110" t="n">
        <f aca="false">SUM(F22:Q22)</f>
        <v>62783</v>
      </c>
    </row>
    <row r="23" customFormat="false" ht="15" hidden="false" customHeight="true" outlineLevel="0" collapsed="false">
      <c r="D23" s="100" t="s">
        <v>24</v>
      </c>
      <c r="F23" s="110" t="n">
        <v>2211.71</v>
      </c>
      <c r="G23" s="110" t="n">
        <v>1833.998</v>
      </c>
      <c r="H23" s="110" t="n">
        <v>1455.498</v>
      </c>
      <c r="I23" s="110" t="n">
        <v>1614.933</v>
      </c>
      <c r="J23" s="110" t="n">
        <v>679.886</v>
      </c>
      <c r="K23" s="110" t="n">
        <v>310.9</v>
      </c>
      <c r="L23" s="110" t="n">
        <v>1257.79</v>
      </c>
      <c r="M23" s="110" t="n">
        <v>1073.532</v>
      </c>
      <c r="N23" s="110" t="n">
        <v>694.706</v>
      </c>
      <c r="O23" s="110" t="n">
        <v>1044.813</v>
      </c>
      <c r="P23" s="110" t="n">
        <v>1045.495</v>
      </c>
      <c r="Q23" s="110" t="n">
        <v>1097.357</v>
      </c>
      <c r="R23" s="110" t="n">
        <f aca="false">SUM(F23:Q23)</f>
        <v>14320.618</v>
      </c>
      <c r="S23" s="110"/>
      <c r="T23" s="110"/>
    </row>
    <row r="24" customFormat="false" ht="15" hidden="false" customHeight="true" outlineLevel="0" collapsed="false">
      <c r="D24" s="100" t="s">
        <v>25</v>
      </c>
      <c r="F24" s="110" t="n">
        <v>2018.29</v>
      </c>
      <c r="G24" s="110" t="n">
        <v>5308.002</v>
      </c>
      <c r="H24" s="110" t="n">
        <v>7824.502</v>
      </c>
      <c r="I24" s="110" t="n">
        <v>2524.067</v>
      </c>
      <c r="J24" s="110" t="n">
        <v>9806.114</v>
      </c>
      <c r="K24" s="110" t="n">
        <v>9397.1</v>
      </c>
      <c r="L24" s="110" t="n">
        <v>11167.21</v>
      </c>
      <c r="M24" s="110" t="n">
        <v>2553.468</v>
      </c>
      <c r="N24" s="110" t="n">
        <v>6251.294</v>
      </c>
      <c r="O24" s="110" t="n">
        <v>1535.187</v>
      </c>
      <c r="P24" s="110" t="n">
        <v>5138.505</v>
      </c>
      <c r="Q24" s="110" t="n">
        <v>6249.643</v>
      </c>
      <c r="R24" s="110" t="n">
        <f aca="false">SUM(F24:Q24)</f>
        <v>69773.382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51</v>
      </c>
      <c r="G26" s="110" t="n">
        <v>38</v>
      </c>
      <c r="H26" s="110" t="n">
        <v>26</v>
      </c>
      <c r="I26" s="110" t="n">
        <v>2</v>
      </c>
      <c r="J26" s="110" t="n">
        <v>1</v>
      </c>
      <c r="K26" s="110" t="n">
        <v>0</v>
      </c>
      <c r="L26" s="110" t="n">
        <v>2</v>
      </c>
      <c r="M26" s="110" t="n">
        <v>0</v>
      </c>
      <c r="N26" s="110" t="n">
        <v>23</v>
      </c>
      <c r="O26" s="110" t="n">
        <v>3</v>
      </c>
      <c r="P26" s="110" t="n">
        <v>10</v>
      </c>
      <c r="Q26" s="110" t="n">
        <v>8</v>
      </c>
      <c r="R26" s="110" t="n">
        <f aca="false">SUM(F26:Q26)</f>
        <v>164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SUM(F29:F35)</f>
        <v>173124</v>
      </c>
      <c r="G28" s="108" t="n">
        <f aca="false">SUM(G29:G35)</f>
        <v>142445</v>
      </c>
      <c r="H28" s="108" t="n">
        <f aca="false">SUM(H29:H35)</f>
        <v>188478</v>
      </c>
      <c r="I28" s="108" t="n">
        <f aca="false">SUM(I29:I35)</f>
        <v>156505</v>
      </c>
      <c r="J28" s="108" t="n">
        <f aca="false">SUM(J29:J35)</f>
        <v>175188</v>
      </c>
      <c r="K28" s="108" t="n">
        <f aca="false">SUM(K29:K35)</f>
        <v>236249</v>
      </c>
      <c r="L28" s="108" t="n">
        <f aca="false">SUM(L29:L35)</f>
        <v>210672</v>
      </c>
      <c r="M28" s="108" t="n">
        <f aca="false">SUM(M29:M35)</f>
        <v>161616</v>
      </c>
      <c r="N28" s="108" t="n">
        <f aca="false">SUM(N29:N35)</f>
        <v>186252</v>
      </c>
      <c r="O28" s="108" t="n">
        <f aca="false">SUM(O29:O35)</f>
        <v>190037</v>
      </c>
      <c r="P28" s="108" t="n">
        <f aca="false">SUM(P29:P35)</f>
        <v>171422</v>
      </c>
      <c r="Q28" s="108" t="n">
        <f aca="false">SUM(Q29:Q35)</f>
        <v>238657</v>
      </c>
      <c r="R28" s="108" t="n">
        <f aca="false">SUM(F28:Q28)</f>
        <v>2230645</v>
      </c>
      <c r="S28" s="110" t="s">
        <v>59</v>
      </c>
    </row>
    <row r="29" customFormat="false" ht="15" hidden="false" customHeight="true" outlineLevel="0" collapsed="false">
      <c r="D29" s="100" t="s">
        <v>28</v>
      </c>
      <c r="F29" s="110" t="n">
        <v>32489</v>
      </c>
      <c r="G29" s="110" t="n">
        <v>32286</v>
      </c>
      <c r="H29" s="110" t="n">
        <v>32291</v>
      </c>
      <c r="I29" s="110" t="n">
        <v>32277</v>
      </c>
      <c r="J29" s="110" t="n">
        <v>32277</v>
      </c>
      <c r="K29" s="110" t="n">
        <v>32277</v>
      </c>
      <c r="L29" s="110" t="n">
        <v>32277</v>
      </c>
      <c r="M29" s="110" t="n">
        <v>32277</v>
      </c>
      <c r="N29" s="110" t="n">
        <v>32277</v>
      </c>
      <c r="O29" s="110" t="n">
        <v>32277</v>
      </c>
      <c r="P29" s="110" t="n">
        <v>32277</v>
      </c>
      <c r="Q29" s="110" t="n">
        <v>32277</v>
      </c>
      <c r="R29" s="110" t="n">
        <f aca="false">SUM(F29:Q29)</f>
        <v>387559</v>
      </c>
      <c r="S29" s="110"/>
    </row>
    <row r="30" customFormat="false" ht="15" hidden="false" customHeight="true" outlineLevel="0" collapsed="false">
      <c r="D30" s="100" t="s">
        <v>29</v>
      </c>
      <c r="F30" s="110" t="n">
        <v>51391</v>
      </c>
      <c r="G30" s="110" t="n">
        <v>18902</v>
      </c>
      <c r="H30" s="110" t="n">
        <v>30321</v>
      </c>
      <c r="I30" s="110" t="n">
        <v>15677</v>
      </c>
      <c r="J30" s="110" t="n">
        <v>20626</v>
      </c>
      <c r="K30" s="110" t="n">
        <v>19205</v>
      </c>
      <c r="L30" s="110" t="n">
        <v>53078</v>
      </c>
      <c r="M30" s="110" t="n">
        <v>16457</v>
      </c>
      <c r="N30" s="110" t="n">
        <v>30094</v>
      </c>
      <c r="O30" s="110" t="n">
        <v>16144</v>
      </c>
      <c r="P30" s="110" t="n">
        <v>15992</v>
      </c>
      <c r="Q30" s="110" t="n">
        <v>21477</v>
      </c>
      <c r="R30" s="110" t="n">
        <f aca="false">SUM(F30:Q30)</f>
        <v>309364</v>
      </c>
      <c r="S30" s="110"/>
    </row>
    <row r="31" customFormat="false" ht="15" hidden="false" customHeight="true" outlineLevel="0" collapsed="false">
      <c r="D31" s="100" t="s">
        <v>30</v>
      </c>
      <c r="F31" s="110" t="n">
        <v>0</v>
      </c>
      <c r="G31" s="110" t="n">
        <v>493</v>
      </c>
      <c r="H31" s="110" t="n">
        <v>6239</v>
      </c>
      <c r="I31" s="110" t="n">
        <v>888</v>
      </c>
      <c r="J31" s="110" t="n">
        <v>1313</v>
      </c>
      <c r="K31" s="110" t="n">
        <v>199</v>
      </c>
      <c r="L31" s="110" t="n">
        <v>334</v>
      </c>
      <c r="M31" s="110" t="n">
        <v>487</v>
      </c>
      <c r="N31" s="110" t="n">
        <v>508</v>
      </c>
      <c r="O31" s="110" t="n">
        <v>1547</v>
      </c>
      <c r="P31" s="110" t="n">
        <v>416</v>
      </c>
      <c r="Q31" s="110" t="n">
        <v>5397</v>
      </c>
      <c r="R31" s="110" t="n">
        <f aca="false">SUM(F31:Q31)</f>
        <v>17821</v>
      </c>
    </row>
    <row r="32" customFormat="false" ht="15" hidden="false" customHeight="true" outlineLevel="0" collapsed="false">
      <c r="D32" s="100" t="s">
        <v>77</v>
      </c>
      <c r="F32" s="110" t="n">
        <v>145</v>
      </c>
      <c r="G32" s="110" t="n">
        <v>685</v>
      </c>
      <c r="H32" s="110" t="n">
        <v>2862</v>
      </c>
      <c r="I32" s="110" t="n">
        <v>785</v>
      </c>
      <c r="J32" s="110" t="n">
        <v>4546</v>
      </c>
      <c r="K32" s="110" t="n">
        <v>34947</v>
      </c>
      <c r="L32" s="110" t="n">
        <v>2318</v>
      </c>
      <c r="M32" s="110" t="n">
        <v>8802</v>
      </c>
      <c r="N32" s="110" t="n">
        <v>729</v>
      </c>
      <c r="O32" s="110" t="n">
        <v>6480</v>
      </c>
      <c r="P32" s="110" t="n">
        <v>3707</v>
      </c>
      <c r="Q32" s="110" t="n">
        <v>12007</v>
      </c>
      <c r="R32" s="110" t="n">
        <f aca="false">SUM(F32:Q32)</f>
        <v>78013</v>
      </c>
      <c r="S32" s="110"/>
    </row>
    <row r="33" customFormat="false" ht="15" hidden="false" customHeight="true" outlineLevel="0" collapsed="false">
      <c r="D33" s="100" t="s">
        <v>32</v>
      </c>
      <c r="F33" s="110" t="n">
        <v>0</v>
      </c>
      <c r="G33" s="110" t="n">
        <v>15</v>
      </c>
      <c r="H33" s="110" t="n">
        <v>131</v>
      </c>
      <c r="I33" s="110" t="n">
        <v>146</v>
      </c>
      <c r="J33" s="110" t="n">
        <v>0</v>
      </c>
      <c r="K33" s="110" t="n">
        <v>25</v>
      </c>
      <c r="L33" s="110" t="n">
        <v>0</v>
      </c>
      <c r="M33" s="110" t="n">
        <v>19</v>
      </c>
      <c r="N33" s="110" t="n">
        <v>0</v>
      </c>
      <c r="O33" s="110" t="n">
        <v>176</v>
      </c>
      <c r="P33" s="110" t="n">
        <v>25</v>
      </c>
      <c r="Q33" s="110" t="n">
        <v>230</v>
      </c>
      <c r="R33" s="110" t="n">
        <f aca="false">SUM(F33:Q33)</f>
        <v>767</v>
      </c>
    </row>
    <row r="34" customFormat="false" ht="15" hidden="false" customHeight="true" outlineLevel="0" collapsed="false">
      <c r="D34" s="100" t="s">
        <v>78</v>
      </c>
      <c r="F34" s="110" t="n">
        <v>850</v>
      </c>
      <c r="G34" s="110" t="n">
        <v>217</v>
      </c>
      <c r="H34" s="110" t="n">
        <v>1151</v>
      </c>
      <c r="I34" s="110" t="n">
        <v>436</v>
      </c>
      <c r="J34" s="110" t="n">
        <v>342</v>
      </c>
      <c r="K34" s="110" t="n">
        <v>-337</v>
      </c>
      <c r="L34" s="110" t="n">
        <v>267</v>
      </c>
      <c r="M34" s="110" t="n">
        <v>162</v>
      </c>
      <c r="N34" s="110" t="n">
        <v>1404</v>
      </c>
      <c r="O34" s="110" t="n">
        <v>4404</v>
      </c>
      <c r="P34" s="110" t="n">
        <v>380</v>
      </c>
      <c r="Q34" s="110" t="n">
        <v>420</v>
      </c>
      <c r="R34" s="110" t="n">
        <f aca="false">SUM(F34:Q34)</f>
        <v>9696</v>
      </c>
    </row>
    <row r="35" customFormat="false" ht="15" hidden="false" customHeight="true" outlineLevel="0" collapsed="false">
      <c r="D35" s="1" t="s">
        <v>79</v>
      </c>
      <c r="F35" s="110" t="n">
        <v>88249</v>
      </c>
      <c r="G35" s="110" t="n">
        <v>89847</v>
      </c>
      <c r="H35" s="110" t="n">
        <v>115483</v>
      </c>
      <c r="I35" s="110" t="n">
        <v>106296</v>
      </c>
      <c r="J35" s="110" t="n">
        <v>116084</v>
      </c>
      <c r="K35" s="110" t="n">
        <v>149933</v>
      </c>
      <c r="L35" s="110" t="n">
        <v>122398</v>
      </c>
      <c r="M35" s="110" t="n">
        <v>103412</v>
      </c>
      <c r="N35" s="110" t="n">
        <v>121240</v>
      </c>
      <c r="O35" s="110" t="n">
        <v>129009</v>
      </c>
      <c r="P35" s="110" t="n">
        <v>118625</v>
      </c>
      <c r="Q35" s="110" t="n">
        <v>166849</v>
      </c>
      <c r="R35" s="110" t="n">
        <f aca="false">SUM(F35:Q35)</f>
        <v>1427425</v>
      </c>
      <c r="S35" s="110"/>
    </row>
    <row r="36" customFormat="false" ht="15" hidden="false" customHeight="true" outlineLevel="0" collapsed="false"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10"/>
      <c r="S36" s="110"/>
    </row>
    <row r="37" customFormat="false" ht="15" hidden="false" customHeight="true" outlineLevel="0" collapsed="false">
      <c r="B37" s="107" t="s">
        <v>35</v>
      </c>
      <c r="C37" s="107"/>
      <c r="D37" s="107"/>
      <c r="E37" s="107"/>
      <c r="F37" s="112" t="n">
        <f aca="false">+F8-F28</f>
        <v>-6472</v>
      </c>
      <c r="G37" s="112" t="n">
        <f aca="false">+G8-G28</f>
        <v>-9673</v>
      </c>
      <c r="H37" s="112" t="n">
        <f aca="false">+H8-H28</f>
        <v>-17372</v>
      </c>
      <c r="I37" s="112" t="n">
        <f aca="false">+I8-I28</f>
        <v>52599</v>
      </c>
      <c r="J37" s="112" t="n">
        <f aca="false">+J8-J28</f>
        <v>67337</v>
      </c>
      <c r="K37" s="112" t="n">
        <f aca="false">+K8-K28</f>
        <v>-72673</v>
      </c>
      <c r="L37" s="112" t="n">
        <f aca="false">+L8-L28</f>
        <v>-32198</v>
      </c>
      <c r="M37" s="112" t="n">
        <f aca="false">+M8-M28</f>
        <v>15040</v>
      </c>
      <c r="N37" s="112" t="n">
        <f aca="false">+N8-N28</f>
        <v>-22140</v>
      </c>
      <c r="O37" s="112" t="n">
        <f aca="false">+O8-O28</f>
        <v>-27022</v>
      </c>
      <c r="P37" s="112" t="n">
        <f aca="false">+P8-P28</f>
        <v>6029</v>
      </c>
      <c r="Q37" s="112" t="n">
        <f aca="false">+Q8-Q28</f>
        <v>-75144</v>
      </c>
      <c r="R37" s="112" t="n">
        <f aca="false">SUM(F37:Q37)</f>
        <v>-121689</v>
      </c>
    </row>
    <row r="38" customFormat="false" ht="15" hidden="false" customHeight="true" outlineLevel="0" collapsed="false"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</row>
    <row r="39" customFormat="false" ht="15" hidden="false" customHeight="true" outlineLevel="0" collapsed="false">
      <c r="B39" s="107" t="s">
        <v>36</v>
      </c>
      <c r="C39" s="107"/>
      <c r="D39" s="107"/>
      <c r="E39" s="107"/>
      <c r="F39" s="108" t="n">
        <v>42387</v>
      </c>
      <c r="G39" s="108" t="n">
        <v>22465</v>
      </c>
      <c r="H39" s="108" t="n">
        <v>2878</v>
      </c>
      <c r="I39" s="108" t="n">
        <v>24931</v>
      </c>
      <c r="J39" s="108" t="n">
        <v>16605</v>
      </c>
      <c r="K39" s="108" t="n">
        <v>30319</v>
      </c>
      <c r="L39" s="108" t="n">
        <v>31592</v>
      </c>
      <c r="M39" s="108" t="n">
        <v>28265</v>
      </c>
      <c r="N39" s="108" t="n">
        <v>22620</v>
      </c>
      <c r="O39" s="108" t="n">
        <v>30111</v>
      </c>
      <c r="P39" s="108" t="n">
        <v>-3093</v>
      </c>
      <c r="Q39" s="108" t="n">
        <v>-6229</v>
      </c>
      <c r="R39" s="108" t="n">
        <v>242851</v>
      </c>
    </row>
    <row r="40" customFormat="false" ht="15" hidden="false" customHeight="true" outlineLevel="0" collapsed="false">
      <c r="C40" s="100" t="s">
        <v>37</v>
      </c>
      <c r="F40" s="109" t="n">
        <v>34497</v>
      </c>
      <c r="G40" s="109" t="n">
        <v>11468</v>
      </c>
      <c r="H40" s="109" t="n">
        <v>-23360</v>
      </c>
      <c r="I40" s="109" t="n">
        <v>22471</v>
      </c>
      <c r="J40" s="109" t="n">
        <v>-4516</v>
      </c>
      <c r="K40" s="109" t="n">
        <v>10287</v>
      </c>
      <c r="L40" s="109" t="n">
        <v>3647</v>
      </c>
      <c r="M40" s="109" t="n">
        <v>-449</v>
      </c>
      <c r="N40" s="109" t="n">
        <v>-3755</v>
      </c>
      <c r="O40" s="109" t="n">
        <v>15984</v>
      </c>
      <c r="P40" s="109" t="n">
        <v>-5647</v>
      </c>
      <c r="Q40" s="109" t="n">
        <v>4155</v>
      </c>
      <c r="R40" s="109" t="n">
        <v>64782</v>
      </c>
      <c r="S40" s="110"/>
    </row>
    <row r="41" customFormat="false" ht="15" hidden="false" customHeight="true" outlineLevel="0" collapsed="false">
      <c r="D41" s="100" t="s">
        <v>38</v>
      </c>
      <c r="F41" s="110" t="n">
        <v>90474</v>
      </c>
      <c r="G41" s="110" t="n">
        <v>15266</v>
      </c>
      <c r="H41" s="110" t="n">
        <v>3362</v>
      </c>
      <c r="I41" s="110" t="n">
        <v>25284</v>
      </c>
      <c r="J41" s="110" t="n">
        <v>760</v>
      </c>
      <c r="K41" s="110" t="n">
        <v>14960</v>
      </c>
      <c r="L41" s="110" t="n">
        <v>5444</v>
      </c>
      <c r="M41" s="110" t="n">
        <v>3282</v>
      </c>
      <c r="N41" s="110" t="n">
        <v>914</v>
      </c>
      <c r="O41" s="110" t="n">
        <v>18888</v>
      </c>
      <c r="P41" s="110" t="n">
        <v>786</v>
      </c>
      <c r="Q41" s="110" t="n">
        <v>10118</v>
      </c>
      <c r="R41" s="110" t="n">
        <v>189538</v>
      </c>
    </row>
    <row r="42" customFormat="false" ht="15" hidden="false" customHeight="true" outlineLevel="0" collapsed="false">
      <c r="D42" s="100" t="s">
        <v>97</v>
      </c>
      <c r="F42" s="110" t="n">
        <v>55977</v>
      </c>
      <c r="G42" s="110" t="n">
        <v>3798</v>
      </c>
      <c r="H42" s="110" t="n">
        <v>26722</v>
      </c>
      <c r="I42" s="110" t="n">
        <v>2813</v>
      </c>
      <c r="J42" s="110" t="n">
        <v>5276</v>
      </c>
      <c r="K42" s="110" t="n">
        <v>4673</v>
      </c>
      <c r="L42" s="110" t="n">
        <v>1797</v>
      </c>
      <c r="M42" s="110" t="n">
        <v>3731</v>
      </c>
      <c r="N42" s="110" t="n">
        <v>4669</v>
      </c>
      <c r="O42" s="110" t="n">
        <v>2904</v>
      </c>
      <c r="P42" s="110" t="n">
        <v>6433</v>
      </c>
      <c r="Q42" s="110" t="n">
        <v>5963</v>
      </c>
      <c r="R42" s="110" t="n">
        <v>124756</v>
      </c>
    </row>
    <row r="43" customFormat="false" ht="15" hidden="false" customHeight="true" outlineLevel="0" collapsed="false"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</row>
    <row r="44" customFormat="false" ht="15" hidden="false" customHeight="true" outlineLevel="0" collapsed="false">
      <c r="C44" s="100" t="s">
        <v>40</v>
      </c>
      <c r="F44" s="109" t="n">
        <v>7890</v>
      </c>
      <c r="G44" s="109" t="n">
        <v>10997</v>
      </c>
      <c r="H44" s="109" t="n">
        <v>26238</v>
      </c>
      <c r="I44" s="109" t="n">
        <v>2460</v>
      </c>
      <c r="J44" s="109" t="n">
        <v>21121</v>
      </c>
      <c r="K44" s="109" t="n">
        <v>20032</v>
      </c>
      <c r="L44" s="109" t="n">
        <v>27945</v>
      </c>
      <c r="M44" s="109" t="n">
        <v>28714</v>
      </c>
      <c r="N44" s="109" t="n">
        <v>26375</v>
      </c>
      <c r="O44" s="109" t="n">
        <v>14127</v>
      </c>
      <c r="P44" s="109" t="n">
        <v>2554</v>
      </c>
      <c r="Q44" s="109" t="n">
        <v>-10384</v>
      </c>
      <c r="R44" s="109" t="n">
        <v>178069</v>
      </c>
    </row>
    <row r="45" customFormat="false" ht="15" hidden="false" customHeight="true" outlineLevel="0" collapsed="false">
      <c r="D45" s="100" t="s">
        <v>41</v>
      </c>
      <c r="F45" s="110" t="n">
        <v>7890</v>
      </c>
      <c r="G45" s="110" t="n">
        <v>12000</v>
      </c>
      <c r="H45" s="110" t="n">
        <v>26600</v>
      </c>
      <c r="I45" s="110" t="n">
        <v>2460</v>
      </c>
      <c r="J45" s="110" t="n">
        <v>21385</v>
      </c>
      <c r="K45" s="110" t="n">
        <v>20515</v>
      </c>
      <c r="L45" s="110" t="n">
        <v>27945</v>
      </c>
      <c r="M45" s="110" t="n">
        <v>29340</v>
      </c>
      <c r="N45" s="110" t="n">
        <v>264038</v>
      </c>
      <c r="O45" s="110" t="n">
        <v>14880</v>
      </c>
      <c r="P45" s="110" t="n">
        <v>2554</v>
      </c>
      <c r="Q45" s="110" t="n">
        <v>-9535</v>
      </c>
      <c r="R45" s="110" t="n">
        <v>420072</v>
      </c>
    </row>
    <row r="46" customFormat="false" ht="15" hidden="false" customHeight="true" outlineLevel="0" collapsed="false">
      <c r="D46" s="100" t="s">
        <v>42</v>
      </c>
      <c r="F46" s="110" t="n">
        <v>0</v>
      </c>
      <c r="G46" s="110" t="n">
        <v>1003</v>
      </c>
      <c r="H46" s="110" t="n">
        <v>362</v>
      </c>
      <c r="I46" s="110" t="n">
        <v>0</v>
      </c>
      <c r="J46" s="110" t="n">
        <v>264</v>
      </c>
      <c r="K46" s="110" t="n">
        <v>483</v>
      </c>
      <c r="L46" s="110" t="n">
        <v>0</v>
      </c>
      <c r="M46" s="110" t="n">
        <v>626</v>
      </c>
      <c r="N46" s="110" t="n">
        <v>237663</v>
      </c>
      <c r="O46" s="110" t="n">
        <v>753</v>
      </c>
      <c r="P46" s="110" t="n">
        <v>0</v>
      </c>
      <c r="Q46" s="110" t="n">
        <v>849</v>
      </c>
      <c r="R46" s="110" t="n">
        <v>242003</v>
      </c>
    </row>
    <row r="47" customFormat="false" ht="15" hidden="false" customHeight="true" outlineLevel="0" collapsed="false">
      <c r="E47" s="1" t="s">
        <v>67</v>
      </c>
      <c r="F47" s="110" t="n">
        <v>0</v>
      </c>
      <c r="G47" s="110" t="n">
        <v>13451</v>
      </c>
      <c r="H47" s="110" t="n">
        <v>362</v>
      </c>
      <c r="I47" s="110" t="n">
        <v>6207</v>
      </c>
      <c r="J47" s="110" t="n">
        <v>54263</v>
      </c>
      <c r="K47" s="110" t="n">
        <v>483</v>
      </c>
      <c r="L47" s="110" t="n">
        <v>8782</v>
      </c>
      <c r="M47" s="110" t="n">
        <v>33547</v>
      </c>
      <c r="N47" s="110" t="n">
        <v>237663</v>
      </c>
      <c r="O47" s="110" t="n">
        <v>753</v>
      </c>
      <c r="P47" s="110" t="n">
        <v>5025</v>
      </c>
      <c r="Q47" s="110" t="n">
        <v>2603</v>
      </c>
      <c r="R47" s="110" t="n">
        <v>363139</v>
      </c>
    </row>
    <row r="48" customFormat="false" ht="15" hidden="false" customHeight="true" outlineLevel="0" collapsed="false">
      <c r="E48" s="16" t="s">
        <v>80</v>
      </c>
      <c r="F48" s="110" t="n">
        <v>0</v>
      </c>
      <c r="G48" s="110" t="n">
        <v>12448</v>
      </c>
      <c r="H48" s="110" t="n">
        <v>0</v>
      </c>
      <c r="I48" s="110" t="n">
        <v>6207</v>
      </c>
      <c r="J48" s="110" t="n">
        <v>53999</v>
      </c>
      <c r="K48" s="110" t="n">
        <v>0</v>
      </c>
      <c r="L48" s="110" t="n">
        <v>8782</v>
      </c>
      <c r="M48" s="110" t="n">
        <v>32921</v>
      </c>
      <c r="N48" s="110" t="n">
        <v>0</v>
      </c>
      <c r="O48" s="110" t="n">
        <v>0</v>
      </c>
      <c r="P48" s="110" t="n">
        <v>5025</v>
      </c>
      <c r="Q48" s="110" t="n">
        <v>1754</v>
      </c>
      <c r="R48" s="110" t="n">
        <v>121136</v>
      </c>
    </row>
    <row r="49" customFormat="false" ht="15" hidden="false" customHeight="true" outlineLevel="0" collapsed="false"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 t="n">
        <v>0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68897</v>
      </c>
      <c r="G51" s="108" t="n">
        <v>-4867</v>
      </c>
      <c r="H51" s="108" t="n">
        <v>-33290</v>
      </c>
      <c r="I51" s="108" t="n">
        <v>107139</v>
      </c>
      <c r="J51" s="108" t="n">
        <v>-5629</v>
      </c>
      <c r="K51" s="108" t="n">
        <v>-71700</v>
      </c>
      <c r="L51" s="108" t="n">
        <v>17213</v>
      </c>
      <c r="M51" s="108" t="n">
        <v>24235</v>
      </c>
      <c r="N51" s="108" t="n">
        <v>-18082</v>
      </c>
      <c r="O51" s="108" t="n">
        <v>1877</v>
      </c>
      <c r="P51" s="108" t="n">
        <v>-7830</v>
      </c>
      <c r="Q51" s="108" t="n">
        <v>-79543</v>
      </c>
      <c r="R51" s="108" t="n">
        <v>-1580</v>
      </c>
    </row>
    <row r="52" customFormat="false" ht="14.25" hidden="false" customHeight="false" outlineLevel="0" collapsed="false"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</row>
    <row r="53" customFormat="false" ht="15" hidden="false" customHeight="false" outlineLevel="0" collapsed="false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s="115" customFormat="true" ht="13.5" hidden="false" customHeight="false" outlineLevel="0" collapsed="false">
      <c r="B54" s="26"/>
      <c r="C54" s="116" t="s">
        <v>46</v>
      </c>
    </row>
    <row r="55" s="115" customFormat="true" ht="14.25" hidden="false" customHeight="true" outlineLevel="0" collapsed="false">
      <c r="C55" s="116"/>
      <c r="D55" s="21" t="s">
        <v>47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="115" customFormat="true" ht="16.5" hidden="false" customHeight="true" outlineLevel="0" collapsed="false">
      <c r="C56" s="11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="115" customFormat="true" ht="12.75" hidden="false" customHeight="false" outlineLevel="0" collapsed="false"/>
    <row r="58" s="115" customFormat="true" ht="12.75" hidden="false" customHeight="false" outlineLevel="0" collapsed="false">
      <c r="C58" s="26" t="s">
        <v>51</v>
      </c>
    </row>
    <row r="59" s="115" customFormat="true" ht="12.75" hidden="false" customHeight="false" outlineLevel="0" collapsed="false">
      <c r="C59" s="26" t="s">
        <v>93</v>
      </c>
    </row>
  </sheetData>
  <mergeCells count="2">
    <mergeCell ref="B6:E6"/>
    <mergeCell ref="D55:Q5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41" activeCellId="0" sqref="R41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27.99"/>
    <col collapsed="false" customWidth="true" hidden="false" outlineLevel="0" max="6" min="6" style="100" width="9.85"/>
    <col collapsed="false" customWidth="false" hidden="false" outlineLevel="0" max="17" min="7" style="100" width="9.14"/>
    <col collapsed="false" customWidth="true" hidden="false" outlineLevel="0" max="18" min="18" style="100" width="10.85"/>
    <col collapsed="false" customWidth="true" hidden="false" outlineLevel="0" max="19" min="19" style="100" width="1.14"/>
    <col collapsed="false" customWidth="true" hidden="false" outlineLevel="0" max="20" min="20" style="110" width="9.85"/>
    <col collapsed="false" customWidth="false" hidden="false" outlineLevel="0" max="1024" min="21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customFormat="false" ht="15" hidden="false" customHeight="false" outlineLevel="0" collapsed="false">
      <c r="A2" s="101" t="s">
        <v>104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</row>
    <row r="4" customFormat="false" ht="14.25" hidden="false" customHeight="false" outlineLevel="0" collapsed="false">
      <c r="A4" s="120" t="s">
        <v>95</v>
      </c>
      <c r="B4" s="120"/>
      <c r="C4" s="120"/>
      <c r="D4" s="120"/>
      <c r="E4" s="120"/>
    </row>
    <row r="5" customFormat="false" ht="6" hidden="false" customHeight="true" outlineLevel="0" collapsed="false"/>
    <row r="6" customFormat="false" ht="21.75" hidden="false" customHeight="true" outlineLevel="0" collapsed="false">
      <c r="A6" s="121"/>
      <c r="B6" s="105" t="s">
        <v>4</v>
      </c>
      <c r="C6" s="105"/>
      <c r="D6" s="105"/>
      <c r="E6" s="105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22"/>
    </row>
    <row r="7" customFormat="false" ht="15.75" hidden="false" customHeight="true" outlineLevel="0" collapsed="false">
      <c r="F7" s="123"/>
      <c r="O7" s="110"/>
    </row>
    <row r="8" customFormat="false" ht="15.7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148822</v>
      </c>
      <c r="G8" s="108" t="n">
        <f aca="false">G9+G19+G26</f>
        <v>120286</v>
      </c>
      <c r="H8" s="108" t="n">
        <f aca="false">H9+H19+H26</f>
        <v>129303</v>
      </c>
      <c r="I8" s="108" t="n">
        <f aca="false">I9+I19+I26</f>
        <v>224449</v>
      </c>
      <c r="J8" s="108" t="n">
        <f aca="false">J9+J19+J26</f>
        <v>172234</v>
      </c>
      <c r="K8" s="108" t="n">
        <f aca="false">K9+K19+K26</f>
        <v>138640</v>
      </c>
      <c r="L8" s="108" t="n">
        <f aca="false">L9+L19+L26</f>
        <v>166730</v>
      </c>
      <c r="M8" s="108" t="n">
        <f aca="false">M9+M19+M26</f>
        <v>169980</v>
      </c>
      <c r="N8" s="108" t="n">
        <f aca="false">N9+N19+N26</f>
        <v>154566</v>
      </c>
      <c r="O8" s="108" t="n">
        <f aca="false">O9+O19+O26</f>
        <v>152263</v>
      </c>
      <c r="P8" s="108" t="n">
        <f aca="false">P9+P19+P26</f>
        <v>158221</v>
      </c>
      <c r="Q8" s="108" t="n">
        <f aca="false">Q9+Q19+Q26</f>
        <v>173033</v>
      </c>
      <c r="R8" s="108" t="n">
        <f aca="false">R9+R19+R26</f>
        <v>1908527</v>
      </c>
    </row>
    <row r="9" customFormat="false" ht="15.75" hidden="false" customHeight="true" outlineLevel="0" collapsed="false">
      <c r="C9" s="100" t="s">
        <v>13</v>
      </c>
      <c r="F9" s="109" t="n">
        <f aca="false">F10+F14+F17</f>
        <v>135092</v>
      </c>
      <c r="G9" s="109" t="n">
        <f aca="false">G10+G14+G17</f>
        <v>107102</v>
      </c>
      <c r="H9" s="109" t="n">
        <f aca="false">H10+H14+H17</f>
        <v>113200</v>
      </c>
      <c r="I9" s="109" t="n">
        <f aca="false">I10+I14+I17</f>
        <v>187959</v>
      </c>
      <c r="J9" s="109" t="n">
        <f aca="false">J10+J14+J17</f>
        <v>158299</v>
      </c>
      <c r="K9" s="109" t="n">
        <f aca="false">K10+K14+K17</f>
        <v>122797</v>
      </c>
      <c r="L9" s="109" t="n">
        <f aca="false">L10+L14+L17</f>
        <v>151640</v>
      </c>
      <c r="M9" s="109" t="n">
        <f aca="false">M10+M14+M17</f>
        <v>158420</v>
      </c>
      <c r="N9" s="109" t="n">
        <f aca="false">N10+N14+N17</f>
        <v>139812</v>
      </c>
      <c r="O9" s="109" t="n">
        <f aca="false">O10+O14+O17</f>
        <v>137407</v>
      </c>
      <c r="P9" s="109" t="n">
        <f aca="false">P10+P14+P17</f>
        <v>147585</v>
      </c>
      <c r="Q9" s="109" t="n">
        <f aca="false">Q10+Q14+Q17</f>
        <v>159673</v>
      </c>
      <c r="R9" s="109" t="n">
        <f aca="false">R10+R14+R17</f>
        <v>1718986</v>
      </c>
    </row>
    <row r="10" customFormat="false" ht="15.75" hidden="false" customHeight="true" outlineLevel="0" collapsed="false">
      <c r="D10" s="100" t="s">
        <v>14</v>
      </c>
      <c r="F10" s="110" t="n">
        <v>104151</v>
      </c>
      <c r="G10" s="110" t="n">
        <v>78378</v>
      </c>
      <c r="H10" s="110" t="n">
        <v>82176</v>
      </c>
      <c r="I10" s="110" t="n">
        <v>156111</v>
      </c>
      <c r="J10" s="110" t="n">
        <v>128273</v>
      </c>
      <c r="K10" s="110" t="n">
        <v>94120</v>
      </c>
      <c r="L10" s="110" t="n">
        <v>119942</v>
      </c>
      <c r="M10" s="110" t="n">
        <v>127565</v>
      </c>
      <c r="N10" s="110" t="n">
        <v>105708</v>
      </c>
      <c r="O10" s="110" t="n">
        <v>101801</v>
      </c>
      <c r="P10" s="110" t="n">
        <v>121889</v>
      </c>
      <c r="Q10" s="110" t="n">
        <v>114648</v>
      </c>
      <c r="R10" s="110" t="n">
        <v>1334762</v>
      </c>
    </row>
    <row r="11" customFormat="false" ht="15.7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.75" hidden="false" customHeight="true" outlineLevel="0" collapsed="false">
      <c r="E12" s="100" t="s">
        <v>16</v>
      </c>
      <c r="F12" s="110" t="n">
        <v>0</v>
      </c>
      <c r="G12" s="110" t="n">
        <v>0</v>
      </c>
      <c r="H12" s="110" t="n">
        <v>0</v>
      </c>
      <c r="I12" s="110" t="n">
        <v>1157</v>
      </c>
      <c r="J12" s="110" t="n">
        <v>234</v>
      </c>
      <c r="K12" s="110" t="n">
        <v>160</v>
      </c>
      <c r="L12" s="110" t="n">
        <v>255</v>
      </c>
      <c r="M12" s="110" t="n">
        <v>231</v>
      </c>
      <c r="N12" s="110" t="n">
        <v>896</v>
      </c>
      <c r="O12" s="110" t="n">
        <v>260</v>
      </c>
      <c r="P12" s="110" t="n">
        <v>236</v>
      </c>
      <c r="Q12" s="110" t="n">
        <v>223</v>
      </c>
      <c r="R12" s="110" t="n">
        <v>3652</v>
      </c>
    </row>
    <row r="13" customFormat="false" ht="15.75" hidden="false" customHeight="true" outlineLevel="0" collapsed="false">
      <c r="E13" s="100" t="s">
        <v>17</v>
      </c>
      <c r="F13" s="110" t="n">
        <v>30</v>
      </c>
      <c r="G13" s="110" t="n">
        <v>0</v>
      </c>
      <c r="H13" s="110" t="n">
        <v>30</v>
      </c>
      <c r="I13" s="110" t="n">
        <v>9302</v>
      </c>
      <c r="J13" s="110" t="n">
        <v>2204</v>
      </c>
      <c r="K13" s="110" t="n">
        <v>416</v>
      </c>
      <c r="L13" s="110" t="n">
        <v>5</v>
      </c>
      <c r="M13" s="110" t="n">
        <v>530</v>
      </c>
      <c r="N13" s="110" t="n">
        <v>31</v>
      </c>
      <c r="O13" s="110" t="n">
        <v>668</v>
      </c>
      <c r="P13" s="110" t="n">
        <v>446</v>
      </c>
      <c r="Q13" s="110" t="n">
        <v>717</v>
      </c>
      <c r="R13" s="110" t="n">
        <v>14379</v>
      </c>
    </row>
    <row r="14" customFormat="false" ht="15.75" hidden="false" customHeight="true" outlineLevel="0" collapsed="false">
      <c r="D14" s="100" t="s">
        <v>18</v>
      </c>
      <c r="F14" s="110" t="n">
        <v>29773</v>
      </c>
      <c r="G14" s="110" t="n">
        <v>27416</v>
      </c>
      <c r="H14" s="110" t="n">
        <v>29313</v>
      </c>
      <c r="I14" s="110" t="n">
        <v>30764</v>
      </c>
      <c r="J14" s="110" t="n">
        <v>28809</v>
      </c>
      <c r="K14" s="110" t="n">
        <v>27327</v>
      </c>
      <c r="L14" s="110" t="n">
        <v>30460</v>
      </c>
      <c r="M14" s="110" t="n">
        <v>29061</v>
      </c>
      <c r="N14" s="110" t="n">
        <v>32866</v>
      </c>
      <c r="O14" s="110" t="n">
        <v>34160</v>
      </c>
      <c r="P14" s="110" t="n">
        <v>24691</v>
      </c>
      <c r="Q14" s="110" t="n">
        <v>44637</v>
      </c>
      <c r="R14" s="110" t="n">
        <v>369277</v>
      </c>
    </row>
    <row r="15" customFormat="false" ht="15.7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.7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0</v>
      </c>
      <c r="I16" s="110" t="n">
        <v>26</v>
      </c>
      <c r="J16" s="110" t="n">
        <v>282</v>
      </c>
      <c r="K16" s="110" t="n">
        <v>50</v>
      </c>
      <c r="L16" s="110" t="n">
        <v>3</v>
      </c>
      <c r="M16" s="110" t="n">
        <v>2</v>
      </c>
      <c r="N16" s="110" t="n">
        <v>87</v>
      </c>
      <c r="O16" s="110" t="n">
        <v>39</v>
      </c>
      <c r="P16" s="110" t="n">
        <v>0</v>
      </c>
      <c r="Q16" s="110" t="n">
        <v>11012</v>
      </c>
      <c r="R16" s="110" t="n">
        <v>11501</v>
      </c>
    </row>
    <row r="17" customFormat="false" ht="15.75" hidden="false" customHeight="true" outlineLevel="0" collapsed="false">
      <c r="D17" s="100" t="s">
        <v>105</v>
      </c>
      <c r="F17" s="110" t="n">
        <v>1168</v>
      </c>
      <c r="G17" s="110" t="n">
        <v>1308</v>
      </c>
      <c r="H17" s="110" t="n">
        <v>1711</v>
      </c>
      <c r="I17" s="110" t="n">
        <v>1084</v>
      </c>
      <c r="J17" s="110" t="n">
        <v>1217</v>
      </c>
      <c r="K17" s="110" t="n">
        <v>1350</v>
      </c>
      <c r="L17" s="110" t="n">
        <v>1238</v>
      </c>
      <c r="M17" s="110" t="n">
        <v>1794</v>
      </c>
      <c r="N17" s="110" t="n">
        <v>1238</v>
      </c>
      <c r="O17" s="110" t="n">
        <v>1446</v>
      </c>
      <c r="P17" s="110" t="n">
        <v>1005</v>
      </c>
      <c r="Q17" s="110" t="n">
        <v>388</v>
      </c>
      <c r="R17" s="110" t="n">
        <v>14947</v>
      </c>
    </row>
    <row r="18" customFormat="false" ht="15.7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customFormat="false" ht="15.75" hidden="false" customHeight="true" outlineLevel="0" collapsed="false">
      <c r="C19" s="100" t="s">
        <v>20</v>
      </c>
      <c r="F19" s="109" t="n">
        <f aca="false">SUM(F20:F24)</f>
        <v>13710</v>
      </c>
      <c r="G19" s="109" t="n">
        <f aca="false">SUM(G20:G24)</f>
        <v>13140</v>
      </c>
      <c r="H19" s="109" t="n">
        <f aca="false">SUM(H20:H24)</f>
        <v>16087</v>
      </c>
      <c r="I19" s="109" t="n">
        <f aca="false">SUM(I20:I24)</f>
        <v>36482</v>
      </c>
      <c r="J19" s="109" t="n">
        <f aca="false">SUM(J20:J24)</f>
        <v>13934</v>
      </c>
      <c r="K19" s="109" t="n">
        <f aca="false">SUM(K20:K24)</f>
        <v>15843</v>
      </c>
      <c r="L19" s="109" t="n">
        <f aca="false">SUM(L20:L24)</f>
        <v>15052</v>
      </c>
      <c r="M19" s="109" t="n">
        <f aca="false">SUM(M20:M24)</f>
        <v>11554</v>
      </c>
      <c r="N19" s="109" t="n">
        <f aca="false">SUM(N20:N24)</f>
        <v>14713</v>
      </c>
      <c r="O19" s="109" t="n">
        <f aca="false">SUM(O20:O24)</f>
        <v>14854</v>
      </c>
      <c r="P19" s="109" t="n">
        <f aca="false">SUM(P20:P24)</f>
        <v>10623</v>
      </c>
      <c r="Q19" s="109" t="n">
        <f aca="false">SUM(Q20:Q24)</f>
        <v>13316</v>
      </c>
      <c r="R19" s="109" t="n">
        <f aca="false">SUM(R20:R24)</f>
        <v>189308</v>
      </c>
      <c r="T19" s="110" t="s">
        <v>59</v>
      </c>
    </row>
    <row r="20" customFormat="false" ht="15.75" hidden="false" customHeight="true" outlineLevel="0" collapsed="false">
      <c r="D20" s="100" t="s">
        <v>21</v>
      </c>
      <c r="F20" s="110" t="n">
        <v>7531</v>
      </c>
      <c r="G20" s="110" t="n">
        <v>5614</v>
      </c>
      <c r="H20" s="110" t="n">
        <v>7812</v>
      </c>
      <c r="I20" s="110" t="n">
        <v>30829</v>
      </c>
      <c r="J20" s="110" t="n">
        <v>4103</v>
      </c>
      <c r="K20" s="110" t="n">
        <v>7050</v>
      </c>
      <c r="L20" s="110" t="n">
        <v>7506</v>
      </c>
      <c r="M20" s="110" t="n">
        <v>5263</v>
      </c>
      <c r="N20" s="110" t="n">
        <v>5581</v>
      </c>
      <c r="O20" s="110" t="n">
        <v>4881</v>
      </c>
      <c r="P20" s="110" t="n">
        <v>3408</v>
      </c>
      <c r="Q20" s="110" t="n">
        <v>3866</v>
      </c>
      <c r="R20" s="110" t="n">
        <f aca="false">SUM(F20:Q20)</f>
        <v>93444</v>
      </c>
      <c r="T20" s="110" t="s">
        <v>59</v>
      </c>
    </row>
    <row r="21" customFormat="false" ht="15.75" hidden="false" customHeight="true" outlineLevel="0" collapsed="false">
      <c r="D21" s="100" t="s">
        <v>88</v>
      </c>
      <c r="F21" s="110" t="n">
        <v>2726</v>
      </c>
      <c r="G21" s="110" t="n">
        <v>2001</v>
      </c>
      <c r="H21" s="110" t="n">
        <v>3479</v>
      </c>
      <c r="I21" s="110" t="n">
        <v>2465</v>
      </c>
      <c r="J21" s="110" t="n">
        <v>3503</v>
      </c>
      <c r="K21" s="110" t="n">
        <v>2671</v>
      </c>
      <c r="L21" s="110" t="n">
        <v>2471</v>
      </c>
      <c r="M21" s="110" t="n">
        <v>2564</v>
      </c>
      <c r="N21" s="110" t="n">
        <v>2028</v>
      </c>
      <c r="O21" s="110" t="n">
        <v>3279</v>
      </c>
      <c r="P21" s="110" t="n">
        <v>4051</v>
      </c>
      <c r="Q21" s="110" t="n">
        <v>1533</v>
      </c>
      <c r="R21" s="110" t="n">
        <f aca="false">SUM(F21:Q21)</f>
        <v>32771</v>
      </c>
    </row>
    <row r="22" customFormat="false" ht="15.75" hidden="false" customHeight="true" outlineLevel="0" collapsed="false">
      <c r="D22" s="100" t="s">
        <v>23</v>
      </c>
      <c r="F22" s="110" t="n">
        <v>0</v>
      </c>
      <c r="G22" s="110" t="n">
        <v>1315</v>
      </c>
      <c r="H22" s="110" t="n">
        <v>0</v>
      </c>
      <c r="I22" s="110" t="n">
        <v>16</v>
      </c>
      <c r="J22" s="110" t="n">
        <v>380</v>
      </c>
      <c r="K22" s="110" t="n">
        <v>1</v>
      </c>
      <c r="L22" s="110" t="n">
        <v>144</v>
      </c>
      <c r="M22" s="110" t="n">
        <v>0</v>
      </c>
      <c r="N22" s="110" t="n">
        <v>41</v>
      </c>
      <c r="O22" s="110" t="n">
        <v>2</v>
      </c>
      <c r="P22" s="110" t="n">
        <v>4</v>
      </c>
      <c r="Q22" s="110" t="n">
        <v>43</v>
      </c>
      <c r="R22" s="124" t="n">
        <f aca="false">SUM(F22:Q22)</f>
        <v>1946</v>
      </c>
      <c r="U22" s="110"/>
    </row>
    <row r="23" customFormat="false" ht="14.25" hidden="false" customHeight="false" outlineLevel="0" collapsed="false">
      <c r="D23" s="1" t="s">
        <v>24</v>
      </c>
      <c r="E23" s="1"/>
      <c r="F23" s="110" t="n">
        <v>414.512</v>
      </c>
      <c r="G23" s="110" t="n">
        <v>102.649</v>
      </c>
      <c r="H23" s="110" t="n">
        <v>2516.638</v>
      </c>
      <c r="I23" s="110" t="n">
        <v>2190.083</v>
      </c>
      <c r="J23" s="110" t="n">
        <v>2036.36</v>
      </c>
      <c r="K23" s="110" t="n">
        <v>2085.609</v>
      </c>
      <c r="L23" s="110" t="n">
        <v>2240.184</v>
      </c>
      <c r="M23" s="110" t="n">
        <v>2300.089</v>
      </c>
      <c r="N23" s="110" t="n">
        <v>2185.087</v>
      </c>
      <c r="O23" s="110" t="n">
        <v>2256.413</v>
      </c>
      <c r="P23" s="110" t="n">
        <v>1953.603</v>
      </c>
      <c r="Q23" s="110" t="n">
        <v>2002.325</v>
      </c>
      <c r="R23" s="110" t="n">
        <f aca="false">SUM(F23:Q23)</f>
        <v>22283.552</v>
      </c>
      <c r="S23" s="110"/>
      <c r="U23" s="110"/>
    </row>
    <row r="24" customFormat="false" ht="14.25" hidden="false" customHeight="false" outlineLevel="0" collapsed="false">
      <c r="D24" s="100" t="s">
        <v>25</v>
      </c>
      <c r="F24" s="110" t="n">
        <v>3038.488</v>
      </c>
      <c r="G24" s="110" t="n">
        <v>4107.351</v>
      </c>
      <c r="H24" s="110" t="n">
        <v>2279.362</v>
      </c>
      <c r="I24" s="110" t="n">
        <v>981.917</v>
      </c>
      <c r="J24" s="110" t="n">
        <v>3911.64</v>
      </c>
      <c r="K24" s="110" t="n">
        <v>4035.391</v>
      </c>
      <c r="L24" s="110" t="n">
        <v>2690.816</v>
      </c>
      <c r="M24" s="110" t="n">
        <v>1426.911</v>
      </c>
      <c r="N24" s="110" t="n">
        <v>4877.913</v>
      </c>
      <c r="O24" s="110" t="n">
        <v>4435.587</v>
      </c>
      <c r="P24" s="110" t="n">
        <v>1206.397</v>
      </c>
      <c r="Q24" s="110" t="n">
        <v>5871.675</v>
      </c>
      <c r="R24" s="110" t="n">
        <f aca="false">SUM(F24:Q24)</f>
        <v>38863.448</v>
      </c>
      <c r="S24" s="110"/>
    </row>
    <row r="25" customFormat="false" ht="15.7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.75" hidden="false" customHeight="true" outlineLevel="0" collapsed="false">
      <c r="C26" s="100" t="s">
        <v>26</v>
      </c>
      <c r="F26" s="110" t="n">
        <v>20</v>
      </c>
      <c r="G26" s="110" t="n">
        <v>44</v>
      </c>
      <c r="H26" s="110" t="n">
        <v>16</v>
      </c>
      <c r="I26" s="110" t="n">
        <v>8</v>
      </c>
      <c r="J26" s="110" t="n">
        <v>1</v>
      </c>
      <c r="K26" s="110" t="n">
        <v>0</v>
      </c>
      <c r="L26" s="110" t="n">
        <v>38</v>
      </c>
      <c r="M26" s="110" t="n">
        <v>6</v>
      </c>
      <c r="N26" s="110" t="n">
        <v>41</v>
      </c>
      <c r="O26" s="110" t="n">
        <v>2</v>
      </c>
      <c r="P26" s="110" t="n">
        <v>13</v>
      </c>
      <c r="Q26" s="110" t="n">
        <v>44</v>
      </c>
      <c r="R26" s="110" t="n">
        <v>233</v>
      </c>
    </row>
    <row r="27" customFormat="false" ht="15.7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.7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183040</v>
      </c>
      <c r="G28" s="108" t="n">
        <f aca="false">SUM(G30:G36)</f>
        <v>130004</v>
      </c>
      <c r="H28" s="108" t="n">
        <f aca="false">SUM(H30:H36)</f>
        <v>169489</v>
      </c>
      <c r="I28" s="108" t="n">
        <f aca="false">SUM(I30:I36)</f>
        <v>143597</v>
      </c>
      <c r="J28" s="108" t="n">
        <f aca="false">SUM(J30:J36)</f>
        <v>160452</v>
      </c>
      <c r="K28" s="108" t="n">
        <f aca="false">SUM(K30:K36)</f>
        <v>201126</v>
      </c>
      <c r="L28" s="108" t="n">
        <f aca="false">SUM(L30:L36)</f>
        <v>168492</v>
      </c>
      <c r="M28" s="108" t="n">
        <f aca="false">SUM(M30:M36)</f>
        <v>140115</v>
      </c>
      <c r="N28" s="108" t="n">
        <f aca="false">SUM(N30:N36)</f>
        <v>159764</v>
      </c>
      <c r="O28" s="108" t="n">
        <f aca="false">SUM(O30:O36)</f>
        <v>154793</v>
      </c>
      <c r="P28" s="108" t="n">
        <f aca="false">SUM(P30:P36)</f>
        <v>151397</v>
      </c>
      <c r="Q28" s="108" t="n">
        <f aca="false">SUM(Q30:Q36)</f>
        <v>219350</v>
      </c>
      <c r="R28" s="108" t="n">
        <f aca="false">SUM(F28:Q28)</f>
        <v>1981619</v>
      </c>
    </row>
    <row r="29" customFormat="false" ht="15.7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.75" hidden="false" customHeight="true" outlineLevel="0" collapsed="false">
      <c r="D30" s="100" t="s">
        <v>28</v>
      </c>
      <c r="F30" s="110" t="n">
        <v>28160</v>
      </c>
      <c r="G30" s="110" t="n">
        <v>28617</v>
      </c>
      <c r="H30" s="110" t="n">
        <v>28327</v>
      </c>
      <c r="I30" s="110" t="n">
        <v>28218</v>
      </c>
      <c r="J30" s="110" t="n">
        <v>30496</v>
      </c>
      <c r="K30" s="110" t="n">
        <v>30264</v>
      </c>
      <c r="L30" s="110" t="n">
        <v>29223</v>
      </c>
      <c r="M30" s="110" t="n">
        <v>28216</v>
      </c>
      <c r="N30" s="110" t="n">
        <v>28337</v>
      </c>
      <c r="O30" s="110" t="n">
        <v>27199</v>
      </c>
      <c r="P30" s="110" t="n">
        <v>28538</v>
      </c>
      <c r="Q30" s="110" t="n">
        <v>28640</v>
      </c>
      <c r="R30" s="110" t="n">
        <f aca="false">SUM(F30:Q30)</f>
        <v>344235</v>
      </c>
    </row>
    <row r="31" customFormat="false" ht="15.75" hidden="false" customHeight="true" outlineLevel="0" collapsed="false">
      <c r="D31" s="100" t="s">
        <v>29</v>
      </c>
      <c r="F31" s="110" t="n">
        <v>56465</v>
      </c>
      <c r="G31" s="110" t="n">
        <v>15865</v>
      </c>
      <c r="H31" s="110" t="n">
        <v>30799</v>
      </c>
      <c r="I31" s="110" t="n">
        <v>13398</v>
      </c>
      <c r="J31" s="110" t="n">
        <v>23594</v>
      </c>
      <c r="K31" s="110" t="n">
        <v>19620</v>
      </c>
      <c r="L31" s="110" t="n">
        <v>48224</v>
      </c>
      <c r="M31" s="110" t="n">
        <v>20598</v>
      </c>
      <c r="N31" s="110" t="n">
        <v>28830</v>
      </c>
      <c r="O31" s="110" t="n">
        <v>16767</v>
      </c>
      <c r="P31" s="110" t="n">
        <v>18099</v>
      </c>
      <c r="Q31" s="110" t="n">
        <v>28926</v>
      </c>
      <c r="R31" s="110" t="n">
        <f aca="false">SUM(F31:Q31)</f>
        <v>321185</v>
      </c>
    </row>
    <row r="32" customFormat="false" ht="15.75" hidden="false" customHeight="true" outlineLevel="0" collapsed="false">
      <c r="D32" s="100" t="s">
        <v>30</v>
      </c>
      <c r="F32" s="110" t="n">
        <v>30</v>
      </c>
      <c r="G32" s="110" t="n">
        <v>0</v>
      </c>
      <c r="H32" s="110" t="n">
        <v>30</v>
      </c>
      <c r="I32" s="110" t="n">
        <v>10485</v>
      </c>
      <c r="J32" s="110" t="n">
        <v>2720</v>
      </c>
      <c r="K32" s="110" t="n">
        <v>626</v>
      </c>
      <c r="L32" s="110" t="n">
        <v>263</v>
      </c>
      <c r="M32" s="110" t="n">
        <v>763</v>
      </c>
      <c r="N32" s="110" t="n">
        <v>1014</v>
      </c>
      <c r="O32" s="110" t="n">
        <v>967</v>
      </c>
      <c r="P32" s="110" t="n">
        <v>682</v>
      </c>
      <c r="Q32" s="110" t="n">
        <v>11952</v>
      </c>
      <c r="R32" s="110" t="n">
        <f aca="false">SUM(F32:Q32)</f>
        <v>29532</v>
      </c>
    </row>
    <row r="33" customFormat="false" ht="15.75" hidden="false" customHeight="true" outlineLevel="0" collapsed="false">
      <c r="D33" s="100" t="s">
        <v>77</v>
      </c>
      <c r="F33" s="110" t="n">
        <v>667</v>
      </c>
      <c r="G33" s="110" t="n">
        <v>191</v>
      </c>
      <c r="H33" s="110" t="n">
        <v>369</v>
      </c>
      <c r="I33" s="110" t="n">
        <v>253</v>
      </c>
      <c r="J33" s="110" t="n">
        <v>1737</v>
      </c>
      <c r="K33" s="110" t="n">
        <v>46323</v>
      </c>
      <c r="L33" s="110" t="n">
        <v>6628</v>
      </c>
      <c r="M33" s="110" t="n">
        <v>3075</v>
      </c>
      <c r="N33" s="110" t="n">
        <v>2965</v>
      </c>
      <c r="O33" s="110" t="n">
        <v>1430</v>
      </c>
      <c r="P33" s="110" t="n">
        <v>2685</v>
      </c>
      <c r="Q33" s="110" t="n">
        <v>14117</v>
      </c>
      <c r="R33" s="110" t="n">
        <f aca="false">SUM(F33:Q33)</f>
        <v>80440</v>
      </c>
    </row>
    <row r="34" customFormat="false" ht="15.75" hidden="false" customHeight="true" outlineLevel="0" collapsed="false">
      <c r="D34" s="100" t="s">
        <v>32</v>
      </c>
      <c r="F34" s="110" t="n">
        <v>0</v>
      </c>
      <c r="G34" s="110" t="n">
        <v>110</v>
      </c>
      <c r="H34" s="110" t="n">
        <v>28</v>
      </c>
      <c r="I34" s="110" t="n">
        <v>135</v>
      </c>
      <c r="J34" s="110" t="n">
        <v>101</v>
      </c>
      <c r="K34" s="110" t="n">
        <v>59</v>
      </c>
      <c r="L34" s="110" t="n">
        <v>202</v>
      </c>
      <c r="M34" s="110" t="n">
        <v>32</v>
      </c>
      <c r="N34" s="110" t="n">
        <v>565</v>
      </c>
      <c r="O34" s="110" t="n">
        <v>206</v>
      </c>
      <c r="P34" s="110" t="n">
        <v>52</v>
      </c>
      <c r="Q34" s="110" t="n">
        <v>258</v>
      </c>
      <c r="R34" s="110" t="n">
        <f aca="false">SUM(F34:Q34)</f>
        <v>1748</v>
      </c>
    </row>
    <row r="35" customFormat="false" ht="15.75" hidden="false" customHeight="true" outlineLevel="0" collapsed="false">
      <c r="D35" s="100" t="s">
        <v>78</v>
      </c>
      <c r="F35" s="110" t="n">
        <v>2938</v>
      </c>
      <c r="G35" s="110" t="n">
        <v>-1441</v>
      </c>
      <c r="H35" s="110" t="n">
        <v>3412</v>
      </c>
      <c r="I35" s="110" t="n">
        <v>712</v>
      </c>
      <c r="J35" s="110" t="n">
        <v>344</v>
      </c>
      <c r="K35" s="110" t="n">
        <v>493</v>
      </c>
      <c r="L35" s="110" t="n">
        <v>484</v>
      </c>
      <c r="M35" s="110" t="n">
        <v>310</v>
      </c>
      <c r="N35" s="110" t="n">
        <v>1163</v>
      </c>
      <c r="O35" s="110" t="n">
        <v>1008</v>
      </c>
      <c r="P35" s="110" t="n">
        <v>3771</v>
      </c>
      <c r="Q35" s="110" t="n">
        <v>201</v>
      </c>
      <c r="R35" s="110" t="n">
        <f aca="false">SUM(F35:Q35)</f>
        <v>13395</v>
      </c>
    </row>
    <row r="36" customFormat="false" ht="15.75" hidden="false" customHeight="true" outlineLevel="0" collapsed="false">
      <c r="D36" s="1" t="s">
        <v>79</v>
      </c>
      <c r="F36" s="110" t="n">
        <v>94780</v>
      </c>
      <c r="G36" s="110" t="n">
        <v>86662</v>
      </c>
      <c r="H36" s="110" t="n">
        <v>106524</v>
      </c>
      <c r="I36" s="110" t="n">
        <v>90396</v>
      </c>
      <c r="J36" s="110" t="n">
        <v>101460</v>
      </c>
      <c r="K36" s="110" t="n">
        <v>103741</v>
      </c>
      <c r="L36" s="110" t="n">
        <v>83468</v>
      </c>
      <c r="M36" s="110" t="n">
        <v>87121</v>
      </c>
      <c r="N36" s="110" t="n">
        <v>96890</v>
      </c>
      <c r="O36" s="110" t="n">
        <v>107216</v>
      </c>
      <c r="P36" s="110" t="n">
        <v>97570</v>
      </c>
      <c r="Q36" s="110" t="n">
        <v>135256</v>
      </c>
      <c r="R36" s="110" t="n">
        <f aca="false">SUM(F36:Q36)</f>
        <v>1191084</v>
      </c>
    </row>
    <row r="37" customFormat="false" ht="15.7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</row>
    <row r="38" customFormat="false" ht="15.7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-34218</v>
      </c>
      <c r="G38" s="112" t="n">
        <f aca="false">+G8-G28</f>
        <v>-9718</v>
      </c>
      <c r="H38" s="112" t="n">
        <f aca="false">+H8-H28</f>
        <v>-40186</v>
      </c>
      <c r="I38" s="112" t="n">
        <f aca="false">+I8-I28</f>
        <v>80852</v>
      </c>
      <c r="J38" s="112" t="n">
        <f aca="false">+J8-J28</f>
        <v>11782</v>
      </c>
      <c r="K38" s="112" t="n">
        <f aca="false">+K8-K28</f>
        <v>-62486</v>
      </c>
      <c r="L38" s="112" t="n">
        <f aca="false">+L8-L28</f>
        <v>-1762</v>
      </c>
      <c r="M38" s="112" t="n">
        <f aca="false">+M8-M28</f>
        <v>29865</v>
      </c>
      <c r="N38" s="112" t="n">
        <f aca="false">+N8-N28</f>
        <v>-5198</v>
      </c>
      <c r="O38" s="112" t="n">
        <f aca="false">+O8-O28</f>
        <v>-2530</v>
      </c>
      <c r="P38" s="112" t="n">
        <f aca="false">+P8-P28</f>
        <v>6824</v>
      </c>
      <c r="Q38" s="112" t="n">
        <f aca="false">+Q8-Q28</f>
        <v>-46317</v>
      </c>
      <c r="R38" s="112" t="n">
        <f aca="false">SUM(F38:Q38)</f>
        <v>-73092</v>
      </c>
    </row>
    <row r="39" customFormat="false" ht="15.7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.75" hidden="false" customHeight="true" outlineLevel="0" collapsed="false">
      <c r="B40" s="107" t="s">
        <v>36</v>
      </c>
      <c r="C40" s="107"/>
      <c r="D40" s="107"/>
      <c r="E40" s="107"/>
      <c r="F40" s="108" t="n">
        <v>-41092</v>
      </c>
      <c r="G40" s="108" t="n">
        <v>18503</v>
      </c>
      <c r="H40" s="108" t="n">
        <v>29602</v>
      </c>
      <c r="I40" s="108" t="n">
        <v>3965</v>
      </c>
      <c r="J40" s="108" t="n">
        <v>4988</v>
      </c>
      <c r="K40" s="108" t="n">
        <v>22357</v>
      </c>
      <c r="L40" s="108" t="n">
        <v>55116</v>
      </c>
      <c r="M40" s="108" t="n">
        <v>12217</v>
      </c>
      <c r="N40" s="108" t="n">
        <v>2577</v>
      </c>
      <c r="O40" s="108" t="n">
        <v>10248</v>
      </c>
      <c r="P40" s="108" t="n">
        <v>24744</v>
      </c>
      <c r="Q40" s="108" t="n">
        <v>32014</v>
      </c>
      <c r="R40" s="108" t="n">
        <v>175239</v>
      </c>
    </row>
    <row r="41" customFormat="false" ht="15.75" hidden="false" customHeight="true" outlineLevel="0" collapsed="false">
      <c r="C41" s="100" t="s">
        <v>37</v>
      </c>
      <c r="F41" s="109" t="n">
        <v>-11338</v>
      </c>
      <c r="G41" s="109" t="n">
        <v>-3748</v>
      </c>
      <c r="H41" s="109" t="n">
        <v>10933</v>
      </c>
      <c r="I41" s="109" t="n">
        <v>2751</v>
      </c>
      <c r="J41" s="109" t="n">
        <v>-4285</v>
      </c>
      <c r="K41" s="109" t="n">
        <v>-3741</v>
      </c>
      <c r="L41" s="109" t="n">
        <v>28018</v>
      </c>
      <c r="M41" s="109" t="n">
        <v>-1730</v>
      </c>
      <c r="N41" s="109" t="n">
        <v>286</v>
      </c>
      <c r="O41" s="109" t="n">
        <v>-1624</v>
      </c>
      <c r="P41" s="109" t="n">
        <v>-5038</v>
      </c>
      <c r="Q41" s="109" t="n">
        <v>2088</v>
      </c>
      <c r="R41" s="109" t="n">
        <v>12572</v>
      </c>
    </row>
    <row r="42" customFormat="false" ht="15.75" hidden="false" customHeight="true" outlineLevel="0" collapsed="false">
      <c r="D42" s="100" t="s">
        <v>38</v>
      </c>
      <c r="F42" s="110" t="n">
        <v>32717</v>
      </c>
      <c r="G42" s="110" t="n">
        <v>819</v>
      </c>
      <c r="H42" s="110" t="n">
        <v>16581</v>
      </c>
      <c r="I42" s="110" t="n">
        <v>5164</v>
      </c>
      <c r="J42" s="110" t="n">
        <v>1284</v>
      </c>
      <c r="K42" s="110" t="n">
        <v>517</v>
      </c>
      <c r="L42" s="110" t="n">
        <v>29624</v>
      </c>
      <c r="M42" s="110" t="n">
        <v>2247</v>
      </c>
      <c r="N42" s="110" t="n">
        <v>5347</v>
      </c>
      <c r="O42" s="110" t="n">
        <v>880</v>
      </c>
      <c r="P42" s="110" t="n">
        <v>419</v>
      </c>
      <c r="Q42" s="110" t="n">
        <v>7340</v>
      </c>
      <c r="R42" s="110" t="n">
        <v>102939</v>
      </c>
    </row>
    <row r="43" customFormat="false" ht="15.75" hidden="false" customHeight="true" outlineLevel="0" collapsed="false">
      <c r="D43" s="100" t="s">
        <v>97</v>
      </c>
      <c r="F43" s="110" t="n">
        <v>44055</v>
      </c>
      <c r="G43" s="110" t="n">
        <v>4567</v>
      </c>
      <c r="H43" s="110" t="n">
        <v>5648</v>
      </c>
      <c r="I43" s="110" t="n">
        <v>2413</v>
      </c>
      <c r="J43" s="110" t="n">
        <v>5569</v>
      </c>
      <c r="K43" s="110" t="n">
        <v>4258</v>
      </c>
      <c r="L43" s="110" t="n">
        <v>1606</v>
      </c>
      <c r="M43" s="110" t="n">
        <v>3977</v>
      </c>
      <c r="N43" s="110" t="n">
        <v>5061</v>
      </c>
      <c r="O43" s="110" t="n">
        <v>2504</v>
      </c>
      <c r="P43" s="110" t="n">
        <v>5457</v>
      </c>
      <c r="Q43" s="110" t="n">
        <v>5252</v>
      </c>
      <c r="R43" s="110" t="n">
        <v>90367</v>
      </c>
    </row>
    <row r="44" customFormat="false" ht="15.7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.75" hidden="false" customHeight="true" outlineLevel="0" collapsed="false">
      <c r="C45" s="100" t="s">
        <v>40</v>
      </c>
      <c r="F45" s="109" t="n">
        <v>-29754</v>
      </c>
      <c r="G45" s="109" t="n">
        <v>22251</v>
      </c>
      <c r="H45" s="109" t="n">
        <v>18669</v>
      </c>
      <c r="I45" s="109" t="n">
        <v>1214</v>
      </c>
      <c r="J45" s="109" t="n">
        <v>9273</v>
      </c>
      <c r="K45" s="109" t="n">
        <v>26098</v>
      </c>
      <c r="L45" s="109" t="n">
        <v>27098</v>
      </c>
      <c r="M45" s="109" t="n">
        <v>13947</v>
      </c>
      <c r="N45" s="109" t="n">
        <v>2291</v>
      </c>
      <c r="O45" s="109" t="n">
        <v>11872</v>
      </c>
      <c r="P45" s="109" t="n">
        <v>29782</v>
      </c>
      <c r="Q45" s="109" t="n">
        <v>29926</v>
      </c>
      <c r="R45" s="109" t="n">
        <v>162667</v>
      </c>
    </row>
    <row r="46" customFormat="false" ht="15.75" hidden="false" customHeight="true" outlineLevel="0" collapsed="false">
      <c r="D46" s="100" t="s">
        <v>41</v>
      </c>
      <c r="F46" s="110" t="n">
        <v>-5639</v>
      </c>
      <c r="G46" s="110" t="n">
        <v>24236</v>
      </c>
      <c r="H46" s="110" t="n">
        <v>28402</v>
      </c>
      <c r="I46" s="110" t="n">
        <v>24119</v>
      </c>
      <c r="J46" s="110" t="n">
        <v>19905</v>
      </c>
      <c r="K46" s="110" t="n">
        <v>26098</v>
      </c>
      <c r="L46" s="110" t="n">
        <v>30950</v>
      </c>
      <c r="M46" s="110" t="n">
        <v>20571</v>
      </c>
      <c r="N46" s="110" t="n">
        <v>17155</v>
      </c>
      <c r="O46" s="110" t="n">
        <v>16040</v>
      </c>
      <c r="P46" s="110" t="n">
        <v>33285</v>
      </c>
      <c r="Q46" s="110" t="n">
        <v>31000</v>
      </c>
      <c r="R46" s="110" t="n">
        <v>266122</v>
      </c>
    </row>
    <row r="47" customFormat="false" ht="15.75" hidden="false" customHeight="true" outlineLevel="0" collapsed="false">
      <c r="D47" s="100" t="s">
        <v>97</v>
      </c>
      <c r="F47" s="110" t="n">
        <v>24115</v>
      </c>
      <c r="G47" s="110" t="n">
        <v>1985</v>
      </c>
      <c r="H47" s="110" t="n">
        <v>9733</v>
      </c>
      <c r="I47" s="110" t="n">
        <v>22905</v>
      </c>
      <c r="J47" s="110" t="n">
        <v>10632</v>
      </c>
      <c r="K47" s="110" t="n">
        <v>0</v>
      </c>
      <c r="L47" s="110" t="n">
        <v>3852</v>
      </c>
      <c r="M47" s="110" t="n">
        <v>6624</v>
      </c>
      <c r="N47" s="110" t="n">
        <v>14864</v>
      </c>
      <c r="O47" s="110" t="n">
        <v>4168</v>
      </c>
      <c r="P47" s="110" t="n">
        <v>3503</v>
      </c>
      <c r="Q47" s="110" t="n">
        <v>1074</v>
      </c>
      <c r="R47" s="110" t="n">
        <v>103455</v>
      </c>
      <c r="U47" s="100" t="s">
        <v>59</v>
      </c>
      <c r="V47" s="100" t="s">
        <v>59</v>
      </c>
    </row>
    <row r="48" customFormat="false" ht="15.7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V48" s="100" t="s">
        <v>59</v>
      </c>
    </row>
    <row r="49" customFormat="false" ht="15.75" hidden="false" customHeight="true" outlineLevel="0" collapsed="false">
      <c r="B49" s="107" t="s">
        <v>45</v>
      </c>
      <c r="C49" s="107"/>
      <c r="D49" s="107"/>
      <c r="E49" s="107"/>
      <c r="F49" s="108" t="n">
        <v>-172874</v>
      </c>
      <c r="G49" s="108" t="n">
        <v>12016</v>
      </c>
      <c r="H49" s="108" t="n">
        <v>-9902</v>
      </c>
      <c r="I49" s="108" t="n">
        <v>100864</v>
      </c>
      <c r="J49" s="108" t="n">
        <v>28374</v>
      </c>
      <c r="K49" s="108" t="n">
        <v>-40734</v>
      </c>
      <c r="L49" s="108" t="n">
        <v>53479</v>
      </c>
      <c r="M49" s="108" t="n">
        <v>46290</v>
      </c>
      <c r="N49" s="108" t="n">
        <v>-14312</v>
      </c>
      <c r="O49" s="108" t="n">
        <v>307</v>
      </c>
      <c r="P49" s="108" t="n">
        <v>55789</v>
      </c>
      <c r="Q49" s="108" t="n">
        <v>-21471</v>
      </c>
      <c r="R49" s="108" t="n">
        <v>37826</v>
      </c>
    </row>
    <row r="50" customFormat="false" ht="15" hidden="false" customHeight="false" outlineLevel="0" collapsed="false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</row>
    <row r="51" s="115" customFormat="true" ht="13.5" hidden="false" customHeight="false" outlineLevel="0" collapsed="false">
      <c r="B51" s="116" t="s">
        <v>46</v>
      </c>
      <c r="T51" s="124"/>
    </row>
    <row r="52" s="115" customFormat="true" ht="12.75" hidden="false" customHeight="false" outlineLevel="0" collapsed="false">
      <c r="B52" s="116"/>
      <c r="C52" s="26" t="s">
        <v>98</v>
      </c>
      <c r="T52" s="124"/>
    </row>
    <row r="53" s="115" customFormat="true" ht="12.75" hidden="false" customHeight="false" outlineLevel="0" collapsed="false">
      <c r="B53" s="26"/>
      <c r="C53" s="26" t="s">
        <v>99</v>
      </c>
      <c r="T53" s="124"/>
    </row>
    <row r="54" s="115" customFormat="true" ht="12.75" hidden="false" customHeight="false" outlineLevel="0" collapsed="false">
      <c r="A54" s="26"/>
      <c r="T54" s="124"/>
    </row>
    <row r="55" s="115" customFormat="true" ht="12.75" hidden="false" customHeight="false" outlineLevel="0" collapsed="false">
      <c r="T55" s="124"/>
    </row>
    <row r="56" s="115" customFormat="true" ht="12.75" hidden="false" customHeight="false" outlineLevel="0" collapsed="false">
      <c r="C56" s="26" t="s">
        <v>51</v>
      </c>
      <c r="T56" s="124"/>
    </row>
    <row r="57" s="115" customFormat="true" ht="12.75" hidden="false" customHeight="false" outlineLevel="0" collapsed="false">
      <c r="C57" s="26" t="s">
        <v>106</v>
      </c>
      <c r="T57" s="124"/>
    </row>
    <row r="58" s="115" customFormat="true" ht="12.75" hidden="false" customHeight="false" outlineLevel="0" collapsed="false">
      <c r="T58" s="124"/>
    </row>
  </sheetData>
  <mergeCells count="2">
    <mergeCell ref="A4:E4"/>
    <mergeCell ref="B6:E6"/>
  </mergeCells>
  <printOptions headings="false" gridLines="false" gridLinesSet="true" horizontalCentered="true" verticalCentered="false"/>
  <pageMargins left="0.236111111111111" right="0.236111111111111" top="1.25972222222222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43" activeCellId="0" sqref="R43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33.42"/>
    <col collapsed="false" customWidth="true" hidden="false" outlineLevel="0" max="6" min="6" style="100" width="10.42"/>
    <col collapsed="false" customWidth="true" hidden="false" outlineLevel="0" max="17" min="7" style="100" width="9.29"/>
    <col collapsed="false" customWidth="true" hidden="false" outlineLevel="0" max="18" min="18" style="100" width="10.99"/>
    <col collapsed="false" customWidth="true" hidden="false" outlineLevel="0" max="19" min="19" style="100" width="1.14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customFormat="false" ht="15" hidden="false" customHeight="false" outlineLevel="0" collapsed="false">
      <c r="A2" s="101" t="s">
        <v>104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</row>
    <row r="4" customFormat="false" ht="14.25" hidden="false" customHeight="false" outlineLevel="0" collapsed="false">
      <c r="A4" s="125" t="s">
        <v>3</v>
      </c>
      <c r="B4" s="125"/>
      <c r="C4" s="125"/>
      <c r="D4" s="125"/>
      <c r="E4" s="125"/>
    </row>
    <row r="5" customFormat="false" ht="6" hidden="false" customHeight="true" outlineLevel="0" collapsed="false"/>
    <row r="6" customFormat="false" ht="20.25" hidden="false" customHeight="true" outlineLevel="0" collapsed="false">
      <c r="A6" s="126" t="s">
        <v>4</v>
      </c>
      <c r="B6" s="126"/>
      <c r="C6" s="126"/>
      <c r="D6" s="126"/>
      <c r="E6" s="126"/>
      <c r="F6" s="105" t="s">
        <v>107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22"/>
    </row>
    <row r="7" customFormat="false" ht="15.75" hidden="false" customHeight="true" outlineLevel="0" collapsed="false">
      <c r="O7" s="110"/>
    </row>
    <row r="8" customFormat="false" ht="15.75" hidden="false" customHeight="true" outlineLevel="0" collapsed="false">
      <c r="B8" s="107" t="s">
        <v>12</v>
      </c>
      <c r="C8" s="107"/>
      <c r="D8" s="107"/>
      <c r="E8" s="107"/>
      <c r="F8" s="108" t="n">
        <f aca="false">+F9+F19+F27</f>
        <v>148822</v>
      </c>
      <c r="G8" s="108" t="n">
        <f aca="false">+G9+G19+G27</f>
        <v>120286</v>
      </c>
      <c r="H8" s="108" t="n">
        <f aca="false">+H9+H19+H27</f>
        <v>129303</v>
      </c>
      <c r="I8" s="108" t="n">
        <f aca="false">+I9+I19+I27</f>
        <v>224449</v>
      </c>
      <c r="J8" s="108" t="n">
        <f aca="false">+J9+J19+J27</f>
        <v>172234</v>
      </c>
      <c r="K8" s="108" t="n">
        <f aca="false">+K9+K19+K27</f>
        <v>138640</v>
      </c>
      <c r="L8" s="108" t="n">
        <f aca="false">+L9+L19+L27</f>
        <v>166730</v>
      </c>
      <c r="M8" s="108" t="n">
        <f aca="false">+M9+M19+M27</f>
        <v>169980</v>
      </c>
      <c r="N8" s="108" t="n">
        <f aca="false">+N9+N19+N27</f>
        <v>154566</v>
      </c>
      <c r="O8" s="108" t="n">
        <f aca="false">+O9+O19+O27</f>
        <v>152263</v>
      </c>
      <c r="P8" s="108" t="n">
        <f aca="false">+P9+P19+P27</f>
        <v>158221</v>
      </c>
      <c r="Q8" s="108" t="n">
        <f aca="false">+Q9+Q19+Q27</f>
        <v>173033</v>
      </c>
      <c r="R8" s="108" t="n">
        <f aca="false">+R9+R19+R27</f>
        <v>1908527</v>
      </c>
      <c r="T8" s="100" t="s">
        <v>59</v>
      </c>
    </row>
    <row r="9" customFormat="false" ht="15.75" hidden="false" customHeight="true" outlineLevel="0" collapsed="false">
      <c r="C9" s="100" t="s">
        <v>13</v>
      </c>
      <c r="F9" s="109" t="n">
        <f aca="false">+F10+F14+F17</f>
        <v>135092</v>
      </c>
      <c r="G9" s="109" t="n">
        <f aca="false">G10+G14+G17</f>
        <v>107102</v>
      </c>
      <c r="H9" s="109" t="n">
        <f aca="false">+H10+H14+H17</f>
        <v>113200</v>
      </c>
      <c r="I9" s="109" t="n">
        <f aca="false">+I10+I14+I17</f>
        <v>187959</v>
      </c>
      <c r="J9" s="109" t="n">
        <f aca="false">+J10+J14+J17</f>
        <v>158299</v>
      </c>
      <c r="K9" s="109" t="n">
        <f aca="false">+K10+K14+K17</f>
        <v>122797</v>
      </c>
      <c r="L9" s="109" t="n">
        <f aca="false">+L10+L14+L17</f>
        <v>151640</v>
      </c>
      <c r="M9" s="109" t="n">
        <f aca="false">+M10+M14+M17</f>
        <v>158420</v>
      </c>
      <c r="N9" s="109" t="n">
        <f aca="false">+N10+N14+N17</f>
        <v>139812</v>
      </c>
      <c r="O9" s="109" t="n">
        <f aca="false">+O10+O14+O17</f>
        <v>137407</v>
      </c>
      <c r="P9" s="109" t="n">
        <f aca="false">+P10+P14+P17</f>
        <v>147585</v>
      </c>
      <c r="Q9" s="109" t="n">
        <f aca="false">+Q10+Q14+Q17</f>
        <v>159673</v>
      </c>
      <c r="R9" s="109" t="n">
        <f aca="false">+R10+R14+R17</f>
        <v>1718986</v>
      </c>
    </row>
    <row r="10" customFormat="false" ht="15.75" hidden="false" customHeight="true" outlineLevel="0" collapsed="false">
      <c r="D10" s="100" t="s">
        <v>14</v>
      </c>
      <c r="F10" s="110" t="n">
        <v>104151</v>
      </c>
      <c r="G10" s="110" t="n">
        <v>78378</v>
      </c>
      <c r="H10" s="110" t="n">
        <v>82176</v>
      </c>
      <c r="I10" s="110" t="n">
        <v>156111</v>
      </c>
      <c r="J10" s="110" t="n">
        <v>128273</v>
      </c>
      <c r="K10" s="110" t="n">
        <v>94120</v>
      </c>
      <c r="L10" s="110" t="n">
        <v>119942</v>
      </c>
      <c r="M10" s="110" t="n">
        <v>127565</v>
      </c>
      <c r="N10" s="110" t="n">
        <v>105708</v>
      </c>
      <c r="O10" s="110" t="n">
        <v>101801</v>
      </c>
      <c r="P10" s="110" t="n">
        <v>121889</v>
      </c>
      <c r="Q10" s="110" t="n">
        <v>114648</v>
      </c>
      <c r="R10" s="110" t="n">
        <f aca="false">SUM(F10:Q10)</f>
        <v>1334762</v>
      </c>
    </row>
    <row r="11" customFormat="false" ht="15.7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.75" hidden="false" customHeight="true" outlineLevel="0" collapsed="false">
      <c r="E12" s="100" t="s">
        <v>16</v>
      </c>
      <c r="F12" s="110" t="n">
        <v>0</v>
      </c>
      <c r="G12" s="110" t="n">
        <v>0</v>
      </c>
      <c r="H12" s="110" t="n">
        <v>0</v>
      </c>
      <c r="I12" s="110" t="n">
        <v>1157</v>
      </c>
      <c r="J12" s="110" t="n">
        <v>234</v>
      </c>
      <c r="K12" s="110" t="n">
        <v>160</v>
      </c>
      <c r="L12" s="110" t="n">
        <v>255</v>
      </c>
      <c r="M12" s="110" t="n">
        <v>231</v>
      </c>
      <c r="N12" s="110" t="n">
        <v>896</v>
      </c>
      <c r="O12" s="110" t="n">
        <v>260</v>
      </c>
      <c r="P12" s="110" t="n">
        <v>236</v>
      </c>
      <c r="Q12" s="110" t="n">
        <v>223</v>
      </c>
      <c r="R12" s="110" t="n">
        <f aca="false">SUM(F12:Q12)</f>
        <v>3652</v>
      </c>
    </row>
    <row r="13" customFormat="false" ht="15.75" hidden="false" customHeight="true" outlineLevel="0" collapsed="false">
      <c r="E13" s="100" t="s">
        <v>17</v>
      </c>
      <c r="F13" s="110" t="n">
        <v>30</v>
      </c>
      <c r="G13" s="110" t="n">
        <v>0</v>
      </c>
      <c r="H13" s="110" t="n">
        <v>30</v>
      </c>
      <c r="I13" s="110" t="n">
        <v>9302</v>
      </c>
      <c r="J13" s="110" t="n">
        <v>2204</v>
      </c>
      <c r="K13" s="110" t="n">
        <v>416</v>
      </c>
      <c r="L13" s="110" t="n">
        <v>5</v>
      </c>
      <c r="M13" s="110" t="n">
        <v>530</v>
      </c>
      <c r="N13" s="110" t="n">
        <v>31</v>
      </c>
      <c r="O13" s="110" t="n">
        <v>668</v>
      </c>
      <c r="P13" s="110" t="n">
        <v>446</v>
      </c>
      <c r="Q13" s="110" t="n">
        <v>717</v>
      </c>
      <c r="R13" s="110" t="n">
        <f aca="false">SUM(F13:Q13)</f>
        <v>14379</v>
      </c>
    </row>
    <row r="14" customFormat="false" ht="15.75" hidden="false" customHeight="true" outlineLevel="0" collapsed="false">
      <c r="D14" s="100" t="s">
        <v>18</v>
      </c>
      <c r="F14" s="110" t="n">
        <v>29773</v>
      </c>
      <c r="G14" s="110" t="n">
        <v>27416</v>
      </c>
      <c r="H14" s="110" t="n">
        <v>29313</v>
      </c>
      <c r="I14" s="110" t="n">
        <v>30764</v>
      </c>
      <c r="J14" s="110" t="n">
        <v>28809</v>
      </c>
      <c r="K14" s="110" t="n">
        <v>27327</v>
      </c>
      <c r="L14" s="110" t="n">
        <v>30460</v>
      </c>
      <c r="M14" s="110" t="n">
        <v>29061</v>
      </c>
      <c r="N14" s="110" t="n">
        <v>32866</v>
      </c>
      <c r="O14" s="110" t="n">
        <v>34160</v>
      </c>
      <c r="P14" s="110" t="n">
        <v>24691</v>
      </c>
      <c r="Q14" s="110" t="n">
        <v>44637</v>
      </c>
      <c r="R14" s="110" t="n">
        <f aca="false">SUM(F14:Q14)</f>
        <v>369277</v>
      </c>
    </row>
    <row r="15" customFormat="false" ht="15.7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.7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0</v>
      </c>
      <c r="I16" s="110" t="n">
        <v>26</v>
      </c>
      <c r="J16" s="110" t="n">
        <v>282</v>
      </c>
      <c r="K16" s="110" t="n">
        <v>50</v>
      </c>
      <c r="L16" s="110" t="n">
        <v>3</v>
      </c>
      <c r="M16" s="110" t="n">
        <v>2</v>
      </c>
      <c r="N16" s="110" t="n">
        <v>87</v>
      </c>
      <c r="O16" s="110" t="n">
        <v>39</v>
      </c>
      <c r="P16" s="110" t="n">
        <v>0</v>
      </c>
      <c r="Q16" s="110" t="n">
        <v>11012</v>
      </c>
      <c r="R16" s="110" t="n">
        <f aca="false">SUM(F16:Q16)</f>
        <v>11501</v>
      </c>
    </row>
    <row r="17" customFormat="false" ht="15.75" hidden="false" customHeight="true" outlineLevel="0" collapsed="false">
      <c r="D17" s="100" t="s">
        <v>105</v>
      </c>
      <c r="F17" s="110" t="n">
        <v>1168</v>
      </c>
      <c r="G17" s="110" t="n">
        <v>1308</v>
      </c>
      <c r="H17" s="110" t="n">
        <v>1711</v>
      </c>
      <c r="I17" s="110" t="n">
        <v>1084</v>
      </c>
      <c r="J17" s="110" t="n">
        <v>1217</v>
      </c>
      <c r="K17" s="110" t="n">
        <v>1350</v>
      </c>
      <c r="L17" s="110" t="n">
        <v>1238</v>
      </c>
      <c r="M17" s="110" t="n">
        <v>1794</v>
      </c>
      <c r="N17" s="110" t="n">
        <v>1238</v>
      </c>
      <c r="O17" s="110" t="n">
        <v>1446</v>
      </c>
      <c r="P17" s="110" t="n">
        <v>1005</v>
      </c>
      <c r="Q17" s="110" t="n">
        <v>388</v>
      </c>
      <c r="R17" s="110" t="n">
        <f aca="false">SUM(F17:Q17)</f>
        <v>14947</v>
      </c>
    </row>
    <row r="18" customFormat="false" ht="15.7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customFormat="false" ht="15.75" hidden="false" customHeight="true" outlineLevel="0" collapsed="false">
      <c r="C19" s="100" t="s">
        <v>20</v>
      </c>
      <c r="F19" s="109" t="n">
        <f aca="false">SUM(F20:F25)</f>
        <v>13710</v>
      </c>
      <c r="G19" s="109" t="n">
        <f aca="false">SUM(G20:G25)</f>
        <v>13140</v>
      </c>
      <c r="H19" s="109" t="n">
        <f aca="false">SUM(H20:H25)</f>
        <v>16087</v>
      </c>
      <c r="I19" s="109" t="n">
        <f aca="false">SUM(I20:I25)</f>
        <v>36482</v>
      </c>
      <c r="J19" s="109" t="n">
        <f aca="false">SUM(J20:J25)</f>
        <v>13934</v>
      </c>
      <c r="K19" s="109" t="n">
        <f aca="false">SUM(K20:K25)</f>
        <v>15843</v>
      </c>
      <c r="L19" s="109" t="n">
        <f aca="false">SUM(L20:L25)</f>
        <v>15052</v>
      </c>
      <c r="M19" s="109" t="n">
        <f aca="false">SUM(M20:M25)</f>
        <v>11554</v>
      </c>
      <c r="N19" s="109" t="n">
        <f aca="false">SUM(N20:N25)</f>
        <v>14713</v>
      </c>
      <c r="O19" s="109" t="n">
        <f aca="false">SUM(O20:O25)</f>
        <v>14854</v>
      </c>
      <c r="P19" s="109" t="n">
        <f aca="false">SUM(P20:P25)</f>
        <v>10623</v>
      </c>
      <c r="Q19" s="109" t="n">
        <f aca="false">SUM(Q20:Q25)</f>
        <v>13316</v>
      </c>
      <c r="R19" s="109" t="n">
        <f aca="false">SUM(R20:R25)</f>
        <v>189308</v>
      </c>
      <c r="T19" s="100" t="s">
        <v>59</v>
      </c>
    </row>
    <row r="20" customFormat="false" ht="15.75" hidden="false" customHeight="true" outlineLevel="0" collapsed="false">
      <c r="D20" s="100" t="s">
        <v>21</v>
      </c>
      <c r="F20" s="127" t="n">
        <v>7531</v>
      </c>
      <c r="G20" s="110" t="n">
        <v>5614</v>
      </c>
      <c r="H20" s="110" t="n">
        <v>7812</v>
      </c>
      <c r="I20" s="110" t="n">
        <v>30829</v>
      </c>
      <c r="J20" s="110" t="n">
        <v>4103</v>
      </c>
      <c r="K20" s="110" t="n">
        <v>7050</v>
      </c>
      <c r="L20" s="110" t="n">
        <v>7506</v>
      </c>
      <c r="M20" s="110" t="n">
        <v>5263</v>
      </c>
      <c r="N20" s="110" t="n">
        <v>5581</v>
      </c>
      <c r="O20" s="110" t="n">
        <v>4881</v>
      </c>
      <c r="P20" s="110" t="n">
        <v>3408</v>
      </c>
      <c r="Q20" s="110" t="n">
        <v>3866</v>
      </c>
      <c r="R20" s="110" t="n">
        <f aca="false">SUM(F20:Q20)</f>
        <v>93444</v>
      </c>
      <c r="T20" s="100" t="s">
        <v>59</v>
      </c>
    </row>
    <row r="21" customFormat="false" ht="15.75" hidden="false" customHeight="true" outlineLevel="0" collapsed="false">
      <c r="D21" s="100" t="s">
        <v>88</v>
      </c>
      <c r="F21" s="128" t="n">
        <v>2726</v>
      </c>
      <c r="G21" s="110" t="n">
        <v>2001</v>
      </c>
      <c r="H21" s="110" t="n">
        <v>3479</v>
      </c>
      <c r="I21" s="110" t="n">
        <v>2465</v>
      </c>
      <c r="J21" s="110" t="n">
        <v>3503</v>
      </c>
      <c r="K21" s="110" t="n">
        <v>2671</v>
      </c>
      <c r="L21" s="110" t="n">
        <v>2471</v>
      </c>
      <c r="M21" s="110" t="n">
        <v>2564</v>
      </c>
      <c r="N21" s="110" t="n">
        <v>2028</v>
      </c>
      <c r="O21" s="110" t="n">
        <v>3279</v>
      </c>
      <c r="P21" s="110" t="n">
        <v>4051</v>
      </c>
      <c r="Q21" s="110" t="n">
        <v>1533</v>
      </c>
      <c r="R21" s="110" t="n">
        <f aca="false">SUM(F21:Q21)</f>
        <v>32771</v>
      </c>
      <c r="T21" s="110"/>
    </row>
    <row r="22" customFormat="false" ht="15.75" hidden="false" customHeight="true" outlineLevel="0" collapsed="false">
      <c r="D22" s="100" t="s">
        <v>23</v>
      </c>
      <c r="F22" s="100" t="n">
        <v>0</v>
      </c>
      <c r="G22" s="110" t="n">
        <v>1315</v>
      </c>
      <c r="H22" s="110" t="n">
        <v>0</v>
      </c>
      <c r="I22" s="110" t="n">
        <v>16</v>
      </c>
      <c r="J22" s="110" t="n">
        <v>380</v>
      </c>
      <c r="K22" s="110" t="n">
        <v>1</v>
      </c>
      <c r="L22" s="110" t="n">
        <v>144</v>
      </c>
      <c r="M22" s="110" t="n">
        <v>0</v>
      </c>
      <c r="N22" s="110" t="n">
        <v>41</v>
      </c>
      <c r="O22" s="110" t="n">
        <v>2</v>
      </c>
      <c r="P22" s="110" t="n">
        <v>4</v>
      </c>
      <c r="Q22" s="110" t="n">
        <v>43</v>
      </c>
      <c r="R22" s="110" t="n">
        <f aca="false">SUM(F22:Q22)</f>
        <v>1946</v>
      </c>
      <c r="T22" s="110"/>
    </row>
    <row r="23" customFormat="false" ht="15.75" hidden="false" customHeight="true" outlineLevel="0" collapsed="false">
      <c r="D23" s="100" t="s">
        <v>108</v>
      </c>
      <c r="F23" s="100" t="n">
        <v>0</v>
      </c>
      <c r="G23" s="110" t="n">
        <v>0</v>
      </c>
      <c r="H23" s="110" t="n">
        <v>0</v>
      </c>
      <c r="I23" s="110" t="n">
        <v>0</v>
      </c>
      <c r="J23" s="110" t="n">
        <v>0</v>
      </c>
      <c r="K23" s="110" t="n">
        <v>0</v>
      </c>
      <c r="L23" s="110" t="n">
        <v>0</v>
      </c>
      <c r="M23" s="110" t="n">
        <v>0</v>
      </c>
      <c r="N23" s="110" t="n">
        <v>0</v>
      </c>
      <c r="O23" s="110" t="n">
        <v>0</v>
      </c>
      <c r="P23" s="110" t="n">
        <v>0</v>
      </c>
      <c r="Q23" s="110" t="n">
        <v>0</v>
      </c>
      <c r="R23" s="110" t="n">
        <f aca="false">SUM(F23:Q23)</f>
        <v>0</v>
      </c>
      <c r="T23" s="110"/>
    </row>
    <row r="24" customFormat="false" ht="15.75" hidden="false" customHeight="true" outlineLevel="0" collapsed="false">
      <c r="D24" s="1" t="s">
        <v>24</v>
      </c>
      <c r="E24" s="1"/>
      <c r="F24" s="110" t="n">
        <v>414.512</v>
      </c>
      <c r="G24" s="110" t="n">
        <v>102.649</v>
      </c>
      <c r="H24" s="110" t="n">
        <v>2516.638</v>
      </c>
      <c r="I24" s="110" t="n">
        <v>2190.083</v>
      </c>
      <c r="J24" s="110" t="n">
        <v>2036.36</v>
      </c>
      <c r="K24" s="110" t="n">
        <v>2085.609</v>
      </c>
      <c r="L24" s="110" t="n">
        <v>2240.184</v>
      </c>
      <c r="M24" s="110" t="n">
        <v>2300.089</v>
      </c>
      <c r="N24" s="110" t="n">
        <v>2185.087</v>
      </c>
      <c r="O24" s="110" t="n">
        <v>2256.413</v>
      </c>
      <c r="P24" s="110" t="n">
        <v>1953.603</v>
      </c>
      <c r="Q24" s="110" t="n">
        <v>2002.325</v>
      </c>
      <c r="R24" s="110" t="n">
        <f aca="false">SUM(F24:Q24)</f>
        <v>22283.552</v>
      </c>
    </row>
    <row r="25" customFormat="false" ht="15.75" hidden="false" customHeight="true" outlineLevel="0" collapsed="false">
      <c r="D25" s="1" t="s">
        <v>25</v>
      </c>
      <c r="E25" s="1"/>
      <c r="F25" s="110" t="n">
        <v>3038.488</v>
      </c>
      <c r="G25" s="110" t="n">
        <v>4107.351</v>
      </c>
      <c r="H25" s="110" t="n">
        <v>2279.362</v>
      </c>
      <c r="I25" s="110" t="n">
        <v>981.917</v>
      </c>
      <c r="J25" s="110" t="n">
        <v>3911.64</v>
      </c>
      <c r="K25" s="110" t="n">
        <v>4035.391</v>
      </c>
      <c r="L25" s="110" t="n">
        <v>2690.816</v>
      </c>
      <c r="M25" s="110" t="n">
        <v>1426.911</v>
      </c>
      <c r="N25" s="110" t="n">
        <v>4877.913</v>
      </c>
      <c r="O25" s="110" t="n">
        <v>4435.587</v>
      </c>
      <c r="P25" s="110" t="n">
        <v>1206.397</v>
      </c>
      <c r="Q25" s="110" t="n">
        <v>5871.675</v>
      </c>
      <c r="R25" s="110" t="n">
        <f aca="false">SUM(F25:Q25)</f>
        <v>38863.448</v>
      </c>
    </row>
    <row r="26" customFormat="false" ht="15.75" hidden="false" customHeight="true" outlineLevel="0" collapsed="false">
      <c r="D26" s="1"/>
      <c r="E26" s="1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customFormat="false" ht="15.75" hidden="false" customHeight="true" outlineLevel="0" collapsed="false">
      <c r="C27" s="100" t="s">
        <v>26</v>
      </c>
      <c r="F27" s="110" t="n">
        <v>20</v>
      </c>
      <c r="G27" s="110" t="n">
        <v>44</v>
      </c>
      <c r="H27" s="110" t="n">
        <v>16</v>
      </c>
      <c r="I27" s="110" t="n">
        <v>8</v>
      </c>
      <c r="J27" s="110" t="n">
        <v>1</v>
      </c>
      <c r="K27" s="110" t="n">
        <v>0</v>
      </c>
      <c r="L27" s="110" t="n">
        <v>38</v>
      </c>
      <c r="M27" s="110" t="n">
        <v>6</v>
      </c>
      <c r="N27" s="110" t="n">
        <v>41</v>
      </c>
      <c r="O27" s="110" t="n">
        <v>2</v>
      </c>
      <c r="P27" s="110" t="n">
        <v>13</v>
      </c>
      <c r="Q27" s="110" t="n">
        <v>44</v>
      </c>
      <c r="R27" s="110" t="n">
        <f aca="false">SUM(F27:Q27)</f>
        <v>233</v>
      </c>
    </row>
    <row r="28" customFormat="false" ht="15.75" hidden="false" customHeight="true" outlineLevel="0" collapsed="false"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customFormat="false" ht="15.75" hidden="false" customHeight="true" outlineLevel="0" collapsed="false">
      <c r="B29" s="107" t="s">
        <v>27</v>
      </c>
      <c r="C29" s="107"/>
      <c r="D29" s="107"/>
      <c r="E29" s="107"/>
      <c r="F29" s="108" t="n">
        <f aca="false">SUM(F31:F37)</f>
        <v>183040</v>
      </c>
      <c r="G29" s="108" t="n">
        <f aca="false">SUM(G31:G37)</f>
        <v>130004</v>
      </c>
      <c r="H29" s="108" t="n">
        <f aca="false">SUM(H31:H37)</f>
        <v>169489</v>
      </c>
      <c r="I29" s="108" t="n">
        <f aca="false">SUM(I31:I37)</f>
        <v>143597</v>
      </c>
      <c r="J29" s="108" t="n">
        <f aca="false">SUM(J31:J37)</f>
        <v>160452</v>
      </c>
      <c r="K29" s="108" t="n">
        <f aca="false">SUM(K31:K37)</f>
        <v>201126</v>
      </c>
      <c r="L29" s="108" t="n">
        <f aca="false">SUM(L31:L37)</f>
        <v>168492</v>
      </c>
      <c r="M29" s="108" t="n">
        <f aca="false">SUM(M31:M37)</f>
        <v>140115</v>
      </c>
      <c r="N29" s="108" t="n">
        <f aca="false">SUM(N31:N37)</f>
        <v>159764</v>
      </c>
      <c r="O29" s="108" t="n">
        <f aca="false">SUM(O31:O37)</f>
        <v>154793</v>
      </c>
      <c r="P29" s="108" t="n">
        <f aca="false">SUM(P31:P37)</f>
        <v>151397</v>
      </c>
      <c r="Q29" s="108" t="n">
        <f aca="false">SUM(Q31:Q37)</f>
        <v>219350</v>
      </c>
      <c r="R29" s="108" t="n">
        <f aca="false">SUM(F29:Q29)</f>
        <v>1981619</v>
      </c>
      <c r="T29" s="110"/>
    </row>
    <row r="30" customFormat="false" ht="15.75" hidden="false" customHeight="true" outlineLevel="0" collapsed="false"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</row>
    <row r="31" customFormat="false" ht="15.75" hidden="false" customHeight="true" outlineLevel="0" collapsed="false">
      <c r="D31" s="100" t="s">
        <v>28</v>
      </c>
      <c r="F31" s="110" t="n">
        <v>28160</v>
      </c>
      <c r="G31" s="110" t="n">
        <v>28617</v>
      </c>
      <c r="H31" s="110" t="n">
        <v>28327</v>
      </c>
      <c r="I31" s="110" t="n">
        <v>28218</v>
      </c>
      <c r="J31" s="110" t="n">
        <v>30496</v>
      </c>
      <c r="K31" s="110" t="n">
        <v>30264</v>
      </c>
      <c r="L31" s="110" t="n">
        <v>29223</v>
      </c>
      <c r="M31" s="110" t="n">
        <v>28216</v>
      </c>
      <c r="N31" s="110" t="n">
        <v>28337</v>
      </c>
      <c r="O31" s="110" t="n">
        <v>27199</v>
      </c>
      <c r="P31" s="110" t="n">
        <v>28538</v>
      </c>
      <c r="Q31" s="110" t="n">
        <v>28640</v>
      </c>
      <c r="R31" s="110" t="n">
        <f aca="false">SUM(F31:Q31)</f>
        <v>344235</v>
      </c>
    </row>
    <row r="32" customFormat="false" ht="15.75" hidden="false" customHeight="true" outlineLevel="0" collapsed="false">
      <c r="D32" s="100" t="s">
        <v>29</v>
      </c>
      <c r="F32" s="110" t="n">
        <v>56465</v>
      </c>
      <c r="G32" s="110" t="n">
        <v>15865</v>
      </c>
      <c r="H32" s="110" t="n">
        <v>30799</v>
      </c>
      <c r="I32" s="110" t="n">
        <v>13398</v>
      </c>
      <c r="J32" s="110" t="n">
        <v>23594</v>
      </c>
      <c r="K32" s="110" t="n">
        <v>19620</v>
      </c>
      <c r="L32" s="110" t="n">
        <v>48224</v>
      </c>
      <c r="M32" s="110" t="n">
        <v>20598</v>
      </c>
      <c r="N32" s="110" t="n">
        <v>28830</v>
      </c>
      <c r="O32" s="110" t="n">
        <v>16767</v>
      </c>
      <c r="P32" s="110" t="n">
        <v>18099</v>
      </c>
      <c r="Q32" s="110" t="n">
        <v>28926</v>
      </c>
      <c r="R32" s="110" t="n">
        <f aca="false">SUM(F32:Q32)</f>
        <v>321185</v>
      </c>
    </row>
    <row r="33" customFormat="false" ht="15.75" hidden="false" customHeight="true" outlineLevel="0" collapsed="false">
      <c r="D33" s="100" t="s">
        <v>30</v>
      </c>
      <c r="F33" s="110" t="n">
        <v>30</v>
      </c>
      <c r="G33" s="110" t="n">
        <v>0</v>
      </c>
      <c r="H33" s="110" t="n">
        <v>30</v>
      </c>
      <c r="I33" s="110" t="n">
        <v>10485</v>
      </c>
      <c r="J33" s="110" t="n">
        <v>2720</v>
      </c>
      <c r="K33" s="110" t="n">
        <v>626</v>
      </c>
      <c r="L33" s="110" t="n">
        <v>263</v>
      </c>
      <c r="M33" s="110" t="n">
        <v>763</v>
      </c>
      <c r="N33" s="110" t="n">
        <v>1014</v>
      </c>
      <c r="O33" s="110" t="n">
        <v>967</v>
      </c>
      <c r="P33" s="110" t="n">
        <v>682</v>
      </c>
      <c r="Q33" s="110" t="n">
        <v>11952</v>
      </c>
      <c r="R33" s="110" t="n">
        <f aca="false">SUM(F33:Q33)</f>
        <v>29532</v>
      </c>
    </row>
    <row r="34" customFormat="false" ht="15.75" hidden="false" customHeight="true" outlineLevel="0" collapsed="false">
      <c r="D34" s="100" t="s">
        <v>77</v>
      </c>
      <c r="F34" s="110" t="n">
        <v>667</v>
      </c>
      <c r="G34" s="110" t="n">
        <v>191</v>
      </c>
      <c r="H34" s="110" t="n">
        <v>369</v>
      </c>
      <c r="I34" s="110" t="n">
        <v>253</v>
      </c>
      <c r="J34" s="110" t="n">
        <v>1737</v>
      </c>
      <c r="K34" s="110" t="n">
        <v>46323</v>
      </c>
      <c r="L34" s="110" t="n">
        <v>6628</v>
      </c>
      <c r="M34" s="110" t="n">
        <v>3075</v>
      </c>
      <c r="N34" s="110" t="n">
        <v>2965</v>
      </c>
      <c r="O34" s="110" t="n">
        <v>1430</v>
      </c>
      <c r="P34" s="110" t="n">
        <v>2685</v>
      </c>
      <c r="Q34" s="110" t="n">
        <v>14117</v>
      </c>
      <c r="R34" s="110" t="n">
        <f aca="false">SUM(F34:Q34)</f>
        <v>80440</v>
      </c>
    </row>
    <row r="35" customFormat="false" ht="15.75" hidden="false" customHeight="true" outlineLevel="0" collapsed="false">
      <c r="D35" s="100" t="s">
        <v>32</v>
      </c>
      <c r="F35" s="110" t="n">
        <v>0</v>
      </c>
      <c r="G35" s="110" t="n">
        <v>110</v>
      </c>
      <c r="H35" s="110" t="n">
        <v>28</v>
      </c>
      <c r="I35" s="110" t="n">
        <v>135</v>
      </c>
      <c r="J35" s="110" t="n">
        <v>101</v>
      </c>
      <c r="K35" s="110" t="n">
        <v>59</v>
      </c>
      <c r="L35" s="110" t="n">
        <v>202</v>
      </c>
      <c r="M35" s="110" t="n">
        <v>32</v>
      </c>
      <c r="N35" s="110" t="n">
        <v>565</v>
      </c>
      <c r="O35" s="110" t="n">
        <v>206</v>
      </c>
      <c r="P35" s="110" t="n">
        <v>52</v>
      </c>
      <c r="Q35" s="110" t="n">
        <v>258</v>
      </c>
      <c r="R35" s="110" t="n">
        <f aca="false">SUM(F35:Q35)</f>
        <v>1748</v>
      </c>
    </row>
    <row r="36" customFormat="false" ht="15.75" hidden="false" customHeight="true" outlineLevel="0" collapsed="false">
      <c r="D36" s="100" t="s">
        <v>78</v>
      </c>
      <c r="F36" s="110" t="n">
        <v>2938</v>
      </c>
      <c r="G36" s="110" t="n">
        <v>-1441</v>
      </c>
      <c r="H36" s="110" t="n">
        <v>3412</v>
      </c>
      <c r="I36" s="110" t="n">
        <v>712</v>
      </c>
      <c r="J36" s="110" t="n">
        <v>344</v>
      </c>
      <c r="K36" s="110" t="n">
        <v>493</v>
      </c>
      <c r="L36" s="110" t="n">
        <v>484</v>
      </c>
      <c r="M36" s="110" t="n">
        <v>310</v>
      </c>
      <c r="N36" s="110" t="n">
        <v>1163</v>
      </c>
      <c r="O36" s="110" t="n">
        <v>1008</v>
      </c>
      <c r="P36" s="110" t="n">
        <v>3771</v>
      </c>
      <c r="Q36" s="110" t="n">
        <v>201</v>
      </c>
      <c r="R36" s="110" t="n">
        <f aca="false">SUM(F36:Q36)</f>
        <v>13395</v>
      </c>
    </row>
    <row r="37" customFormat="false" ht="15.75" hidden="false" customHeight="true" outlineLevel="0" collapsed="false">
      <c r="D37" s="1" t="s">
        <v>79</v>
      </c>
      <c r="F37" s="110" t="n">
        <v>94780</v>
      </c>
      <c r="G37" s="110" t="n">
        <v>86662</v>
      </c>
      <c r="H37" s="110" t="n">
        <v>106524</v>
      </c>
      <c r="I37" s="110" t="n">
        <v>90396</v>
      </c>
      <c r="J37" s="110" t="n">
        <v>101460</v>
      </c>
      <c r="K37" s="110" t="n">
        <v>103741</v>
      </c>
      <c r="L37" s="110" t="n">
        <v>83468</v>
      </c>
      <c r="M37" s="110" t="n">
        <v>87121</v>
      </c>
      <c r="N37" s="110" t="n">
        <v>96890</v>
      </c>
      <c r="O37" s="110" t="n">
        <v>107216</v>
      </c>
      <c r="P37" s="110" t="n">
        <v>97570</v>
      </c>
      <c r="Q37" s="110" t="n">
        <v>135256</v>
      </c>
      <c r="R37" s="110" t="n">
        <f aca="false">SUM(F37:Q37)</f>
        <v>1191084</v>
      </c>
      <c r="T37" s="110"/>
    </row>
    <row r="38" customFormat="false" ht="15.75" hidden="false" customHeight="true" outlineLevel="0" collapsed="false"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T38" s="110"/>
    </row>
    <row r="39" customFormat="false" ht="15.75" hidden="false" customHeight="true" outlineLevel="0" collapsed="false">
      <c r="B39" s="107" t="s">
        <v>35</v>
      </c>
      <c r="C39" s="107"/>
      <c r="D39" s="107"/>
      <c r="E39" s="107"/>
      <c r="F39" s="112" t="n">
        <f aca="false">+F8-F29</f>
        <v>-34218</v>
      </c>
      <c r="G39" s="112" t="n">
        <f aca="false">+G8-G29</f>
        <v>-9718</v>
      </c>
      <c r="H39" s="112" t="n">
        <f aca="false">+H8-H29</f>
        <v>-40186</v>
      </c>
      <c r="I39" s="112" t="n">
        <f aca="false">+I8-I29</f>
        <v>80852</v>
      </c>
      <c r="J39" s="112" t="n">
        <f aca="false">+J8-J29</f>
        <v>11782</v>
      </c>
      <c r="K39" s="112" t="n">
        <f aca="false">+K8-K29</f>
        <v>-62486</v>
      </c>
      <c r="L39" s="112" t="n">
        <f aca="false">+L8-L29</f>
        <v>-1762</v>
      </c>
      <c r="M39" s="112" t="n">
        <f aca="false">+M8-M29</f>
        <v>29865</v>
      </c>
      <c r="N39" s="112" t="n">
        <f aca="false">+N8-N29</f>
        <v>-5198</v>
      </c>
      <c r="O39" s="112" t="n">
        <f aca="false">+O8-O29</f>
        <v>-2530</v>
      </c>
      <c r="P39" s="112" t="n">
        <f aca="false">+P8-P29</f>
        <v>6824</v>
      </c>
      <c r="Q39" s="112" t="n">
        <f aca="false">+Q8-Q29</f>
        <v>-46317</v>
      </c>
      <c r="R39" s="112" t="n">
        <f aca="false">SUM(F39:Q39)</f>
        <v>-73092</v>
      </c>
    </row>
    <row r="40" customFormat="false" ht="15.75" hidden="false" customHeight="true" outlineLevel="0" collapsed="false"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</row>
    <row r="41" customFormat="false" ht="15.75" hidden="false" customHeight="true" outlineLevel="0" collapsed="false">
      <c r="B41" s="107" t="s">
        <v>36</v>
      </c>
      <c r="C41" s="107"/>
      <c r="D41" s="107"/>
      <c r="E41" s="107"/>
      <c r="F41" s="108" t="n">
        <v>-16977</v>
      </c>
      <c r="G41" s="108" t="n">
        <v>20488</v>
      </c>
      <c r="H41" s="108" t="n">
        <v>39335</v>
      </c>
      <c r="I41" s="108" t="n">
        <v>26598</v>
      </c>
      <c r="J41" s="108" t="n">
        <v>15347</v>
      </c>
      <c r="K41" s="108" t="n">
        <v>22357</v>
      </c>
      <c r="L41" s="108" t="n">
        <v>58371</v>
      </c>
      <c r="M41" s="108" t="n">
        <v>18123</v>
      </c>
      <c r="N41" s="108" t="n">
        <v>17441</v>
      </c>
      <c r="O41" s="108" t="n">
        <v>13808</v>
      </c>
      <c r="P41" s="108" t="n">
        <v>28013</v>
      </c>
      <c r="Q41" s="108" t="n">
        <v>32335</v>
      </c>
      <c r="R41" s="108" t="n">
        <v>275239</v>
      </c>
    </row>
    <row r="42" customFormat="false" ht="15.75" hidden="false" customHeight="true" outlineLevel="0" collapsed="false">
      <c r="C42" s="100" t="s">
        <v>37</v>
      </c>
      <c r="F42" s="109" t="n">
        <v>-11338</v>
      </c>
      <c r="G42" s="109" t="n">
        <v>-3748</v>
      </c>
      <c r="H42" s="109" t="n">
        <v>10933</v>
      </c>
      <c r="I42" s="109" t="n">
        <v>2751</v>
      </c>
      <c r="J42" s="109" t="n">
        <v>-4285</v>
      </c>
      <c r="K42" s="109" t="n">
        <v>-3741</v>
      </c>
      <c r="L42" s="109" t="n">
        <v>28018</v>
      </c>
      <c r="M42" s="109" t="n">
        <v>-1730</v>
      </c>
      <c r="N42" s="109" t="n">
        <v>286</v>
      </c>
      <c r="O42" s="109" t="n">
        <v>-1624</v>
      </c>
      <c r="P42" s="109" t="n">
        <v>-5038</v>
      </c>
      <c r="Q42" s="109" t="n">
        <v>2088</v>
      </c>
      <c r="R42" s="109" t="n">
        <v>12572</v>
      </c>
    </row>
    <row r="43" customFormat="false" ht="15.75" hidden="false" customHeight="true" outlineLevel="0" collapsed="false">
      <c r="D43" s="100" t="s">
        <v>38</v>
      </c>
      <c r="F43" s="110" t="n">
        <v>71727</v>
      </c>
      <c r="G43" s="110" t="n">
        <v>819</v>
      </c>
      <c r="H43" s="110" t="n">
        <v>16581</v>
      </c>
      <c r="I43" s="110" t="n">
        <v>5164</v>
      </c>
      <c r="J43" s="110" t="n">
        <v>1284</v>
      </c>
      <c r="K43" s="110" t="n">
        <v>517</v>
      </c>
      <c r="L43" s="110" t="n">
        <v>29624</v>
      </c>
      <c r="M43" s="110" t="n">
        <v>2247</v>
      </c>
      <c r="N43" s="110" t="n">
        <v>5347</v>
      </c>
      <c r="O43" s="110" t="n">
        <v>880</v>
      </c>
      <c r="P43" s="110" t="n">
        <v>419</v>
      </c>
      <c r="Q43" s="110" t="n">
        <v>7340</v>
      </c>
      <c r="R43" s="110" t="n">
        <v>141949</v>
      </c>
    </row>
    <row r="44" customFormat="false" ht="15.75" hidden="false" customHeight="true" outlineLevel="0" collapsed="false">
      <c r="D44" s="100" t="s">
        <v>97</v>
      </c>
      <c r="F44" s="110" t="n">
        <v>83065</v>
      </c>
      <c r="G44" s="110" t="n">
        <v>4567</v>
      </c>
      <c r="H44" s="110" t="n">
        <v>5648</v>
      </c>
      <c r="I44" s="110" t="n">
        <v>2413</v>
      </c>
      <c r="J44" s="110" t="n">
        <v>5569</v>
      </c>
      <c r="K44" s="110" t="n">
        <v>4258</v>
      </c>
      <c r="L44" s="110" t="n">
        <v>1606</v>
      </c>
      <c r="M44" s="110" t="n">
        <v>3977</v>
      </c>
      <c r="N44" s="110" t="n">
        <v>5061</v>
      </c>
      <c r="O44" s="110" t="n">
        <v>2504</v>
      </c>
      <c r="P44" s="110" t="n">
        <v>5457</v>
      </c>
      <c r="Q44" s="110" t="n">
        <v>5252</v>
      </c>
      <c r="R44" s="110" t="n">
        <v>129377</v>
      </c>
    </row>
    <row r="45" customFormat="false" ht="15.75" hidden="false" customHeight="true" outlineLevel="0" collapsed="false"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</row>
    <row r="46" customFormat="false" ht="15.75" hidden="false" customHeight="true" outlineLevel="0" collapsed="false">
      <c r="C46" s="100" t="s">
        <v>40</v>
      </c>
      <c r="F46" s="109" t="n">
        <v>-5639</v>
      </c>
      <c r="G46" s="109" t="n">
        <v>24236</v>
      </c>
      <c r="H46" s="109" t="n">
        <v>28402</v>
      </c>
      <c r="I46" s="109" t="n">
        <v>23847</v>
      </c>
      <c r="J46" s="109" t="n">
        <v>19632</v>
      </c>
      <c r="K46" s="109" t="n">
        <v>26098</v>
      </c>
      <c r="L46" s="109" t="n">
        <v>30353</v>
      </c>
      <c r="M46" s="109" t="n">
        <v>19853</v>
      </c>
      <c r="N46" s="109" t="n">
        <v>17155</v>
      </c>
      <c r="O46" s="109" t="n">
        <v>15432</v>
      </c>
      <c r="P46" s="109" t="n">
        <v>33051</v>
      </c>
      <c r="Q46" s="109" t="n">
        <v>30247</v>
      </c>
      <c r="R46" s="109" t="n">
        <v>262667</v>
      </c>
    </row>
    <row r="47" customFormat="false" ht="15.75" hidden="false" customHeight="true" outlineLevel="0" collapsed="false">
      <c r="D47" s="100" t="s">
        <v>41</v>
      </c>
      <c r="F47" s="110" t="n">
        <v>-5639</v>
      </c>
      <c r="G47" s="110" t="n">
        <v>24236</v>
      </c>
      <c r="H47" s="110" t="n">
        <v>28402</v>
      </c>
      <c r="I47" s="110" t="n">
        <v>24119</v>
      </c>
      <c r="J47" s="110" t="n">
        <v>19905</v>
      </c>
      <c r="K47" s="110" t="n">
        <v>26098</v>
      </c>
      <c r="L47" s="110" t="n">
        <v>30950</v>
      </c>
      <c r="M47" s="110" t="n">
        <v>142287</v>
      </c>
      <c r="N47" s="110" t="n">
        <v>17155</v>
      </c>
      <c r="O47" s="110" t="n">
        <v>16040</v>
      </c>
      <c r="P47" s="110" t="n">
        <v>33285</v>
      </c>
      <c r="Q47" s="110" t="n">
        <v>31000</v>
      </c>
      <c r="R47" s="110" t="n">
        <v>387838</v>
      </c>
    </row>
    <row r="48" customFormat="false" ht="15.75" hidden="false" customHeight="true" outlineLevel="0" collapsed="false">
      <c r="D48" s="100" t="s">
        <v>42</v>
      </c>
      <c r="F48" s="110" t="n">
        <v>0</v>
      </c>
      <c r="G48" s="110" t="n">
        <v>0</v>
      </c>
      <c r="H48" s="110" t="n">
        <v>0</v>
      </c>
      <c r="I48" s="110" t="n">
        <v>272</v>
      </c>
      <c r="J48" s="110" t="n">
        <v>273</v>
      </c>
      <c r="K48" s="110" t="n">
        <v>0</v>
      </c>
      <c r="L48" s="110" t="n">
        <v>597</v>
      </c>
      <c r="M48" s="110" t="n">
        <v>122434</v>
      </c>
      <c r="N48" s="110" t="n">
        <v>0</v>
      </c>
      <c r="O48" s="110" t="n">
        <v>608</v>
      </c>
      <c r="P48" s="110" t="n">
        <v>234</v>
      </c>
      <c r="Q48" s="110" t="n">
        <v>753</v>
      </c>
      <c r="R48" s="110" t="n">
        <v>125171</v>
      </c>
      <c r="U48" s="100" t="s">
        <v>59</v>
      </c>
      <c r="V48" s="100" t="s">
        <v>59</v>
      </c>
    </row>
    <row r="49" customFormat="false" ht="15.75" hidden="false" customHeight="true" outlineLevel="0" collapsed="false">
      <c r="E49" s="1" t="s">
        <v>67</v>
      </c>
      <c r="F49" s="110" t="n">
        <v>107926</v>
      </c>
      <c r="G49" s="110" t="n">
        <v>0</v>
      </c>
      <c r="H49" s="110" t="n">
        <v>10522</v>
      </c>
      <c r="I49" s="110" t="n">
        <v>272</v>
      </c>
      <c r="J49" s="110" t="n">
        <v>273</v>
      </c>
      <c r="K49" s="110" t="n">
        <v>0</v>
      </c>
      <c r="L49" s="110" t="n">
        <v>6133</v>
      </c>
      <c r="M49" s="110" t="n">
        <v>122434</v>
      </c>
      <c r="N49" s="110" t="n">
        <v>36557</v>
      </c>
      <c r="O49" s="110" t="n">
        <v>19881</v>
      </c>
      <c r="P49" s="110" t="n">
        <v>234</v>
      </c>
      <c r="Q49" s="110" t="n">
        <v>753</v>
      </c>
      <c r="R49" s="110" t="n">
        <v>304985</v>
      </c>
    </row>
    <row r="50" customFormat="false" ht="15.75" hidden="false" customHeight="true" outlineLevel="0" collapsed="false">
      <c r="E50" s="16" t="s">
        <v>80</v>
      </c>
      <c r="F50" s="110" t="n">
        <v>107926</v>
      </c>
      <c r="G50" s="110" t="n">
        <v>0</v>
      </c>
      <c r="H50" s="110" t="n">
        <v>10522</v>
      </c>
      <c r="I50" s="110" t="n">
        <v>0</v>
      </c>
      <c r="J50" s="110" t="n">
        <v>0</v>
      </c>
      <c r="K50" s="110" t="n">
        <v>0</v>
      </c>
      <c r="L50" s="110" t="n">
        <v>5536</v>
      </c>
      <c r="M50" s="110" t="n">
        <v>0</v>
      </c>
      <c r="N50" s="110" t="n">
        <v>36557</v>
      </c>
      <c r="O50" s="110" t="n">
        <v>19273</v>
      </c>
      <c r="P50" s="110" t="n">
        <v>0</v>
      </c>
      <c r="Q50" s="110" t="n">
        <v>0</v>
      </c>
      <c r="R50" s="110" t="n">
        <v>179814</v>
      </c>
    </row>
    <row r="51" customFormat="false" ht="15.75" hidden="false" customHeight="true" outlineLevel="0" collapsed="false"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V51" s="100" t="s">
        <v>59</v>
      </c>
    </row>
    <row r="52" customFormat="false" ht="15.75" hidden="false" customHeight="true" outlineLevel="0" collapsed="false">
      <c r="B52" s="107" t="s">
        <v>45</v>
      </c>
      <c r="C52" s="107"/>
      <c r="D52" s="107"/>
      <c r="E52" s="107"/>
      <c r="F52" s="108" t="n">
        <v>-172874</v>
      </c>
      <c r="G52" s="108" t="n">
        <v>12016</v>
      </c>
      <c r="H52" s="108" t="n">
        <v>-9902</v>
      </c>
      <c r="I52" s="108" t="n">
        <v>100864</v>
      </c>
      <c r="J52" s="108" t="n">
        <v>28374</v>
      </c>
      <c r="K52" s="108" t="n">
        <v>-40734</v>
      </c>
      <c r="L52" s="108" t="n">
        <v>53479</v>
      </c>
      <c r="M52" s="108" t="n">
        <v>46290</v>
      </c>
      <c r="N52" s="108" t="n">
        <v>-14312</v>
      </c>
      <c r="O52" s="108" t="n">
        <v>307</v>
      </c>
      <c r="P52" s="108" t="n">
        <v>55789</v>
      </c>
      <c r="Q52" s="108" t="n">
        <v>-21471</v>
      </c>
      <c r="R52" s="108" t="n">
        <v>37826</v>
      </c>
    </row>
    <row r="53" customFormat="false" ht="14.25" hidden="false" customHeight="false" outlineLevel="0" collapsed="false"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</row>
    <row r="54" customFormat="false" ht="15" hidden="false" customHeight="false" outlineLevel="0" collapsed="false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</row>
    <row r="55" s="115" customFormat="true" ht="13.5" hidden="false" customHeight="false" outlineLevel="0" collapsed="false">
      <c r="B55" s="116" t="s">
        <v>46</v>
      </c>
    </row>
    <row r="56" s="115" customFormat="true" ht="14.25" hidden="false" customHeight="true" outlineLevel="0" collapsed="false">
      <c r="B56" s="116"/>
      <c r="C56" s="21" t="s">
        <v>47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="115" customFormat="true" ht="23.25" hidden="false" customHeight="true" outlineLevel="0" collapsed="false">
      <c r="B57" s="116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="115" customFormat="true" ht="12.75" hidden="false" customHeight="false" outlineLevel="0" collapsed="false"/>
    <row r="59" s="115" customFormat="true" ht="12.75" hidden="false" customHeight="false" outlineLevel="0" collapsed="false"/>
    <row r="60" s="115" customFormat="true" ht="12.75" hidden="false" customHeight="false" outlineLevel="0" collapsed="false">
      <c r="B60" s="26" t="s">
        <v>51</v>
      </c>
    </row>
    <row r="61" s="115" customFormat="true" ht="12.75" hidden="false" customHeight="false" outlineLevel="0" collapsed="false">
      <c r="B61" s="26" t="s">
        <v>106</v>
      </c>
    </row>
  </sheetData>
  <mergeCells count="3">
    <mergeCell ref="A4:E4"/>
    <mergeCell ref="A6:E6"/>
    <mergeCell ref="C56:Q57"/>
  </mergeCells>
  <printOptions headings="false" gridLines="false" gridLinesSet="true" horizontalCentered="true" verticalCentered="false"/>
  <pageMargins left="0.236111111111111" right="0.236111111111111" top="1.25972222222222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&amp;"Arial,Regular"Statistical Data Analysis Division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Z24" activeCellId="0" sqref="Z24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27.99"/>
    <col collapsed="false" customWidth="true" hidden="false" outlineLevel="0" max="6" min="6" style="100" width="9.42"/>
    <col collapsed="false" customWidth="true" hidden="false" outlineLevel="0" max="7" min="7" style="100" width="10"/>
    <col collapsed="false" customWidth="true" hidden="false" outlineLevel="0" max="17" min="8" style="100" width="9.42"/>
    <col collapsed="false" customWidth="true" hidden="false" outlineLevel="0" max="18" min="18" style="100" width="10.99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customFormat="false" ht="15" hidden="false" customHeight="false" outlineLevel="0" collapsed="false">
      <c r="A2" s="101" t="s">
        <v>109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</row>
    <row r="4" customFormat="false" ht="14.25" hidden="false" customHeight="false" outlineLevel="0" collapsed="false">
      <c r="A4" s="120" t="s">
        <v>95</v>
      </c>
      <c r="B4" s="120"/>
      <c r="C4" s="120"/>
      <c r="D4" s="120"/>
      <c r="E4" s="120"/>
    </row>
    <row r="5" customFormat="false" ht="6" hidden="false" customHeight="true" outlineLevel="0" collapsed="false"/>
    <row r="6" customFormat="false" ht="21" hidden="false" customHeight="true" outlineLevel="0" collapsed="false">
      <c r="A6" s="121"/>
      <c r="B6" s="105" t="s">
        <v>4</v>
      </c>
      <c r="C6" s="105"/>
      <c r="D6" s="105"/>
      <c r="E6" s="105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22"/>
    </row>
    <row r="7" customFormat="false" ht="15" hidden="false" customHeight="true" outlineLevel="0" collapsed="false">
      <c r="O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138368</v>
      </c>
      <c r="G8" s="108" t="n">
        <f aca="false">G9+G19+G26</f>
        <v>112348</v>
      </c>
      <c r="H8" s="108" t="n">
        <f aca="false">H9+H19+H26</f>
        <v>113609</v>
      </c>
      <c r="I8" s="108" t="n">
        <f aca="false">I9+I19+I26</f>
        <v>190010</v>
      </c>
      <c r="J8" s="108" t="n">
        <f aca="false">J9+J19+J26</f>
        <v>154039</v>
      </c>
      <c r="K8" s="108" t="n">
        <f aca="false">K9+K19+K26</f>
        <v>131089</v>
      </c>
      <c r="L8" s="108" t="n">
        <f aca="false">L9+L19+L26</f>
        <v>144622</v>
      </c>
      <c r="M8" s="108" t="n">
        <f aca="false">M9+M19+M26</f>
        <v>155139</v>
      </c>
      <c r="N8" s="108" t="n">
        <f aca="false">N9+N19+N26</f>
        <v>127336</v>
      </c>
      <c r="O8" s="108" t="n">
        <f aca="false">O9+O19+O26</f>
        <v>134309</v>
      </c>
      <c r="P8" s="108" t="n">
        <f aca="false">P9+P19+P26</f>
        <v>164996</v>
      </c>
      <c r="Q8" s="108" t="n">
        <f aca="false">Q9+Q19+Q26</f>
        <v>150228</v>
      </c>
      <c r="R8" s="108" t="n">
        <f aca="false">R9+R19+R26</f>
        <v>1716093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120439</v>
      </c>
      <c r="G9" s="109" t="n">
        <f aca="false">G10+G14+G17</f>
        <v>98156</v>
      </c>
      <c r="H9" s="109" t="n">
        <f aca="false">H10+H14+H17</f>
        <v>98131</v>
      </c>
      <c r="I9" s="109" t="n">
        <f aca="false">I10+I14+I17</f>
        <v>177290</v>
      </c>
      <c r="J9" s="109" t="n">
        <f aca="false">J10+J14+J17</f>
        <v>138978</v>
      </c>
      <c r="K9" s="109" t="n">
        <f aca="false">K10+K14+K17</f>
        <v>113321</v>
      </c>
      <c r="L9" s="109" t="n">
        <f aca="false">L10+L14+L17</f>
        <v>129161</v>
      </c>
      <c r="M9" s="109" t="n">
        <f aca="false">M10+M14+M17</f>
        <v>145728</v>
      </c>
      <c r="N9" s="109" t="n">
        <f aca="false">N10+N14+N17</f>
        <v>112858</v>
      </c>
      <c r="O9" s="109" t="n">
        <f aca="false">O10+O14+O17</f>
        <v>124688</v>
      </c>
      <c r="P9" s="109" t="n">
        <f aca="false">P10+P14+P17</f>
        <v>155334</v>
      </c>
      <c r="Q9" s="109" t="n">
        <f aca="false">Q10+Q14+Q17</f>
        <v>121614</v>
      </c>
      <c r="R9" s="109" t="n">
        <f aca="false">R10+R14+R17</f>
        <v>1535698</v>
      </c>
    </row>
    <row r="10" customFormat="false" ht="15" hidden="false" customHeight="true" outlineLevel="0" collapsed="false">
      <c r="D10" s="100" t="s">
        <v>14</v>
      </c>
      <c r="F10" s="110" t="n">
        <v>94718</v>
      </c>
      <c r="G10" s="110" t="n">
        <v>74519</v>
      </c>
      <c r="H10" s="110" t="n">
        <v>74825</v>
      </c>
      <c r="I10" s="110" t="n">
        <v>148989</v>
      </c>
      <c r="J10" s="110" t="n">
        <v>111899</v>
      </c>
      <c r="K10" s="110" t="n">
        <v>88761</v>
      </c>
      <c r="L10" s="110" t="n">
        <v>100098</v>
      </c>
      <c r="M10" s="110" t="n">
        <v>118110</v>
      </c>
      <c r="N10" s="110" t="n">
        <v>86034</v>
      </c>
      <c r="O10" s="110" t="n">
        <v>95587</v>
      </c>
      <c r="P10" s="110" t="n">
        <v>126462</v>
      </c>
      <c r="Q10" s="110" t="n">
        <v>96659</v>
      </c>
      <c r="R10" s="110" t="n">
        <v>1216661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153</v>
      </c>
      <c r="G12" s="110" t="n">
        <v>250</v>
      </c>
      <c r="H12" s="110" t="n">
        <v>371</v>
      </c>
      <c r="I12" s="110" t="n">
        <v>363</v>
      </c>
      <c r="J12" s="110" t="n">
        <v>275</v>
      </c>
      <c r="K12" s="110" t="n">
        <v>217</v>
      </c>
      <c r="L12" s="110" t="n">
        <v>320</v>
      </c>
      <c r="M12" s="110" t="n">
        <v>0</v>
      </c>
      <c r="N12" s="110" t="n">
        <v>1089</v>
      </c>
      <c r="O12" s="110" t="n">
        <v>420</v>
      </c>
      <c r="P12" s="110" t="n">
        <v>321</v>
      </c>
      <c r="Q12" s="110" t="n">
        <v>232</v>
      </c>
      <c r="R12" s="110" t="n">
        <v>4011</v>
      </c>
    </row>
    <row r="13" customFormat="false" ht="15" hidden="false" customHeight="true" outlineLevel="0" collapsed="false">
      <c r="E13" s="100" t="s">
        <v>17</v>
      </c>
      <c r="F13" s="110" t="n">
        <v>0</v>
      </c>
      <c r="G13" s="110" t="n">
        <v>545</v>
      </c>
      <c r="H13" s="110" t="n">
        <v>6</v>
      </c>
      <c r="I13" s="110" t="n">
        <v>9963</v>
      </c>
      <c r="J13" s="110" t="n">
        <v>827</v>
      </c>
      <c r="K13" s="110" t="n">
        <v>341</v>
      </c>
      <c r="L13" s="110" t="n">
        <v>624</v>
      </c>
      <c r="M13" s="110" t="n">
        <v>214</v>
      </c>
      <c r="N13" s="110" t="n">
        <v>782</v>
      </c>
      <c r="O13" s="110" t="n">
        <v>344</v>
      </c>
      <c r="P13" s="110" t="n">
        <v>1951</v>
      </c>
      <c r="Q13" s="110" t="n">
        <v>999</v>
      </c>
      <c r="R13" s="110" t="n">
        <v>16596</v>
      </c>
    </row>
    <row r="14" customFormat="false" ht="15" hidden="false" customHeight="true" outlineLevel="0" collapsed="false">
      <c r="D14" s="100" t="s">
        <v>18</v>
      </c>
      <c r="F14" s="110" t="n">
        <v>24540</v>
      </c>
      <c r="G14" s="110" t="n">
        <v>22471</v>
      </c>
      <c r="H14" s="110" t="n">
        <v>21805</v>
      </c>
      <c r="I14" s="110" t="n">
        <v>27137</v>
      </c>
      <c r="J14" s="110" t="n">
        <v>25925</v>
      </c>
      <c r="K14" s="110" t="n">
        <v>23253</v>
      </c>
      <c r="L14" s="110" t="n">
        <v>27674</v>
      </c>
      <c r="M14" s="110" t="n">
        <v>26086</v>
      </c>
      <c r="N14" s="110" t="n">
        <v>25733</v>
      </c>
      <c r="O14" s="110" t="n">
        <v>27863</v>
      </c>
      <c r="P14" s="110" t="n">
        <v>28254</v>
      </c>
      <c r="Q14" s="110" t="n">
        <v>24184</v>
      </c>
      <c r="R14" s="110" t="n">
        <v>304925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32</v>
      </c>
      <c r="I16" s="110" t="n">
        <v>84</v>
      </c>
      <c r="J16" s="110" t="n">
        <v>26</v>
      </c>
      <c r="K16" s="110" t="n">
        <v>2</v>
      </c>
      <c r="L16" s="110" t="n">
        <v>415</v>
      </c>
      <c r="M16" s="110" t="n">
        <v>462</v>
      </c>
      <c r="N16" s="110" t="n">
        <v>80</v>
      </c>
      <c r="O16" s="110" t="n">
        <v>1303</v>
      </c>
      <c r="P16" s="110" t="n">
        <v>0</v>
      </c>
      <c r="Q16" s="110" t="n">
        <v>2</v>
      </c>
      <c r="R16" s="110" t="n">
        <v>2406</v>
      </c>
    </row>
    <row r="17" customFormat="false" ht="15" hidden="false" customHeight="true" outlineLevel="0" collapsed="false">
      <c r="D17" s="100" t="s">
        <v>105</v>
      </c>
      <c r="F17" s="110" t="n">
        <v>1181</v>
      </c>
      <c r="G17" s="110" t="n">
        <v>1166</v>
      </c>
      <c r="H17" s="110" t="n">
        <v>1501</v>
      </c>
      <c r="I17" s="110" t="n">
        <v>1164</v>
      </c>
      <c r="J17" s="110" t="n">
        <v>1154</v>
      </c>
      <c r="K17" s="110" t="n">
        <v>1307</v>
      </c>
      <c r="L17" s="110" t="n">
        <v>1389</v>
      </c>
      <c r="M17" s="110" t="n">
        <v>1532</v>
      </c>
      <c r="N17" s="110" t="n">
        <v>1091</v>
      </c>
      <c r="O17" s="110" t="n">
        <v>1238</v>
      </c>
      <c r="P17" s="110" t="n">
        <v>618</v>
      </c>
      <c r="Q17" s="110" t="n">
        <v>771</v>
      </c>
      <c r="R17" s="110" t="n">
        <v>14112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17929</v>
      </c>
      <c r="G19" s="109" t="n">
        <f aca="false">SUM(G20:G24)</f>
        <v>14165</v>
      </c>
      <c r="H19" s="109" t="n">
        <f aca="false">SUM(H20:H24)</f>
        <v>15478</v>
      </c>
      <c r="I19" s="109" t="n">
        <f aca="false">SUM(I20:I24)</f>
        <v>12666</v>
      </c>
      <c r="J19" s="109" t="n">
        <f aca="false">SUM(J20:J24)</f>
        <v>15061</v>
      </c>
      <c r="K19" s="109" t="n">
        <f aca="false">SUM(K20:K24)</f>
        <v>17763</v>
      </c>
      <c r="L19" s="109" t="n">
        <f aca="false">SUM(L20:L24)</f>
        <v>15461</v>
      </c>
      <c r="M19" s="109" t="n">
        <f aca="false">SUM(M20:M24)</f>
        <v>9411</v>
      </c>
      <c r="N19" s="109" t="n">
        <f aca="false">SUM(N20:N24)</f>
        <v>14436</v>
      </c>
      <c r="O19" s="109" t="n">
        <f aca="false">SUM(O20:O24)</f>
        <v>9611</v>
      </c>
      <c r="P19" s="109" t="n">
        <f aca="false">SUM(P20:P24)</f>
        <v>9662</v>
      </c>
      <c r="Q19" s="109" t="n">
        <f aca="false">SUM(Q20:Q24)</f>
        <v>28431</v>
      </c>
      <c r="R19" s="109" t="n">
        <f aca="false">SUM(R20:R24)</f>
        <v>180074</v>
      </c>
    </row>
    <row r="20" customFormat="false" ht="15" hidden="false" customHeight="true" outlineLevel="0" collapsed="false">
      <c r="D20" s="100" t="s">
        <v>21</v>
      </c>
      <c r="F20" s="110" t="n">
        <v>9350</v>
      </c>
      <c r="G20" s="110" t="n">
        <v>6962</v>
      </c>
      <c r="H20" s="110" t="n">
        <v>8594</v>
      </c>
      <c r="I20" s="110" t="n">
        <v>6275</v>
      </c>
      <c r="J20" s="110" t="n">
        <v>9418</v>
      </c>
      <c r="K20" s="110" t="n">
        <v>8934</v>
      </c>
      <c r="L20" s="110" t="n">
        <v>7945</v>
      </c>
      <c r="M20" s="110" t="n">
        <v>3427</v>
      </c>
      <c r="N20" s="110" t="n">
        <v>7219</v>
      </c>
      <c r="O20" s="110" t="n">
        <v>3592</v>
      </c>
      <c r="P20" s="110" t="n">
        <v>3783</v>
      </c>
      <c r="Q20" s="110" t="n">
        <v>5514</v>
      </c>
      <c r="R20" s="110" t="n">
        <f aca="false">SUM(F20:Q20)</f>
        <v>81013</v>
      </c>
      <c r="S20" s="110"/>
    </row>
    <row r="21" customFormat="false" ht="15" hidden="false" customHeight="true" outlineLevel="0" collapsed="false">
      <c r="D21" s="100" t="s">
        <v>88</v>
      </c>
      <c r="F21" s="110" t="n">
        <v>2871</v>
      </c>
      <c r="G21" s="110" t="n">
        <v>2595</v>
      </c>
      <c r="H21" s="110" t="n">
        <v>2054</v>
      </c>
      <c r="I21" s="110" t="n">
        <v>2607</v>
      </c>
      <c r="J21" s="110" t="n">
        <v>2326</v>
      </c>
      <c r="K21" s="110" t="n">
        <v>1723</v>
      </c>
      <c r="L21" s="110" t="n">
        <v>2841</v>
      </c>
      <c r="M21" s="110" t="n">
        <v>2444</v>
      </c>
      <c r="N21" s="110" t="n">
        <v>2142</v>
      </c>
      <c r="O21" s="110" t="n">
        <v>5047</v>
      </c>
      <c r="P21" s="110" t="n">
        <v>2139</v>
      </c>
      <c r="Q21" s="110" t="n">
        <v>1752</v>
      </c>
      <c r="R21" s="110" t="n">
        <f aca="false">SUM(F21:Q21)</f>
        <v>30541</v>
      </c>
      <c r="S21" s="110"/>
      <c r="T21" s="110"/>
    </row>
    <row r="22" customFormat="false" ht="15" hidden="false" customHeight="true" outlineLevel="0" collapsed="false">
      <c r="D22" s="100" t="s">
        <v>24</v>
      </c>
      <c r="F22" s="110" t="n">
        <v>2006.674</v>
      </c>
      <c r="G22" s="110" t="n">
        <v>2080.355</v>
      </c>
      <c r="H22" s="110" t="n">
        <v>2219.753</v>
      </c>
      <c r="I22" s="110" t="n">
        <v>2439.329</v>
      </c>
      <c r="J22" s="110" t="n">
        <v>2163.612</v>
      </c>
      <c r="K22" s="110" t="n">
        <v>2582.893</v>
      </c>
      <c r="L22" s="110" t="n">
        <v>2080.34</v>
      </c>
      <c r="M22" s="110" t="n">
        <v>248.866</v>
      </c>
      <c r="N22" s="110" t="n">
        <v>2136.752</v>
      </c>
      <c r="O22" s="110" t="n">
        <v>1906.122</v>
      </c>
      <c r="P22" s="110" t="n">
        <v>2062.671</v>
      </c>
      <c r="Q22" s="110" t="n">
        <v>2160.482</v>
      </c>
      <c r="R22" s="110" t="n">
        <f aca="false">SUM(F22:Q22)</f>
        <v>24087.849</v>
      </c>
      <c r="S22" s="110"/>
      <c r="T22" s="110"/>
    </row>
    <row r="23" customFormat="false" ht="15" hidden="false" customHeight="true" outlineLevel="0" collapsed="false">
      <c r="D23" s="100" t="s">
        <v>23</v>
      </c>
      <c r="F23" s="110" t="n">
        <v>0</v>
      </c>
      <c r="G23" s="110" t="n">
        <v>9</v>
      </c>
      <c r="H23" s="110" t="n">
        <v>0</v>
      </c>
      <c r="I23" s="110" t="n">
        <v>48</v>
      </c>
      <c r="J23" s="110" t="n">
        <v>0</v>
      </c>
      <c r="K23" s="110" t="n">
        <v>222</v>
      </c>
      <c r="L23" s="110" t="n">
        <v>72</v>
      </c>
      <c r="M23" s="110" t="n">
        <v>0</v>
      </c>
      <c r="N23" s="110" t="n">
        <v>0</v>
      </c>
      <c r="O23" s="110" t="n">
        <v>0</v>
      </c>
      <c r="P23" s="110" t="n">
        <v>2459</v>
      </c>
      <c r="Q23" s="110" t="n">
        <v>126</v>
      </c>
      <c r="R23" s="110" t="n">
        <f aca="false">SUM(F23:Q23)</f>
        <v>2936</v>
      </c>
      <c r="S23" s="110"/>
    </row>
    <row r="24" customFormat="false" ht="15" hidden="false" customHeight="true" outlineLevel="0" collapsed="false">
      <c r="D24" s="100" t="s">
        <v>105</v>
      </c>
      <c r="F24" s="110" t="n">
        <f aca="false">8579-F21-F22</f>
        <v>3701.326</v>
      </c>
      <c r="G24" s="110" t="n">
        <f aca="false">7194-G21-G22</f>
        <v>2518.645</v>
      </c>
      <c r="H24" s="110" t="n">
        <f aca="false">6884-H21-H22</f>
        <v>2610.247</v>
      </c>
      <c r="I24" s="110" t="n">
        <f aca="false">6343-I21-I22</f>
        <v>1296.671</v>
      </c>
      <c r="J24" s="110" t="n">
        <f aca="false">5643-J21-J22</f>
        <v>1153.388</v>
      </c>
      <c r="K24" s="110" t="n">
        <f aca="false">8607-K21-K22</f>
        <v>4301.107</v>
      </c>
      <c r="L24" s="110" t="n">
        <f aca="false">7444-L21-L22</f>
        <v>2522.66</v>
      </c>
      <c r="M24" s="110" t="n">
        <f aca="false">5984-M21-M22</f>
        <v>3291.134</v>
      </c>
      <c r="N24" s="110" t="n">
        <f aca="false">7217-N21-N22</f>
        <v>2938.248</v>
      </c>
      <c r="O24" s="110" t="n">
        <f aca="false">6019-O21-O22</f>
        <v>-934.122</v>
      </c>
      <c r="P24" s="110" t="n">
        <f aca="false">3420-P21-P22</f>
        <v>-781.671</v>
      </c>
      <c r="Q24" s="110" t="n">
        <f aca="false">22791-Q21-Q22</f>
        <v>18878.518</v>
      </c>
      <c r="R24" s="110" t="n">
        <f aca="false">SUM(F24:Q24)</f>
        <v>41496.151</v>
      </c>
      <c r="S24" s="110"/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0</v>
      </c>
      <c r="G26" s="110" t="n">
        <v>27</v>
      </c>
      <c r="H26" s="110" t="n">
        <v>0</v>
      </c>
      <c r="I26" s="110" t="n">
        <v>54</v>
      </c>
      <c r="J26" s="110" t="n">
        <v>0</v>
      </c>
      <c r="K26" s="110" t="n">
        <v>5</v>
      </c>
      <c r="L26" s="110" t="n">
        <v>0</v>
      </c>
      <c r="M26" s="110" t="n">
        <v>0</v>
      </c>
      <c r="N26" s="110" t="n">
        <v>42</v>
      </c>
      <c r="O26" s="110" t="n">
        <v>10</v>
      </c>
      <c r="P26" s="110" t="n">
        <v>0</v>
      </c>
      <c r="Q26" s="110" t="n">
        <v>183</v>
      </c>
      <c r="R26" s="110" t="n">
        <v>321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157899</v>
      </c>
      <c r="G28" s="108" t="n">
        <f aca="false">SUM(G30:G36)</f>
        <v>124097</v>
      </c>
      <c r="H28" s="108" t="n">
        <f aca="false">SUM(H30:H36)</f>
        <v>148807</v>
      </c>
      <c r="I28" s="108" t="n">
        <f aca="false">SUM(I30:I36)</f>
        <v>153207</v>
      </c>
      <c r="J28" s="108" t="n">
        <f aca="false">SUM(J30:J36)</f>
        <v>167203</v>
      </c>
      <c r="K28" s="108" t="n">
        <f aca="false">SUM(K30:K36)</f>
        <v>139540</v>
      </c>
      <c r="L28" s="108" t="n">
        <f aca="false">SUM(L30:L36)</f>
        <v>197844</v>
      </c>
      <c r="M28" s="108" t="n">
        <f aca="false">SUM(M30:M36)</f>
        <v>133238</v>
      </c>
      <c r="N28" s="108" t="n">
        <f aca="false">SUM(N30:N36)</f>
        <v>145952</v>
      </c>
      <c r="O28" s="108" t="n">
        <f aca="false">SUM(O30:O36)</f>
        <v>145546</v>
      </c>
      <c r="P28" s="108" t="n">
        <f aca="false">SUM(P30:P36)</f>
        <v>163996</v>
      </c>
      <c r="Q28" s="108" t="n">
        <f aca="false">SUM(Q30:Q36)</f>
        <v>202826</v>
      </c>
      <c r="R28" s="108" t="n">
        <f aca="false">SUM(F28:Q28)</f>
        <v>1880155</v>
      </c>
      <c r="T28" s="110"/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26006</v>
      </c>
      <c r="G30" s="110" t="n">
        <v>25954</v>
      </c>
      <c r="H30" s="110" t="n">
        <v>28328</v>
      </c>
      <c r="I30" s="110" t="n">
        <v>25529</v>
      </c>
      <c r="J30" s="110" t="n">
        <v>29623</v>
      </c>
      <c r="K30" s="110" t="n">
        <v>28463</v>
      </c>
      <c r="L30" s="110" t="n">
        <v>25842</v>
      </c>
      <c r="M30" s="110" t="n">
        <v>25223</v>
      </c>
      <c r="N30" s="110" t="n">
        <v>25812</v>
      </c>
      <c r="O30" s="110" t="n">
        <v>25831</v>
      </c>
      <c r="P30" s="110" t="n">
        <v>26680</v>
      </c>
      <c r="Q30" s="110" t="n">
        <v>23964</v>
      </c>
      <c r="R30" s="110" t="n">
        <f aca="false">SUM(F30:Q30)</f>
        <v>317255</v>
      </c>
    </row>
    <row r="31" customFormat="false" ht="15" hidden="false" customHeight="true" outlineLevel="0" collapsed="false">
      <c r="D31" s="100" t="s">
        <v>29</v>
      </c>
      <c r="F31" s="110" t="n">
        <v>54841</v>
      </c>
      <c r="G31" s="110" t="n">
        <v>17920</v>
      </c>
      <c r="H31" s="110" t="n">
        <v>25575</v>
      </c>
      <c r="I31" s="110" t="n">
        <v>23681</v>
      </c>
      <c r="J31" s="110" t="n">
        <v>16700</v>
      </c>
      <c r="K31" s="110" t="n">
        <v>18418</v>
      </c>
      <c r="L31" s="110" t="n">
        <v>53510</v>
      </c>
      <c r="M31" s="110" t="n">
        <v>18230</v>
      </c>
      <c r="N31" s="110" t="n">
        <v>29214</v>
      </c>
      <c r="O31" s="110" t="n">
        <v>20484</v>
      </c>
      <c r="P31" s="110" t="n">
        <v>18116</v>
      </c>
      <c r="Q31" s="110" t="n">
        <v>26745</v>
      </c>
      <c r="R31" s="110" t="n">
        <f aca="false">SUM(F31:Q31)</f>
        <v>323434</v>
      </c>
    </row>
    <row r="32" customFormat="false" ht="15" hidden="false" customHeight="true" outlineLevel="0" collapsed="false">
      <c r="D32" s="100" t="s">
        <v>30</v>
      </c>
      <c r="F32" s="110" t="n">
        <v>153</v>
      </c>
      <c r="G32" s="110" t="n">
        <v>795</v>
      </c>
      <c r="H32" s="110" t="n">
        <v>409.447</v>
      </c>
      <c r="I32" s="110" t="n">
        <v>10409.85</v>
      </c>
      <c r="J32" s="110" t="n">
        <v>1127.42</v>
      </c>
      <c r="K32" s="110" t="n">
        <v>560.14</v>
      </c>
      <c r="L32" s="110" t="n">
        <v>1358.3</v>
      </c>
      <c r="M32" s="110" t="n">
        <v>676</v>
      </c>
      <c r="N32" s="110" t="n">
        <v>1951</v>
      </c>
      <c r="O32" s="110" t="n">
        <v>2067</v>
      </c>
      <c r="P32" s="110" t="n">
        <v>2272</v>
      </c>
      <c r="Q32" s="110" t="n">
        <v>1233</v>
      </c>
      <c r="R32" s="110" t="n">
        <f aca="false">SUM(F32:Q32)</f>
        <v>23012.157</v>
      </c>
    </row>
    <row r="33" customFormat="false" ht="15" hidden="false" customHeight="true" outlineLevel="0" collapsed="false">
      <c r="D33" s="100" t="s">
        <v>77</v>
      </c>
      <c r="F33" s="110" t="n">
        <v>287</v>
      </c>
      <c r="G33" s="110" t="n">
        <v>1822</v>
      </c>
      <c r="H33" s="110" t="n">
        <v>2059</v>
      </c>
      <c r="I33" s="110" t="n">
        <v>1064</v>
      </c>
      <c r="J33" s="110" t="n">
        <v>1006</v>
      </c>
      <c r="K33" s="110" t="n">
        <v>6978</v>
      </c>
      <c r="L33" s="110" t="n">
        <v>18750</v>
      </c>
      <c r="M33" s="110" t="n">
        <v>1791</v>
      </c>
      <c r="N33" s="110" t="n">
        <v>1643</v>
      </c>
      <c r="O33" s="110" t="n">
        <v>507</v>
      </c>
      <c r="P33" s="110" t="n">
        <v>3167</v>
      </c>
      <c r="Q33" s="110" t="n">
        <v>27255</v>
      </c>
      <c r="R33" s="110" t="n">
        <f aca="false">SUM(F33:Q33)</f>
        <v>66329</v>
      </c>
    </row>
    <row r="34" customFormat="false" ht="15" hidden="false" customHeight="true" outlineLevel="0" collapsed="false">
      <c r="D34" s="100" t="s">
        <v>32</v>
      </c>
      <c r="F34" s="110" t="n">
        <v>93</v>
      </c>
      <c r="G34" s="110" t="n">
        <v>36</v>
      </c>
      <c r="H34" s="110" t="n">
        <v>97</v>
      </c>
      <c r="I34" s="110" t="n">
        <v>9</v>
      </c>
      <c r="J34" s="110" t="n">
        <v>98</v>
      </c>
      <c r="K34" s="110" t="n">
        <v>0</v>
      </c>
      <c r="L34" s="110" t="n">
        <v>156</v>
      </c>
      <c r="M34" s="110" t="n">
        <v>0</v>
      </c>
      <c r="N34" s="110" t="n">
        <v>92</v>
      </c>
      <c r="O34" s="110" t="n">
        <v>76</v>
      </c>
      <c r="P34" s="110" t="n">
        <v>7</v>
      </c>
      <c r="Q34" s="110" t="n">
        <v>10815</v>
      </c>
      <c r="R34" s="110" t="n">
        <f aca="false">SUM(F34:Q34)</f>
        <v>11479</v>
      </c>
    </row>
    <row r="35" customFormat="false" ht="15" hidden="false" customHeight="true" outlineLevel="0" collapsed="false">
      <c r="D35" s="100" t="s">
        <v>78</v>
      </c>
      <c r="F35" s="110" t="n">
        <v>-9918</v>
      </c>
      <c r="G35" s="110" t="n">
        <v>287</v>
      </c>
      <c r="H35" s="110" t="n">
        <v>1515</v>
      </c>
      <c r="I35" s="110" t="n">
        <v>610</v>
      </c>
      <c r="J35" s="110" t="n">
        <v>3331</v>
      </c>
      <c r="K35" s="110" t="n">
        <v>734</v>
      </c>
      <c r="L35" s="110" t="n">
        <v>2536</v>
      </c>
      <c r="M35" s="110" t="n">
        <v>835</v>
      </c>
      <c r="N35" s="110" t="n">
        <v>2268</v>
      </c>
      <c r="O35" s="110" t="n">
        <v>1012</v>
      </c>
      <c r="P35" s="110" t="n">
        <v>12802</v>
      </c>
      <c r="Q35" s="110" t="n">
        <v>614</v>
      </c>
      <c r="R35" s="110" t="n">
        <f aca="false">SUM(F35:Q35)</f>
        <v>16626</v>
      </c>
    </row>
    <row r="36" customFormat="false" ht="15" hidden="false" customHeight="true" outlineLevel="0" collapsed="false">
      <c r="D36" s="1" t="s">
        <v>79</v>
      </c>
      <c r="F36" s="110" t="n">
        <v>86437</v>
      </c>
      <c r="G36" s="110" t="n">
        <v>77283</v>
      </c>
      <c r="H36" s="110" t="n">
        <v>90823.553</v>
      </c>
      <c r="I36" s="110" t="n">
        <v>91904.15</v>
      </c>
      <c r="J36" s="110" t="n">
        <v>115317.58</v>
      </c>
      <c r="K36" s="110" t="n">
        <v>84386.86</v>
      </c>
      <c r="L36" s="110" t="n">
        <v>95691.7</v>
      </c>
      <c r="M36" s="110" t="n">
        <v>86483</v>
      </c>
      <c r="N36" s="110" t="n">
        <v>84972</v>
      </c>
      <c r="O36" s="110" t="n">
        <v>95569</v>
      </c>
      <c r="P36" s="110" t="n">
        <v>100952</v>
      </c>
      <c r="Q36" s="110" t="n">
        <v>112200</v>
      </c>
      <c r="R36" s="110" t="n">
        <f aca="false">SUM(F36:Q36)</f>
        <v>1122019.843</v>
      </c>
      <c r="T36" s="110"/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T37" s="110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-19531</v>
      </c>
      <c r="G38" s="112" t="n">
        <f aca="false">+G8-G28</f>
        <v>-11749</v>
      </c>
      <c r="H38" s="112" t="n">
        <f aca="false">+H8-H28</f>
        <v>-35198</v>
      </c>
      <c r="I38" s="112" t="n">
        <f aca="false">+I8-I28</f>
        <v>36803</v>
      </c>
      <c r="J38" s="112" t="n">
        <f aca="false">+J8-J28</f>
        <v>-13164</v>
      </c>
      <c r="K38" s="112" t="n">
        <f aca="false">+K8-K28</f>
        <v>-8451</v>
      </c>
      <c r="L38" s="112" t="n">
        <f aca="false">+L8-L28</f>
        <v>-53222</v>
      </c>
      <c r="M38" s="112" t="n">
        <f aca="false">+M8-M28</f>
        <v>21901</v>
      </c>
      <c r="N38" s="112" t="n">
        <f aca="false">+N8-N28</f>
        <v>-18616</v>
      </c>
      <c r="O38" s="112" t="n">
        <f aca="false">+O8-O28</f>
        <v>-11237</v>
      </c>
      <c r="P38" s="112" t="n">
        <f aca="false">+P8-P28</f>
        <v>1000</v>
      </c>
      <c r="Q38" s="112" t="n">
        <f aca="false">+Q8-Q28</f>
        <v>-52598</v>
      </c>
      <c r="R38" s="112" t="n">
        <f aca="false">SUM(F38:Q38)</f>
        <v>-164062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-15552</v>
      </c>
      <c r="G40" s="108" t="n">
        <v>-6189</v>
      </c>
      <c r="H40" s="108" t="n">
        <v>20944</v>
      </c>
      <c r="I40" s="108" t="n">
        <v>43558</v>
      </c>
      <c r="J40" s="108" t="n">
        <v>13939</v>
      </c>
      <c r="K40" s="108" t="n">
        <v>31126</v>
      </c>
      <c r="L40" s="108" t="n">
        <v>36000</v>
      </c>
      <c r="M40" s="108" t="n">
        <v>126245</v>
      </c>
      <c r="N40" s="108" t="n">
        <v>15812</v>
      </c>
      <c r="O40" s="108" t="n">
        <v>46671</v>
      </c>
      <c r="P40" s="108" t="n">
        <v>20701</v>
      </c>
      <c r="Q40" s="108" t="n">
        <v>-14137</v>
      </c>
      <c r="R40" s="108" t="n">
        <v>319118</v>
      </c>
    </row>
    <row r="41" customFormat="false" ht="15" hidden="false" customHeight="true" outlineLevel="0" collapsed="false">
      <c r="C41" s="100" t="s">
        <v>37</v>
      </c>
      <c r="F41" s="109" t="n">
        <v>-643</v>
      </c>
      <c r="G41" s="109" t="n">
        <v>-43515</v>
      </c>
      <c r="H41" s="109" t="n">
        <v>-5141</v>
      </c>
      <c r="I41" s="109" t="n">
        <v>11</v>
      </c>
      <c r="J41" s="109" t="n">
        <v>-3377</v>
      </c>
      <c r="K41" s="109" t="n">
        <v>-11811</v>
      </c>
      <c r="L41" s="109" t="n">
        <v>14804</v>
      </c>
      <c r="M41" s="109" t="n">
        <v>-20911</v>
      </c>
      <c r="N41" s="109" t="n">
        <v>-5443</v>
      </c>
      <c r="O41" s="109" t="n">
        <v>-759</v>
      </c>
      <c r="P41" s="109" t="n">
        <v>-4974</v>
      </c>
      <c r="Q41" s="109" t="n">
        <v>-2062</v>
      </c>
      <c r="R41" s="109" t="n">
        <v>-83821</v>
      </c>
    </row>
    <row r="42" customFormat="false" ht="15" hidden="false" customHeight="true" outlineLevel="0" collapsed="false">
      <c r="D42" s="100" t="s">
        <v>38</v>
      </c>
      <c r="F42" s="110" t="n">
        <v>1023</v>
      </c>
      <c r="G42" s="110" t="n">
        <v>1181</v>
      </c>
      <c r="H42" s="110" t="n">
        <v>1026</v>
      </c>
      <c r="I42" s="110" t="n">
        <v>2886</v>
      </c>
      <c r="J42" s="110" t="n">
        <v>1850</v>
      </c>
      <c r="K42" s="110" t="n">
        <v>876</v>
      </c>
      <c r="L42" s="110" t="n">
        <v>16505</v>
      </c>
      <c r="M42" s="110" t="n">
        <v>1653</v>
      </c>
      <c r="N42" s="110" t="n">
        <v>1003</v>
      </c>
      <c r="O42" s="110" t="n">
        <v>2092</v>
      </c>
      <c r="P42" s="110" t="n">
        <v>868</v>
      </c>
      <c r="Q42" s="110" t="n">
        <v>2804</v>
      </c>
      <c r="R42" s="110" t="n">
        <v>33767</v>
      </c>
    </row>
    <row r="43" customFormat="false" ht="15" hidden="false" customHeight="true" outlineLevel="0" collapsed="false">
      <c r="D43" s="100" t="s">
        <v>96</v>
      </c>
      <c r="F43" s="110" t="n">
        <v>1666</v>
      </c>
      <c r="G43" s="110" t="n">
        <v>44696</v>
      </c>
      <c r="H43" s="110" t="n">
        <v>6167</v>
      </c>
      <c r="I43" s="110" t="n">
        <v>2875</v>
      </c>
      <c r="J43" s="110" t="n">
        <v>5227</v>
      </c>
      <c r="K43" s="110" t="n">
        <v>12687</v>
      </c>
      <c r="L43" s="110" t="n">
        <v>1701</v>
      </c>
      <c r="M43" s="110" t="n">
        <v>22564</v>
      </c>
      <c r="N43" s="110" t="n">
        <v>6446</v>
      </c>
      <c r="O43" s="110" t="n">
        <v>2851</v>
      </c>
      <c r="P43" s="110" t="n">
        <v>5842</v>
      </c>
      <c r="Q43" s="110" t="n">
        <v>4866</v>
      </c>
      <c r="R43" s="110" t="n">
        <v>117588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-14909</v>
      </c>
      <c r="G45" s="109" t="n">
        <v>37326</v>
      </c>
      <c r="H45" s="109" t="n">
        <v>26085</v>
      </c>
      <c r="I45" s="109" t="n">
        <v>43547</v>
      </c>
      <c r="J45" s="109" t="n">
        <v>17316</v>
      </c>
      <c r="K45" s="109" t="n">
        <v>42937</v>
      </c>
      <c r="L45" s="109" t="n">
        <v>21196</v>
      </c>
      <c r="M45" s="109" t="n">
        <v>147156</v>
      </c>
      <c r="N45" s="109" t="n">
        <v>21255</v>
      </c>
      <c r="O45" s="109" t="n">
        <v>47430</v>
      </c>
      <c r="P45" s="109" t="n">
        <v>25675</v>
      </c>
      <c r="Q45" s="109" t="n">
        <v>-12075</v>
      </c>
      <c r="R45" s="109" t="n">
        <v>402939</v>
      </c>
    </row>
    <row r="46" customFormat="false" ht="15" hidden="false" customHeight="true" outlineLevel="0" collapsed="false">
      <c r="D46" s="100" t="s">
        <v>41</v>
      </c>
      <c r="F46" s="110" t="n">
        <v>40314</v>
      </c>
      <c r="G46" s="110" t="n">
        <v>37326</v>
      </c>
      <c r="H46" s="110" t="n">
        <v>45319</v>
      </c>
      <c r="I46" s="110" t="n">
        <v>47229</v>
      </c>
      <c r="J46" s="110" t="n">
        <v>24921</v>
      </c>
      <c r="K46" s="110" t="n">
        <v>43122</v>
      </c>
      <c r="L46" s="110" t="n">
        <v>33800</v>
      </c>
      <c r="M46" s="110" t="n">
        <v>147250</v>
      </c>
      <c r="N46" s="110" t="n">
        <v>30650</v>
      </c>
      <c r="O46" s="110" t="n">
        <v>52000</v>
      </c>
      <c r="P46" s="110" t="n">
        <v>30653</v>
      </c>
      <c r="Q46" s="110" t="n">
        <v>-11650</v>
      </c>
      <c r="R46" s="110" t="n">
        <v>520934</v>
      </c>
    </row>
    <row r="47" customFormat="false" ht="15" hidden="false" customHeight="true" outlineLevel="0" collapsed="false">
      <c r="D47" s="100" t="s">
        <v>96</v>
      </c>
      <c r="F47" s="110" t="n">
        <v>55223</v>
      </c>
      <c r="G47" s="110" t="n">
        <v>0</v>
      </c>
      <c r="H47" s="110" t="n">
        <v>19234</v>
      </c>
      <c r="I47" s="110" t="n">
        <v>3682</v>
      </c>
      <c r="J47" s="110" t="n">
        <v>7605</v>
      </c>
      <c r="K47" s="110" t="n">
        <v>185</v>
      </c>
      <c r="L47" s="110" t="n">
        <v>12604</v>
      </c>
      <c r="M47" s="110" t="n">
        <v>94</v>
      </c>
      <c r="N47" s="110" t="n">
        <v>9395</v>
      </c>
      <c r="O47" s="110" t="n">
        <v>4570</v>
      </c>
      <c r="P47" s="110" t="n">
        <v>4978</v>
      </c>
      <c r="Q47" s="110" t="n">
        <v>425</v>
      </c>
      <c r="R47" s="110" t="n">
        <v>117995</v>
      </c>
    </row>
    <row r="48" customFormat="false" ht="1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customFormat="false" ht="15" hidden="false" customHeight="true" outlineLevel="0" collapsed="false">
      <c r="B49" s="107" t="s">
        <v>45</v>
      </c>
      <c r="C49" s="107"/>
      <c r="D49" s="107"/>
      <c r="E49" s="107"/>
      <c r="F49" s="108" t="n">
        <v>250237</v>
      </c>
      <c r="G49" s="108" t="n">
        <v>-353859</v>
      </c>
      <c r="H49" s="108" t="n">
        <v>-78597</v>
      </c>
      <c r="I49" s="108" t="n">
        <v>47040</v>
      </c>
      <c r="J49" s="108" t="n">
        <v>-6918</v>
      </c>
      <c r="K49" s="108" t="n">
        <v>45781</v>
      </c>
      <c r="L49" s="108" t="n">
        <v>-25310</v>
      </c>
      <c r="M49" s="108" t="n">
        <v>111366</v>
      </c>
      <c r="N49" s="108" t="n">
        <v>56052</v>
      </c>
      <c r="O49" s="108" t="n">
        <v>34337</v>
      </c>
      <c r="P49" s="108" t="n">
        <v>-8494</v>
      </c>
      <c r="Q49" s="108" t="n">
        <v>-5702</v>
      </c>
      <c r="R49" s="108" t="n">
        <v>65933</v>
      </c>
    </row>
    <row r="50" customFormat="false" ht="14.25" hidden="false" customHeight="false" outlineLevel="0" collapsed="false">
      <c r="F50" s="110"/>
      <c r="G50" s="110"/>
      <c r="H50" s="110"/>
      <c r="I50" s="110"/>
    </row>
    <row r="51" customFormat="false" ht="15" hidden="false" customHeight="false" outlineLevel="0" collapsed="false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</row>
    <row r="52" s="26" customFormat="true" ht="13.5" hidden="false" customHeight="false" outlineLevel="0" collapsed="false">
      <c r="B52" s="114" t="s">
        <v>46</v>
      </c>
    </row>
    <row r="53" s="26" customFormat="true" ht="12.75" hidden="false" customHeight="false" outlineLevel="0" collapsed="false">
      <c r="B53" s="114"/>
      <c r="C53" s="26" t="s">
        <v>98</v>
      </c>
    </row>
    <row r="54" s="26" customFormat="true" ht="12.75" hidden="false" customHeight="false" outlineLevel="0" collapsed="false">
      <c r="C54" s="26" t="s">
        <v>99</v>
      </c>
    </row>
    <row r="55" s="26" customFormat="true" ht="12.75" hidden="false" customHeight="false" outlineLevel="0" collapsed="false"/>
    <row r="56" s="26" customFormat="true" ht="12.75" hidden="false" customHeight="false" outlineLevel="0" collapsed="false"/>
    <row r="57" s="26" customFormat="true" ht="12.75" hidden="false" customHeight="false" outlineLevel="0" collapsed="false">
      <c r="B57" s="26" t="s">
        <v>51</v>
      </c>
    </row>
    <row r="58" s="26" customFormat="true" ht="12.75" hidden="false" customHeight="false" outlineLevel="0" collapsed="false">
      <c r="B58" s="26" t="s">
        <v>106</v>
      </c>
    </row>
  </sheetData>
  <mergeCells count="2">
    <mergeCell ref="A4:E4"/>
    <mergeCell ref="B6:E6"/>
  </mergeCells>
  <printOptions headings="false" gridLines="false" gridLinesSet="true" horizontalCentered="true" verticalCentered="false"/>
  <pageMargins left="0" right="0" top="1.06319444444444" bottom="0.236111111111111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U39" activeCellId="0" sqref="U39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33.42"/>
    <col collapsed="false" customWidth="false" hidden="false" outlineLevel="0" max="6" min="6" style="100" width="9.14"/>
    <col collapsed="false" customWidth="true" hidden="false" outlineLevel="0" max="7" min="7" style="100" width="9.85"/>
    <col collapsed="false" customWidth="false" hidden="false" outlineLevel="0" max="17" min="8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customFormat="false" ht="15" hidden="false" customHeight="false" outlineLevel="0" collapsed="false">
      <c r="A2" s="101" t="s">
        <v>109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</row>
    <row r="4" customFormat="false" ht="14.25" hidden="false" customHeight="false" outlineLevel="0" collapsed="false">
      <c r="A4" s="125" t="s">
        <v>3</v>
      </c>
      <c r="B4" s="125"/>
      <c r="C4" s="125"/>
      <c r="D4" s="125"/>
      <c r="E4" s="125"/>
    </row>
    <row r="5" customFormat="false" ht="6" hidden="false" customHeight="true" outlineLevel="0" collapsed="false"/>
    <row r="6" customFormat="false" ht="19.5" hidden="false" customHeight="true" outlineLevel="0" collapsed="false">
      <c r="A6" s="126" t="s">
        <v>4</v>
      </c>
      <c r="B6" s="126"/>
      <c r="C6" s="126"/>
      <c r="D6" s="126"/>
      <c r="E6" s="126"/>
      <c r="F6" s="105" t="s">
        <v>107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29"/>
    </row>
    <row r="7" customFormat="false" ht="14.25" hidden="false" customHeight="true" outlineLevel="0" collapsed="false">
      <c r="O7" s="110"/>
    </row>
    <row r="8" customFormat="false" ht="14.2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138368</v>
      </c>
      <c r="G8" s="108" t="n">
        <f aca="false">G9+G19+G26</f>
        <v>112348</v>
      </c>
      <c r="H8" s="108" t="n">
        <f aca="false">H9+H19+H26</f>
        <v>113609</v>
      </c>
      <c r="I8" s="108" t="n">
        <f aca="false">I9+I19+I26</f>
        <v>190010</v>
      </c>
      <c r="J8" s="108" t="n">
        <f aca="false">J9+J19+J26</f>
        <v>154039</v>
      </c>
      <c r="K8" s="108" t="n">
        <f aca="false">K9+K19+K26</f>
        <v>131089</v>
      </c>
      <c r="L8" s="108" t="n">
        <f aca="false">L9+L19+L26</f>
        <v>144622</v>
      </c>
      <c r="M8" s="108" t="n">
        <f aca="false">M9+M19+M26</f>
        <v>155139</v>
      </c>
      <c r="N8" s="108" t="n">
        <f aca="false">N9+N19+N26</f>
        <v>127336</v>
      </c>
      <c r="O8" s="108" t="n">
        <f aca="false">O9+O19+O26</f>
        <v>134309</v>
      </c>
      <c r="P8" s="108" t="n">
        <f aca="false">P9+P19+P26</f>
        <v>164996</v>
      </c>
      <c r="Q8" s="108" t="n">
        <f aca="false">Q9+Q19+Q26</f>
        <v>150228</v>
      </c>
      <c r="R8" s="108" t="n">
        <f aca="false">R9+R19+R26</f>
        <v>1716093</v>
      </c>
    </row>
    <row r="9" customFormat="false" ht="14.25" hidden="false" customHeight="true" outlineLevel="0" collapsed="false">
      <c r="C9" s="100" t="s">
        <v>13</v>
      </c>
      <c r="F9" s="109" t="n">
        <f aca="false">F10+F14+F17</f>
        <v>120439</v>
      </c>
      <c r="G9" s="109" t="n">
        <f aca="false">G10+G14+G17</f>
        <v>98156</v>
      </c>
      <c r="H9" s="109" t="n">
        <f aca="false">H10+H14+H17</f>
        <v>98131</v>
      </c>
      <c r="I9" s="109" t="n">
        <f aca="false">I10+I14+I17</f>
        <v>177290</v>
      </c>
      <c r="J9" s="109" t="n">
        <f aca="false">J10+J14+J17</f>
        <v>138978</v>
      </c>
      <c r="K9" s="109" t="n">
        <f aca="false">K10+K14+K17</f>
        <v>113321</v>
      </c>
      <c r="L9" s="109" t="n">
        <f aca="false">L10+L14+L17</f>
        <v>129161</v>
      </c>
      <c r="M9" s="109" t="n">
        <f aca="false">M10+M14+M17</f>
        <v>145728</v>
      </c>
      <c r="N9" s="109" t="n">
        <f aca="false">N10+N14+N17</f>
        <v>112858</v>
      </c>
      <c r="O9" s="109" t="n">
        <f aca="false">O10+O14+O17</f>
        <v>124688</v>
      </c>
      <c r="P9" s="109" t="n">
        <f aca="false">P10+P14+P17</f>
        <v>155334</v>
      </c>
      <c r="Q9" s="109" t="n">
        <f aca="false">Q10+Q14+Q17</f>
        <v>121614</v>
      </c>
      <c r="R9" s="109" t="n">
        <f aca="false">R10+R14+R17</f>
        <v>1535698</v>
      </c>
    </row>
    <row r="10" customFormat="false" ht="14.25" hidden="false" customHeight="true" outlineLevel="0" collapsed="false">
      <c r="D10" s="100" t="s">
        <v>14</v>
      </c>
      <c r="F10" s="110" t="n">
        <v>94718</v>
      </c>
      <c r="G10" s="110" t="n">
        <v>74519</v>
      </c>
      <c r="H10" s="110" t="n">
        <v>74825</v>
      </c>
      <c r="I10" s="110" t="n">
        <v>148989</v>
      </c>
      <c r="J10" s="110" t="n">
        <v>111899</v>
      </c>
      <c r="K10" s="110" t="n">
        <v>88761</v>
      </c>
      <c r="L10" s="110" t="n">
        <v>100098</v>
      </c>
      <c r="M10" s="110" t="n">
        <v>118110</v>
      </c>
      <c r="N10" s="110" t="n">
        <v>86034</v>
      </c>
      <c r="O10" s="110" t="n">
        <v>95587</v>
      </c>
      <c r="P10" s="110" t="n">
        <v>126462</v>
      </c>
      <c r="Q10" s="110" t="n">
        <v>96659</v>
      </c>
      <c r="R10" s="110" t="n">
        <f aca="false">SUM(F10:Q10)</f>
        <v>1216661</v>
      </c>
    </row>
    <row r="11" customFormat="false" ht="14.2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4.25" hidden="false" customHeight="true" outlineLevel="0" collapsed="false">
      <c r="E12" s="100" t="s">
        <v>16</v>
      </c>
      <c r="F12" s="110" t="n">
        <v>153</v>
      </c>
      <c r="G12" s="110" t="n">
        <v>250</v>
      </c>
      <c r="H12" s="110" t="n">
        <v>371</v>
      </c>
      <c r="I12" s="110" t="n">
        <v>363</v>
      </c>
      <c r="J12" s="110" t="n">
        <v>275</v>
      </c>
      <c r="K12" s="110" t="n">
        <v>217</v>
      </c>
      <c r="L12" s="110" t="n">
        <v>320</v>
      </c>
      <c r="M12" s="110" t="n">
        <v>0</v>
      </c>
      <c r="N12" s="110" t="n">
        <v>1089</v>
      </c>
      <c r="O12" s="110" t="n">
        <v>420</v>
      </c>
      <c r="P12" s="110" t="n">
        <v>321</v>
      </c>
      <c r="Q12" s="110" t="n">
        <v>232</v>
      </c>
      <c r="R12" s="110" t="n">
        <f aca="false">SUM(F12:Q12)</f>
        <v>4011</v>
      </c>
    </row>
    <row r="13" customFormat="false" ht="14.25" hidden="false" customHeight="true" outlineLevel="0" collapsed="false">
      <c r="E13" s="100" t="s">
        <v>17</v>
      </c>
      <c r="F13" s="110" t="n">
        <v>0</v>
      </c>
      <c r="G13" s="110" t="n">
        <v>545</v>
      </c>
      <c r="H13" s="110" t="n">
        <v>6</v>
      </c>
      <c r="I13" s="110" t="n">
        <v>9963</v>
      </c>
      <c r="J13" s="110" t="n">
        <v>827</v>
      </c>
      <c r="K13" s="110" t="n">
        <v>341</v>
      </c>
      <c r="L13" s="110" t="n">
        <v>624</v>
      </c>
      <c r="M13" s="110" t="n">
        <v>214</v>
      </c>
      <c r="N13" s="110" t="n">
        <v>782</v>
      </c>
      <c r="O13" s="110" t="n">
        <v>344</v>
      </c>
      <c r="P13" s="110" t="n">
        <v>1951</v>
      </c>
      <c r="Q13" s="110" t="n">
        <v>999</v>
      </c>
      <c r="R13" s="110" t="n">
        <f aca="false">SUM(F13:Q13)</f>
        <v>16596</v>
      </c>
    </row>
    <row r="14" customFormat="false" ht="14.25" hidden="false" customHeight="true" outlineLevel="0" collapsed="false">
      <c r="D14" s="100" t="s">
        <v>18</v>
      </c>
      <c r="F14" s="110" t="n">
        <v>24540</v>
      </c>
      <c r="G14" s="110" t="n">
        <v>22471</v>
      </c>
      <c r="H14" s="110" t="n">
        <v>21805</v>
      </c>
      <c r="I14" s="110" t="n">
        <v>27137</v>
      </c>
      <c r="J14" s="110" t="n">
        <v>25925</v>
      </c>
      <c r="K14" s="110" t="n">
        <v>23253</v>
      </c>
      <c r="L14" s="110" t="n">
        <v>27674</v>
      </c>
      <c r="M14" s="110" t="n">
        <v>26086</v>
      </c>
      <c r="N14" s="110" t="n">
        <v>25733</v>
      </c>
      <c r="O14" s="110" t="n">
        <v>27863</v>
      </c>
      <c r="P14" s="110" t="n">
        <v>28254</v>
      </c>
      <c r="Q14" s="110" t="n">
        <v>24184</v>
      </c>
      <c r="R14" s="110" t="n">
        <f aca="false">SUM(F14:Q14)</f>
        <v>304925</v>
      </c>
    </row>
    <row r="15" customFormat="false" ht="14.2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4.2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32</v>
      </c>
      <c r="I16" s="110" t="n">
        <v>84</v>
      </c>
      <c r="J16" s="110" t="n">
        <v>26</v>
      </c>
      <c r="K16" s="110" t="n">
        <v>2</v>
      </c>
      <c r="L16" s="110" t="n">
        <v>415</v>
      </c>
      <c r="M16" s="110" t="n">
        <v>462</v>
      </c>
      <c r="N16" s="110" t="n">
        <v>80</v>
      </c>
      <c r="O16" s="110" t="n">
        <v>1303</v>
      </c>
      <c r="P16" s="110" t="n">
        <v>0</v>
      </c>
      <c r="Q16" s="110" t="n">
        <v>2</v>
      </c>
      <c r="R16" s="110" t="n">
        <f aca="false">SUM(F16:Q16)</f>
        <v>2406</v>
      </c>
    </row>
    <row r="17" customFormat="false" ht="14.25" hidden="false" customHeight="true" outlineLevel="0" collapsed="false">
      <c r="D17" s="100" t="s">
        <v>105</v>
      </c>
      <c r="F17" s="110" t="n">
        <v>1181</v>
      </c>
      <c r="G17" s="110" t="n">
        <v>1166</v>
      </c>
      <c r="H17" s="110" t="n">
        <v>1501</v>
      </c>
      <c r="I17" s="110" t="n">
        <v>1164</v>
      </c>
      <c r="J17" s="110" t="n">
        <v>1154</v>
      </c>
      <c r="K17" s="110" t="n">
        <v>1307</v>
      </c>
      <c r="L17" s="110" t="n">
        <v>1389</v>
      </c>
      <c r="M17" s="110" t="n">
        <v>1532</v>
      </c>
      <c r="N17" s="110" t="n">
        <v>1091</v>
      </c>
      <c r="O17" s="110" t="n">
        <v>1238</v>
      </c>
      <c r="P17" s="110" t="n">
        <v>618</v>
      </c>
      <c r="Q17" s="110" t="n">
        <v>771</v>
      </c>
      <c r="R17" s="110" t="n">
        <f aca="false">SUM(F17:Q17)</f>
        <v>14112</v>
      </c>
    </row>
    <row r="18" customFormat="false" ht="14.2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4.25" hidden="false" customHeight="true" outlineLevel="0" collapsed="false">
      <c r="C19" s="100" t="s">
        <v>20</v>
      </c>
      <c r="F19" s="109" t="n">
        <f aca="false">SUM(F20:F24)</f>
        <v>17929</v>
      </c>
      <c r="G19" s="109" t="n">
        <f aca="false">SUM(G20:G24)</f>
        <v>14165</v>
      </c>
      <c r="H19" s="109" t="n">
        <f aca="false">SUM(H20:H24)</f>
        <v>15478</v>
      </c>
      <c r="I19" s="109" t="n">
        <f aca="false">SUM(I20:I24)</f>
        <v>12666</v>
      </c>
      <c r="J19" s="109" t="n">
        <f aca="false">SUM(J20:J24)</f>
        <v>15061</v>
      </c>
      <c r="K19" s="109" t="n">
        <f aca="false">SUM(K20:K24)</f>
        <v>17763</v>
      </c>
      <c r="L19" s="109" t="n">
        <f aca="false">SUM(L20:L24)</f>
        <v>15461</v>
      </c>
      <c r="M19" s="109" t="n">
        <f aca="false">SUM(M20:M24)</f>
        <v>9411</v>
      </c>
      <c r="N19" s="109" t="n">
        <f aca="false">SUM(N20:N24)</f>
        <v>14436</v>
      </c>
      <c r="O19" s="109" t="n">
        <f aca="false">SUM(O20:O24)</f>
        <v>9611</v>
      </c>
      <c r="P19" s="109" t="n">
        <f aca="false">SUM(P20:P24)</f>
        <v>9662</v>
      </c>
      <c r="Q19" s="109" t="n">
        <f aca="false">SUM(Q20:Q24)</f>
        <v>28431</v>
      </c>
      <c r="R19" s="109" t="n">
        <f aca="false">SUM(R20:R24)</f>
        <v>180074</v>
      </c>
    </row>
    <row r="20" customFormat="false" ht="14.25" hidden="false" customHeight="true" outlineLevel="0" collapsed="false">
      <c r="D20" s="100" t="s">
        <v>21</v>
      </c>
      <c r="F20" s="110" t="n">
        <v>9350</v>
      </c>
      <c r="G20" s="110" t="n">
        <v>6962</v>
      </c>
      <c r="H20" s="110" t="n">
        <v>8594</v>
      </c>
      <c r="I20" s="110" t="n">
        <v>6275</v>
      </c>
      <c r="J20" s="110" t="n">
        <v>9418</v>
      </c>
      <c r="K20" s="110" t="n">
        <v>8934</v>
      </c>
      <c r="L20" s="110" t="n">
        <v>7945</v>
      </c>
      <c r="M20" s="110" t="n">
        <v>3427</v>
      </c>
      <c r="N20" s="110" t="n">
        <v>7219</v>
      </c>
      <c r="O20" s="110" t="n">
        <v>3592</v>
      </c>
      <c r="P20" s="110" t="n">
        <v>3783</v>
      </c>
      <c r="Q20" s="110" t="n">
        <v>5514</v>
      </c>
      <c r="R20" s="110" t="n">
        <f aca="false">SUM(F20:Q20)</f>
        <v>81013</v>
      </c>
    </row>
    <row r="21" customFormat="false" ht="14.25" hidden="false" customHeight="true" outlineLevel="0" collapsed="false">
      <c r="D21" s="100" t="s">
        <v>88</v>
      </c>
      <c r="F21" s="110" t="n">
        <v>2871</v>
      </c>
      <c r="G21" s="110" t="n">
        <v>2595</v>
      </c>
      <c r="H21" s="110" t="n">
        <v>2054</v>
      </c>
      <c r="I21" s="110" t="n">
        <v>2607</v>
      </c>
      <c r="J21" s="110" t="n">
        <v>2326</v>
      </c>
      <c r="K21" s="110" t="n">
        <v>1723</v>
      </c>
      <c r="L21" s="110" t="n">
        <v>2841</v>
      </c>
      <c r="M21" s="110" t="n">
        <v>2444</v>
      </c>
      <c r="N21" s="110" t="n">
        <v>2142</v>
      </c>
      <c r="O21" s="110" t="n">
        <v>5047</v>
      </c>
      <c r="P21" s="110" t="n">
        <v>2139</v>
      </c>
      <c r="Q21" s="110" t="n">
        <v>1752</v>
      </c>
      <c r="R21" s="110" t="n">
        <f aca="false">SUM(F21:Q21)</f>
        <v>30541</v>
      </c>
      <c r="T21" s="110"/>
    </row>
    <row r="22" customFormat="false" ht="14.25" hidden="false" customHeight="true" outlineLevel="0" collapsed="false">
      <c r="D22" s="100" t="s">
        <v>24</v>
      </c>
      <c r="E22" s="31"/>
      <c r="F22" s="110" t="n">
        <v>2006.674</v>
      </c>
      <c r="G22" s="110" t="n">
        <v>2080.355</v>
      </c>
      <c r="H22" s="110" t="n">
        <v>2219.753</v>
      </c>
      <c r="I22" s="110" t="n">
        <v>2439.329</v>
      </c>
      <c r="J22" s="110" t="n">
        <v>2163.612</v>
      </c>
      <c r="K22" s="110" t="n">
        <v>2582.893</v>
      </c>
      <c r="L22" s="110" t="n">
        <v>2080.34</v>
      </c>
      <c r="M22" s="110" t="n">
        <v>248.866</v>
      </c>
      <c r="N22" s="110" t="n">
        <v>2136.752</v>
      </c>
      <c r="O22" s="110" t="n">
        <v>1906.122</v>
      </c>
      <c r="P22" s="110" t="n">
        <v>2062.671</v>
      </c>
      <c r="Q22" s="110" t="n">
        <v>2160.482</v>
      </c>
      <c r="R22" s="110" t="n">
        <f aca="false">SUM(F22:Q22)</f>
        <v>24087.849</v>
      </c>
      <c r="T22" s="110"/>
    </row>
    <row r="23" customFormat="false" ht="14.25" hidden="false" customHeight="true" outlineLevel="0" collapsed="false">
      <c r="D23" s="100" t="s">
        <v>23</v>
      </c>
      <c r="F23" s="110" t="n">
        <v>0</v>
      </c>
      <c r="G23" s="110" t="n">
        <v>9</v>
      </c>
      <c r="H23" s="110" t="n">
        <v>0</v>
      </c>
      <c r="I23" s="110" t="n">
        <v>48</v>
      </c>
      <c r="J23" s="110" t="n">
        <v>0</v>
      </c>
      <c r="K23" s="110" t="n">
        <v>222</v>
      </c>
      <c r="L23" s="110" t="n">
        <v>72</v>
      </c>
      <c r="M23" s="110" t="n">
        <v>0</v>
      </c>
      <c r="N23" s="110" t="n">
        <v>0</v>
      </c>
      <c r="O23" s="110" t="n">
        <v>0</v>
      </c>
      <c r="P23" s="110" t="n">
        <v>2459</v>
      </c>
      <c r="Q23" s="110" t="n">
        <v>126</v>
      </c>
      <c r="R23" s="110" t="n">
        <f aca="false">SUM(F23:Q23)</f>
        <v>2936</v>
      </c>
    </row>
    <row r="24" customFormat="false" ht="14.25" hidden="false" customHeight="true" outlineLevel="0" collapsed="false">
      <c r="D24" s="100" t="s">
        <v>105</v>
      </c>
      <c r="F24" s="110" t="n">
        <f aca="false">8579-F21-F22</f>
        <v>3701.326</v>
      </c>
      <c r="G24" s="110" t="n">
        <f aca="false">7194-G21-G22</f>
        <v>2518.645</v>
      </c>
      <c r="H24" s="110" t="n">
        <f aca="false">6884-H21-H22</f>
        <v>2610.247</v>
      </c>
      <c r="I24" s="110" t="n">
        <f aca="false">6343-I21-I22</f>
        <v>1296.671</v>
      </c>
      <c r="J24" s="110" t="n">
        <f aca="false">5643-J21-J22</f>
        <v>1153.388</v>
      </c>
      <c r="K24" s="110" t="n">
        <f aca="false">8607-K21-K22</f>
        <v>4301.107</v>
      </c>
      <c r="L24" s="110" t="n">
        <f aca="false">7444-L21-L22</f>
        <v>2522.66</v>
      </c>
      <c r="M24" s="110" t="n">
        <f aca="false">5984-M21-M22</f>
        <v>3291.134</v>
      </c>
      <c r="N24" s="110" t="n">
        <f aca="false">7217-N21-N22</f>
        <v>2938.248</v>
      </c>
      <c r="O24" s="110" t="n">
        <f aca="false">6019-O21-O22</f>
        <v>-934.122</v>
      </c>
      <c r="P24" s="110" t="n">
        <f aca="false">3420-P21-P22</f>
        <v>-781.671</v>
      </c>
      <c r="Q24" s="110" t="n">
        <f aca="false">22791-Q21-Q22</f>
        <v>18878.518</v>
      </c>
      <c r="R24" s="110" t="n">
        <f aca="false">SUM(F24:Q24)</f>
        <v>41496.151</v>
      </c>
    </row>
    <row r="25" customFormat="false" ht="14.2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4.25" hidden="false" customHeight="true" outlineLevel="0" collapsed="false">
      <c r="C26" s="100" t="s">
        <v>26</v>
      </c>
      <c r="F26" s="110" t="n">
        <v>0</v>
      </c>
      <c r="G26" s="110" t="n">
        <v>27</v>
      </c>
      <c r="H26" s="110" t="n">
        <v>0</v>
      </c>
      <c r="I26" s="110" t="n">
        <v>54</v>
      </c>
      <c r="J26" s="110" t="n">
        <v>0</v>
      </c>
      <c r="K26" s="110" t="n">
        <v>5</v>
      </c>
      <c r="L26" s="110" t="n">
        <v>0</v>
      </c>
      <c r="M26" s="110" t="n">
        <v>0</v>
      </c>
      <c r="N26" s="110" t="n">
        <v>42</v>
      </c>
      <c r="O26" s="110" t="n">
        <v>10</v>
      </c>
      <c r="P26" s="110" t="n">
        <v>0</v>
      </c>
      <c r="Q26" s="110" t="n">
        <v>183</v>
      </c>
      <c r="R26" s="110" t="n">
        <f aca="false">SUM(F26:Q26)</f>
        <v>321</v>
      </c>
    </row>
    <row r="27" customFormat="false" ht="14.2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4.2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157899</v>
      </c>
      <c r="G28" s="108" t="n">
        <f aca="false">SUM(G30:G36)</f>
        <v>124097</v>
      </c>
      <c r="H28" s="108" t="n">
        <f aca="false">SUM(H30:H36)</f>
        <v>148807</v>
      </c>
      <c r="I28" s="108" t="n">
        <f aca="false">SUM(I30:I36)</f>
        <v>153207</v>
      </c>
      <c r="J28" s="108" t="n">
        <f aca="false">SUM(J30:J36)</f>
        <v>167203</v>
      </c>
      <c r="K28" s="108" t="n">
        <f aca="false">SUM(K30:K36)</f>
        <v>139540</v>
      </c>
      <c r="L28" s="108" t="n">
        <f aca="false">SUM(L30:L36)</f>
        <v>197844</v>
      </c>
      <c r="M28" s="108" t="n">
        <f aca="false">SUM(M30:M36)</f>
        <v>133238</v>
      </c>
      <c r="N28" s="108" t="n">
        <f aca="false">SUM(N30:N36)</f>
        <v>145952</v>
      </c>
      <c r="O28" s="108" t="n">
        <f aca="false">SUM(O30:O36)</f>
        <v>145546</v>
      </c>
      <c r="P28" s="108" t="n">
        <f aca="false">SUM(P30:P36)</f>
        <v>163996</v>
      </c>
      <c r="Q28" s="108" t="n">
        <f aca="false">SUM(Q30:Q36)</f>
        <v>202826</v>
      </c>
      <c r="R28" s="108" t="n">
        <f aca="false">SUM(F28:Q28)</f>
        <v>1880155</v>
      </c>
      <c r="T28" s="110"/>
    </row>
    <row r="29" customFormat="false" ht="14.2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4.25" hidden="false" customHeight="true" outlineLevel="0" collapsed="false">
      <c r="D30" s="100" t="s">
        <v>28</v>
      </c>
      <c r="F30" s="110" t="n">
        <v>26006</v>
      </c>
      <c r="G30" s="110" t="n">
        <v>25954</v>
      </c>
      <c r="H30" s="110" t="n">
        <v>28328</v>
      </c>
      <c r="I30" s="110" t="n">
        <v>25529</v>
      </c>
      <c r="J30" s="110" t="n">
        <v>29623</v>
      </c>
      <c r="K30" s="110" t="n">
        <v>28463</v>
      </c>
      <c r="L30" s="110" t="n">
        <v>25842</v>
      </c>
      <c r="M30" s="110" t="n">
        <v>25223</v>
      </c>
      <c r="N30" s="110" t="n">
        <v>25812</v>
      </c>
      <c r="O30" s="110" t="n">
        <v>25831</v>
      </c>
      <c r="P30" s="110" t="n">
        <v>26680</v>
      </c>
      <c r="Q30" s="110" t="n">
        <v>23964</v>
      </c>
      <c r="R30" s="110" t="n">
        <f aca="false">SUM(F30:Q30)</f>
        <v>317255</v>
      </c>
    </row>
    <row r="31" customFormat="false" ht="14.25" hidden="false" customHeight="true" outlineLevel="0" collapsed="false">
      <c r="D31" s="100" t="s">
        <v>29</v>
      </c>
      <c r="F31" s="110" t="n">
        <v>54841</v>
      </c>
      <c r="G31" s="110" t="n">
        <v>17920</v>
      </c>
      <c r="H31" s="110" t="n">
        <v>25575</v>
      </c>
      <c r="I31" s="110" t="n">
        <v>23681</v>
      </c>
      <c r="J31" s="110" t="n">
        <v>16700</v>
      </c>
      <c r="K31" s="110" t="n">
        <v>18418</v>
      </c>
      <c r="L31" s="110" t="n">
        <v>53510</v>
      </c>
      <c r="M31" s="110" t="n">
        <v>18230</v>
      </c>
      <c r="N31" s="110" t="n">
        <v>29214</v>
      </c>
      <c r="O31" s="110" t="n">
        <v>20484</v>
      </c>
      <c r="P31" s="110" t="n">
        <v>18116</v>
      </c>
      <c r="Q31" s="110" t="n">
        <v>26745</v>
      </c>
      <c r="R31" s="110" t="n">
        <f aca="false">SUM(F31:Q31)</f>
        <v>323434</v>
      </c>
    </row>
    <row r="32" customFormat="false" ht="14.25" hidden="false" customHeight="true" outlineLevel="0" collapsed="false">
      <c r="D32" s="100" t="s">
        <v>30</v>
      </c>
      <c r="F32" s="110" t="n">
        <v>153</v>
      </c>
      <c r="G32" s="110" t="n">
        <v>795</v>
      </c>
      <c r="H32" s="110" t="n">
        <v>409.447</v>
      </c>
      <c r="I32" s="110" t="n">
        <v>10409.85</v>
      </c>
      <c r="J32" s="110" t="n">
        <v>1127.42</v>
      </c>
      <c r="K32" s="110" t="n">
        <v>560.14</v>
      </c>
      <c r="L32" s="110" t="n">
        <v>1358.3</v>
      </c>
      <c r="M32" s="110" t="n">
        <v>676</v>
      </c>
      <c r="N32" s="110" t="n">
        <v>1951</v>
      </c>
      <c r="O32" s="110" t="n">
        <v>2067</v>
      </c>
      <c r="P32" s="110" t="n">
        <v>2272</v>
      </c>
      <c r="Q32" s="110" t="n">
        <v>1233</v>
      </c>
      <c r="R32" s="110" t="n">
        <f aca="false">SUM(F32:Q32)</f>
        <v>23012.157</v>
      </c>
    </row>
    <row r="33" customFormat="false" ht="14.25" hidden="false" customHeight="true" outlineLevel="0" collapsed="false">
      <c r="D33" s="100" t="s">
        <v>77</v>
      </c>
      <c r="F33" s="110" t="n">
        <v>287</v>
      </c>
      <c r="G33" s="110" t="n">
        <v>1822</v>
      </c>
      <c r="H33" s="110" t="n">
        <v>2059</v>
      </c>
      <c r="I33" s="110" t="n">
        <v>1064</v>
      </c>
      <c r="J33" s="110" t="n">
        <v>1006</v>
      </c>
      <c r="K33" s="110" t="n">
        <v>6978</v>
      </c>
      <c r="L33" s="110" t="n">
        <v>18750</v>
      </c>
      <c r="M33" s="110" t="n">
        <v>1791</v>
      </c>
      <c r="N33" s="110" t="n">
        <v>1643</v>
      </c>
      <c r="O33" s="110" t="n">
        <v>507</v>
      </c>
      <c r="P33" s="110" t="n">
        <v>3167</v>
      </c>
      <c r="Q33" s="110" t="n">
        <v>27255</v>
      </c>
      <c r="R33" s="110" t="n">
        <f aca="false">SUM(F33:Q33)</f>
        <v>66329</v>
      </c>
    </row>
    <row r="34" customFormat="false" ht="14.25" hidden="false" customHeight="true" outlineLevel="0" collapsed="false">
      <c r="D34" s="100" t="s">
        <v>32</v>
      </c>
      <c r="F34" s="110" t="n">
        <v>93</v>
      </c>
      <c r="G34" s="110" t="n">
        <v>36</v>
      </c>
      <c r="H34" s="110" t="n">
        <v>97</v>
      </c>
      <c r="I34" s="110" t="n">
        <v>9</v>
      </c>
      <c r="J34" s="110" t="n">
        <v>98</v>
      </c>
      <c r="K34" s="110" t="n">
        <v>0</v>
      </c>
      <c r="L34" s="110" t="n">
        <v>156</v>
      </c>
      <c r="M34" s="110" t="n">
        <v>0</v>
      </c>
      <c r="N34" s="110" t="n">
        <v>92</v>
      </c>
      <c r="O34" s="110" t="n">
        <v>76</v>
      </c>
      <c r="P34" s="110" t="n">
        <v>7</v>
      </c>
      <c r="Q34" s="110" t="n">
        <v>10815</v>
      </c>
      <c r="R34" s="110" t="n">
        <f aca="false">SUM(F34:Q34)</f>
        <v>11479</v>
      </c>
    </row>
    <row r="35" customFormat="false" ht="14.25" hidden="false" customHeight="true" outlineLevel="0" collapsed="false">
      <c r="D35" s="100" t="s">
        <v>78</v>
      </c>
      <c r="F35" s="110" t="n">
        <v>-9918</v>
      </c>
      <c r="G35" s="110" t="n">
        <v>287</v>
      </c>
      <c r="H35" s="110" t="n">
        <v>1515</v>
      </c>
      <c r="I35" s="110" t="n">
        <v>610</v>
      </c>
      <c r="J35" s="110" t="n">
        <v>3331</v>
      </c>
      <c r="K35" s="110" t="n">
        <v>734</v>
      </c>
      <c r="L35" s="110" t="n">
        <v>2536</v>
      </c>
      <c r="M35" s="110" t="n">
        <v>835</v>
      </c>
      <c r="N35" s="110" t="n">
        <v>2268</v>
      </c>
      <c r="O35" s="110" t="n">
        <v>1012</v>
      </c>
      <c r="P35" s="110" t="n">
        <v>12802</v>
      </c>
      <c r="Q35" s="110" t="n">
        <v>614</v>
      </c>
      <c r="R35" s="110" t="n">
        <f aca="false">SUM(F35:Q35)</f>
        <v>16626</v>
      </c>
    </row>
    <row r="36" customFormat="false" ht="14.25" hidden="false" customHeight="true" outlineLevel="0" collapsed="false">
      <c r="D36" s="1" t="s">
        <v>79</v>
      </c>
      <c r="F36" s="110" t="n">
        <v>86437</v>
      </c>
      <c r="G36" s="110" t="n">
        <v>77283</v>
      </c>
      <c r="H36" s="110" t="n">
        <v>90823.553</v>
      </c>
      <c r="I36" s="110" t="n">
        <v>91904.15</v>
      </c>
      <c r="J36" s="110" t="n">
        <v>115317.58</v>
      </c>
      <c r="K36" s="110" t="n">
        <v>84386.86</v>
      </c>
      <c r="L36" s="110" t="n">
        <v>95691.7</v>
      </c>
      <c r="M36" s="110" t="n">
        <v>86483</v>
      </c>
      <c r="N36" s="110" t="n">
        <v>84972</v>
      </c>
      <c r="O36" s="110" t="n">
        <v>95569</v>
      </c>
      <c r="P36" s="110" t="n">
        <v>100952</v>
      </c>
      <c r="Q36" s="110" t="n">
        <v>112200</v>
      </c>
      <c r="R36" s="110" t="n">
        <f aca="false">SUM(F36:Q36)</f>
        <v>1122019.843</v>
      </c>
      <c r="T36" s="110"/>
    </row>
    <row r="37" customFormat="false" ht="14.2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T37" s="110"/>
    </row>
    <row r="38" customFormat="false" ht="14.2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-19531</v>
      </c>
      <c r="G38" s="112" t="n">
        <f aca="false">+G8-G28</f>
        <v>-11749</v>
      </c>
      <c r="H38" s="112" t="n">
        <f aca="false">+H8-H28</f>
        <v>-35198</v>
      </c>
      <c r="I38" s="112" t="n">
        <f aca="false">+I8-I28</f>
        <v>36803</v>
      </c>
      <c r="J38" s="112" t="n">
        <f aca="false">+J8-J28</f>
        <v>-13164</v>
      </c>
      <c r="K38" s="112" t="n">
        <f aca="false">+K8-K28</f>
        <v>-8451</v>
      </c>
      <c r="L38" s="112" t="n">
        <f aca="false">+L8-L28</f>
        <v>-53222</v>
      </c>
      <c r="M38" s="112" t="n">
        <f aca="false">+M8-M28</f>
        <v>21901</v>
      </c>
      <c r="N38" s="112" t="n">
        <f aca="false">+N8-N28</f>
        <v>-18616</v>
      </c>
      <c r="O38" s="112" t="n">
        <f aca="false">+O8-O28</f>
        <v>-11237</v>
      </c>
      <c r="P38" s="112" t="n">
        <f aca="false">+P8-P28</f>
        <v>1000</v>
      </c>
      <c r="Q38" s="112" t="n">
        <f aca="false">+Q8-Q28</f>
        <v>-52598</v>
      </c>
      <c r="R38" s="112" t="n">
        <f aca="false">SUM(F38:Q38)</f>
        <v>-164062</v>
      </c>
    </row>
    <row r="39" customFormat="false" ht="14.2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4.25" hidden="false" customHeight="true" outlineLevel="0" collapsed="false">
      <c r="B40" s="107" t="s">
        <v>36</v>
      </c>
      <c r="C40" s="107"/>
      <c r="D40" s="107"/>
      <c r="E40" s="107"/>
      <c r="F40" s="108" t="n">
        <v>39671</v>
      </c>
      <c r="G40" s="108" t="n">
        <v>-6189</v>
      </c>
      <c r="H40" s="108" t="n">
        <v>39914</v>
      </c>
      <c r="I40" s="108" t="n">
        <v>47098</v>
      </c>
      <c r="J40" s="108" t="n">
        <v>21436</v>
      </c>
      <c r="K40" s="108" t="n">
        <v>31126</v>
      </c>
      <c r="L40" s="108" t="n">
        <v>48507</v>
      </c>
      <c r="M40" s="108" t="n">
        <v>126245</v>
      </c>
      <c r="N40" s="108" t="n">
        <v>24985</v>
      </c>
      <c r="O40" s="108" t="n">
        <v>50922</v>
      </c>
      <c r="P40" s="108" t="n">
        <v>25679</v>
      </c>
      <c r="Q40" s="108" t="n">
        <v>-14137</v>
      </c>
      <c r="R40" s="108" t="n">
        <v>435257</v>
      </c>
    </row>
    <row r="41" customFormat="false" ht="14.25" hidden="false" customHeight="true" outlineLevel="0" collapsed="false">
      <c r="C41" s="100" t="s">
        <v>37</v>
      </c>
      <c r="F41" s="109" t="n">
        <v>-643</v>
      </c>
      <c r="G41" s="109" t="n">
        <v>-43515</v>
      </c>
      <c r="H41" s="109" t="n">
        <v>-5141</v>
      </c>
      <c r="I41" s="109" t="n">
        <v>11</v>
      </c>
      <c r="J41" s="109" t="n">
        <v>-3377</v>
      </c>
      <c r="K41" s="109" t="n">
        <v>-11811</v>
      </c>
      <c r="L41" s="109" t="n">
        <v>14804</v>
      </c>
      <c r="M41" s="109" t="n">
        <v>-20911</v>
      </c>
      <c r="N41" s="109" t="n">
        <v>-5443</v>
      </c>
      <c r="O41" s="109" t="n">
        <v>-759</v>
      </c>
      <c r="P41" s="109" t="n">
        <v>-4974</v>
      </c>
      <c r="Q41" s="109" t="n">
        <v>-2062</v>
      </c>
      <c r="R41" s="109" t="n">
        <v>-83821</v>
      </c>
    </row>
    <row r="42" customFormat="false" ht="14.25" hidden="false" customHeight="true" outlineLevel="0" collapsed="false">
      <c r="D42" s="100" t="s">
        <v>38</v>
      </c>
      <c r="F42" s="110" t="n">
        <v>1023</v>
      </c>
      <c r="G42" s="110" t="n">
        <v>1181</v>
      </c>
      <c r="H42" s="110" t="n">
        <v>1026</v>
      </c>
      <c r="I42" s="110" t="n">
        <v>2886</v>
      </c>
      <c r="J42" s="110" t="n">
        <v>1850</v>
      </c>
      <c r="K42" s="110" t="n">
        <v>876</v>
      </c>
      <c r="L42" s="110" t="n">
        <v>16505</v>
      </c>
      <c r="M42" s="110" t="n">
        <v>1653</v>
      </c>
      <c r="N42" s="110" t="n">
        <v>1003</v>
      </c>
      <c r="O42" s="110" t="n">
        <v>2092</v>
      </c>
      <c r="P42" s="110" t="n">
        <v>868</v>
      </c>
      <c r="Q42" s="110" t="n">
        <v>2804</v>
      </c>
      <c r="R42" s="110" t="n">
        <v>33767</v>
      </c>
    </row>
    <row r="43" customFormat="false" ht="14.25" hidden="false" customHeight="true" outlineLevel="0" collapsed="false">
      <c r="D43" s="100" t="s">
        <v>97</v>
      </c>
      <c r="F43" s="110" t="n">
        <v>1666</v>
      </c>
      <c r="G43" s="110" t="n">
        <v>44696</v>
      </c>
      <c r="H43" s="110" t="n">
        <v>6167</v>
      </c>
      <c r="I43" s="110" t="n">
        <v>2875</v>
      </c>
      <c r="J43" s="110" t="n">
        <v>5227</v>
      </c>
      <c r="K43" s="110" t="n">
        <v>12687</v>
      </c>
      <c r="L43" s="110" t="n">
        <v>1701</v>
      </c>
      <c r="M43" s="110" t="n">
        <v>22564</v>
      </c>
      <c r="N43" s="110" t="n">
        <v>6446</v>
      </c>
      <c r="O43" s="110" t="n">
        <v>2851</v>
      </c>
      <c r="P43" s="110" t="n">
        <v>5842</v>
      </c>
      <c r="Q43" s="110" t="n">
        <v>4866</v>
      </c>
      <c r="R43" s="110" t="n">
        <v>117588</v>
      </c>
    </row>
    <row r="44" customFormat="false" ht="14.2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4.25" hidden="false" customHeight="true" outlineLevel="0" collapsed="false">
      <c r="C45" s="100" t="s">
        <v>40</v>
      </c>
      <c r="F45" s="109" t="n">
        <v>40314</v>
      </c>
      <c r="G45" s="109" t="n">
        <v>37326</v>
      </c>
      <c r="H45" s="109" t="n">
        <v>45055</v>
      </c>
      <c r="I45" s="109" t="n">
        <v>47087</v>
      </c>
      <c r="J45" s="109" t="n">
        <v>24813</v>
      </c>
      <c r="K45" s="109" t="n">
        <v>42937</v>
      </c>
      <c r="L45" s="109" t="n">
        <v>33703</v>
      </c>
      <c r="M45" s="109" t="n">
        <v>147156</v>
      </c>
      <c r="N45" s="109" t="n">
        <v>30428</v>
      </c>
      <c r="O45" s="109" t="n">
        <v>51681</v>
      </c>
      <c r="P45" s="109" t="n">
        <v>30653</v>
      </c>
      <c r="Q45" s="109" t="n">
        <v>-12075</v>
      </c>
      <c r="R45" s="109" t="n">
        <v>519078</v>
      </c>
    </row>
    <row r="46" customFormat="false" ht="14.25" hidden="false" customHeight="true" outlineLevel="0" collapsed="false">
      <c r="D46" s="100" t="s">
        <v>41</v>
      </c>
      <c r="F46" s="110" t="n">
        <v>40314</v>
      </c>
      <c r="G46" s="110" t="n">
        <v>37326</v>
      </c>
      <c r="H46" s="110" t="n">
        <v>45319</v>
      </c>
      <c r="I46" s="110" t="n">
        <v>47229</v>
      </c>
      <c r="J46" s="110" t="n">
        <v>24921</v>
      </c>
      <c r="K46" s="110" t="n">
        <v>43122</v>
      </c>
      <c r="L46" s="110" t="n">
        <v>33800</v>
      </c>
      <c r="M46" s="110" t="n">
        <v>147250</v>
      </c>
      <c r="N46" s="110" t="n">
        <v>30650</v>
      </c>
      <c r="O46" s="110" t="n">
        <v>52000</v>
      </c>
      <c r="P46" s="110" t="n">
        <v>30653</v>
      </c>
      <c r="Q46" s="110" t="n">
        <v>-11650</v>
      </c>
      <c r="R46" s="110" t="n">
        <v>520934</v>
      </c>
    </row>
    <row r="47" customFormat="false" ht="14.25" hidden="false" customHeight="true" outlineLevel="0" collapsed="false">
      <c r="D47" s="100" t="s">
        <v>42</v>
      </c>
      <c r="F47" s="110" t="n">
        <v>0</v>
      </c>
      <c r="G47" s="110" t="n">
        <v>0</v>
      </c>
      <c r="H47" s="110" t="n">
        <v>264</v>
      </c>
      <c r="I47" s="110" t="n">
        <v>142</v>
      </c>
      <c r="J47" s="110" t="n">
        <v>108</v>
      </c>
      <c r="K47" s="110" t="n">
        <v>185</v>
      </c>
      <c r="L47" s="110" t="n">
        <v>97</v>
      </c>
      <c r="M47" s="110" t="n">
        <v>94</v>
      </c>
      <c r="N47" s="110" t="n">
        <v>222</v>
      </c>
      <c r="O47" s="110" t="n">
        <v>319</v>
      </c>
      <c r="P47" s="110" t="n">
        <v>0</v>
      </c>
      <c r="Q47" s="110" t="n">
        <v>425</v>
      </c>
      <c r="R47" s="110" t="n">
        <v>1856</v>
      </c>
    </row>
    <row r="48" customFormat="false" ht="14.25" hidden="false" customHeight="true" outlineLevel="0" collapsed="false">
      <c r="E48" s="1" t="s">
        <v>67</v>
      </c>
      <c r="F48" s="110" t="n">
        <v>97115</v>
      </c>
      <c r="G48" s="110" t="n">
        <v>0</v>
      </c>
      <c r="H48" s="110" t="n">
        <v>88034</v>
      </c>
      <c r="I48" s="110" t="n">
        <v>14821</v>
      </c>
      <c r="J48" s="110" t="n">
        <v>3316</v>
      </c>
      <c r="K48" s="110" t="n">
        <v>185</v>
      </c>
      <c r="L48" s="110" t="n">
        <v>37287</v>
      </c>
      <c r="M48" s="110" t="n">
        <v>94</v>
      </c>
      <c r="N48" s="110" t="n">
        <v>222</v>
      </c>
      <c r="O48" s="110" t="n">
        <v>2501</v>
      </c>
      <c r="P48" s="110" t="n">
        <v>13500</v>
      </c>
      <c r="Q48" s="110" t="n">
        <v>425</v>
      </c>
      <c r="R48" s="110" t="n">
        <v>257500</v>
      </c>
    </row>
    <row r="49" customFormat="false" ht="14.25" hidden="false" customHeight="true" outlineLevel="0" collapsed="false">
      <c r="E49" s="16" t="s">
        <v>80</v>
      </c>
      <c r="F49" s="110" t="n">
        <v>97115</v>
      </c>
      <c r="G49" s="110" t="n">
        <v>0</v>
      </c>
      <c r="H49" s="110" t="n">
        <v>87770</v>
      </c>
      <c r="I49" s="110" t="n">
        <v>14679</v>
      </c>
      <c r="J49" s="110" t="n">
        <v>3208</v>
      </c>
      <c r="K49" s="110" t="n">
        <v>0</v>
      </c>
      <c r="L49" s="110" t="n">
        <v>37190</v>
      </c>
      <c r="M49" s="110" t="n">
        <v>0</v>
      </c>
      <c r="N49" s="110" t="n">
        <v>0</v>
      </c>
      <c r="O49" s="110" t="n">
        <v>2182</v>
      </c>
      <c r="P49" s="110" t="n">
        <v>13500</v>
      </c>
      <c r="Q49" s="110" t="n">
        <v>0</v>
      </c>
      <c r="R49" s="110" t="n">
        <v>255644</v>
      </c>
    </row>
    <row r="50" customFormat="false" ht="14.2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4.25" hidden="false" customHeight="true" outlineLevel="0" collapsed="false">
      <c r="B51" s="107" t="s">
        <v>45</v>
      </c>
      <c r="C51" s="107"/>
      <c r="D51" s="107"/>
      <c r="E51" s="107"/>
      <c r="F51" s="108" t="n">
        <v>250237</v>
      </c>
      <c r="G51" s="108" t="n">
        <v>-353859</v>
      </c>
      <c r="H51" s="108" t="n">
        <v>-78597</v>
      </c>
      <c r="I51" s="108" t="n">
        <v>47040</v>
      </c>
      <c r="J51" s="108" t="n">
        <v>-6918</v>
      </c>
      <c r="K51" s="108" t="n">
        <v>45781</v>
      </c>
      <c r="L51" s="108" t="n">
        <v>-25310</v>
      </c>
      <c r="M51" s="108" t="n">
        <v>111366</v>
      </c>
      <c r="N51" s="108" t="n">
        <v>56052</v>
      </c>
      <c r="O51" s="108" t="n">
        <v>34337</v>
      </c>
      <c r="P51" s="108" t="n">
        <v>-8494</v>
      </c>
      <c r="Q51" s="108" t="n">
        <v>-5702</v>
      </c>
      <c r="R51" s="108" t="n">
        <v>65933</v>
      </c>
      <c r="T51" s="110"/>
    </row>
    <row r="52" customFormat="false" ht="14.25" hidden="false" customHeight="false" outlineLevel="0" collapsed="false">
      <c r="F52" s="110"/>
      <c r="G52" s="110"/>
      <c r="H52" s="110"/>
      <c r="I52" s="110"/>
    </row>
    <row r="53" customFormat="false" ht="15" hidden="false" customHeight="false" outlineLevel="0" collapsed="false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customFormat="false" ht="15" hidden="false" customHeight="false" outlineLevel="0" collapsed="false">
      <c r="B54" s="103" t="s">
        <v>46</v>
      </c>
    </row>
    <row r="55" customFormat="false" ht="14.25" hidden="false" customHeight="true" outlineLevel="0" collapsed="false">
      <c r="B55" s="103"/>
      <c r="C55" s="130" t="s">
        <v>110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</row>
    <row r="56" customFormat="false" ht="18" hidden="false" customHeight="true" outlineLevel="0" collapsed="false">
      <c r="A56" s="31"/>
      <c r="B56" s="103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</row>
    <row r="59" customFormat="false" ht="14.25" hidden="false" customHeight="false" outlineLevel="0" collapsed="false">
      <c r="B59" s="31" t="s">
        <v>51</v>
      </c>
    </row>
    <row r="60" customFormat="false" ht="14.25" hidden="false" customHeight="false" outlineLevel="0" collapsed="false">
      <c r="B60" s="31" t="s">
        <v>106</v>
      </c>
    </row>
  </sheetData>
  <mergeCells count="3">
    <mergeCell ref="A4:E4"/>
    <mergeCell ref="A6:E6"/>
    <mergeCell ref="C55:Q56"/>
  </mergeCells>
  <printOptions headings="false" gridLines="false" gridLinesSet="true" horizontalCentered="true" verticalCentered="false"/>
  <pageMargins left="0" right="0" top="1.25972222222222" bottom="0.236111111111111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J36" activeCellId="0" sqref="J36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57"/>
    <col collapsed="false" customWidth="true" hidden="false" outlineLevel="0" max="2" min="2" style="100" width="2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27.99"/>
    <col collapsed="false" customWidth="false" hidden="false" outlineLevel="0" max="6" min="6" style="100" width="9.14"/>
    <col collapsed="false" customWidth="true" hidden="false" outlineLevel="0" max="16" min="7" style="100" width="9.42"/>
    <col collapsed="false" customWidth="true" hidden="false" outlineLevel="0" max="17" min="17" style="100" width="10"/>
    <col collapsed="false" customWidth="true" hidden="false" outlineLevel="0" max="18" min="18" style="100" width="10.99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customFormat="false" ht="15" hidden="false" customHeight="false" outlineLevel="0" collapsed="false">
      <c r="A2" s="131" t="s">
        <v>111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</row>
    <row r="3" customFormat="false" ht="14.25" hidden="false" customHeight="false" outlineLevel="0" collapsed="false">
      <c r="A3" s="132" t="s">
        <v>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</row>
    <row r="4" customFormat="false" ht="14.25" hidden="false" customHeight="false" outlineLevel="0" collapsed="false">
      <c r="A4" s="120" t="s">
        <v>95</v>
      </c>
      <c r="B4" s="120"/>
      <c r="C4" s="120"/>
      <c r="D4" s="120"/>
      <c r="E4" s="120"/>
    </row>
    <row r="5" customFormat="false" ht="6" hidden="false" customHeight="true" outlineLevel="0" collapsed="false"/>
    <row r="6" customFormat="false" ht="22.5" hidden="false" customHeight="true" outlineLevel="0" collapsed="false">
      <c r="A6" s="126" t="s">
        <v>4</v>
      </c>
      <c r="B6" s="126"/>
      <c r="C6" s="126"/>
      <c r="D6" s="126"/>
      <c r="E6" s="126"/>
      <c r="F6" s="105" t="s">
        <v>107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29"/>
    </row>
    <row r="7" customFormat="false" ht="15" hidden="false" customHeight="true" outlineLevel="0" collapsed="false">
      <c r="F7" s="110"/>
      <c r="G7" s="110"/>
      <c r="O7" s="110"/>
      <c r="R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126354</v>
      </c>
      <c r="G8" s="108" t="n">
        <f aca="false">G9+G19+G26</f>
        <v>119189</v>
      </c>
      <c r="H8" s="108" t="n">
        <f aca="false">H9+H19+H26</f>
        <v>115431</v>
      </c>
      <c r="I8" s="108" t="n">
        <f aca="false">I9+I19+I26</f>
        <v>153268</v>
      </c>
      <c r="J8" s="108" t="n">
        <f aca="false">J9+J19+J26</f>
        <v>131403</v>
      </c>
      <c r="K8" s="108" t="n">
        <f aca="false">K9+K19+K26</f>
        <v>115276</v>
      </c>
      <c r="L8" s="108" t="n">
        <f aca="false">L9+L19+L26</f>
        <v>123309</v>
      </c>
      <c r="M8" s="108" t="n">
        <f aca="false">M9+M19+M26</f>
        <v>129408</v>
      </c>
      <c r="N8" s="108" t="n">
        <f aca="false">N9+N19+N26</f>
        <v>105309</v>
      </c>
      <c r="O8" s="108" t="n">
        <f aca="false">O9+O19+O26</f>
        <v>134320</v>
      </c>
      <c r="P8" s="108" t="n">
        <f aca="false">P9+P19+P26</f>
        <v>155308</v>
      </c>
      <c r="Q8" s="108" t="n">
        <f aca="false">Q9+Q19+Q26</f>
        <v>126357</v>
      </c>
      <c r="R8" s="108" t="n">
        <f aca="false">R9+R19+R26</f>
        <v>1534932</v>
      </c>
    </row>
    <row r="9" customFormat="false" ht="15" hidden="false" customHeight="true" outlineLevel="0" collapsed="false">
      <c r="C9" s="100" t="s">
        <v>13</v>
      </c>
      <c r="F9" s="109" t="n">
        <f aca="false">SUM(F10+F14+F17)</f>
        <v>108032</v>
      </c>
      <c r="G9" s="109" t="n">
        <f aca="false">SUM(G10+G14+G17)</f>
        <v>92404</v>
      </c>
      <c r="H9" s="109" t="n">
        <f aca="false">SUM(H10+H14+H17)</f>
        <v>101823</v>
      </c>
      <c r="I9" s="109" t="n">
        <f aca="false">SUM(I10+I14+I17)</f>
        <v>142560</v>
      </c>
      <c r="J9" s="109" t="n">
        <f aca="false">SUM(J10+J14+J17)</f>
        <v>121374</v>
      </c>
      <c r="K9" s="109" t="n">
        <f aca="false">SUM(K10+K14+K17)</f>
        <v>105723</v>
      </c>
      <c r="L9" s="109" t="n">
        <f aca="false">SUM(L10+L14+L17)</f>
        <v>108999</v>
      </c>
      <c r="M9" s="109" t="n">
        <f aca="false">SUM(M10+M14+M17)</f>
        <v>120446</v>
      </c>
      <c r="N9" s="109" t="n">
        <f aca="false">SUM(N10+N14+N17)</f>
        <v>95417</v>
      </c>
      <c r="O9" s="109" t="n">
        <f aca="false">SUM(O10+O14+O17)</f>
        <v>114762</v>
      </c>
      <c r="P9" s="109" t="n">
        <f aca="false">SUM(P10+P14+P17)</f>
        <v>135242</v>
      </c>
      <c r="Q9" s="109" t="n">
        <f aca="false">SUM(Q10+Q14+Q17)</f>
        <v>114299</v>
      </c>
      <c r="R9" s="109" t="n">
        <v>1361081</v>
      </c>
    </row>
    <row r="10" customFormat="false" ht="15" hidden="false" customHeight="true" outlineLevel="0" collapsed="false">
      <c r="D10" s="100" t="s">
        <v>14</v>
      </c>
      <c r="F10" s="110" t="n">
        <v>85147</v>
      </c>
      <c r="G10" s="110" t="n">
        <v>68694</v>
      </c>
      <c r="H10" s="110" t="n">
        <v>75203</v>
      </c>
      <c r="I10" s="110" t="n">
        <v>116221</v>
      </c>
      <c r="J10" s="110" t="n">
        <v>94551</v>
      </c>
      <c r="K10" s="110" t="n">
        <v>81343</v>
      </c>
      <c r="L10" s="110" t="n">
        <v>83517</v>
      </c>
      <c r="M10" s="110" t="n">
        <v>96756</v>
      </c>
      <c r="N10" s="110" t="n">
        <v>71036</v>
      </c>
      <c r="O10" s="110" t="n">
        <v>86105</v>
      </c>
      <c r="P10" s="110" t="n">
        <v>110767</v>
      </c>
      <c r="Q10" s="110" t="n">
        <v>88576</v>
      </c>
      <c r="R10" s="110" t="n">
        <v>1057916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243</v>
      </c>
      <c r="H12" s="110" t="n">
        <v>734</v>
      </c>
      <c r="I12" s="110" t="n">
        <v>1084</v>
      </c>
      <c r="J12" s="110" t="n">
        <v>207</v>
      </c>
      <c r="K12" s="110" t="n">
        <v>170</v>
      </c>
      <c r="L12" s="110" t="n">
        <v>216</v>
      </c>
      <c r="M12" s="110" t="n">
        <v>0</v>
      </c>
      <c r="N12" s="110" t="n">
        <v>901</v>
      </c>
      <c r="O12" s="110" t="n">
        <v>578</v>
      </c>
      <c r="P12" s="110" t="n">
        <v>1030</v>
      </c>
      <c r="Q12" s="110" t="n">
        <v>634</v>
      </c>
      <c r="R12" s="110" t="n">
        <v>5797</v>
      </c>
    </row>
    <row r="13" customFormat="false" ht="15" hidden="false" customHeight="true" outlineLevel="0" collapsed="false">
      <c r="E13" s="100" t="s">
        <v>17</v>
      </c>
      <c r="F13" s="110" t="n">
        <v>32</v>
      </c>
      <c r="G13" s="110" t="n">
        <v>0</v>
      </c>
      <c r="H13" s="110" t="n">
        <v>6656</v>
      </c>
      <c r="I13" s="110" t="n">
        <v>2026</v>
      </c>
      <c r="J13" s="110" t="n">
        <v>338</v>
      </c>
      <c r="K13" s="110" t="n">
        <v>5080</v>
      </c>
      <c r="L13" s="110" t="n">
        <v>2146</v>
      </c>
      <c r="M13" s="110" t="n">
        <v>26</v>
      </c>
      <c r="N13" s="110" t="n">
        <v>175</v>
      </c>
      <c r="O13" s="110" t="n">
        <v>2015</v>
      </c>
      <c r="P13" s="110" t="n">
        <v>1584</v>
      </c>
      <c r="Q13" s="110" t="n">
        <v>4719</v>
      </c>
      <c r="R13" s="110" t="n">
        <v>24797</v>
      </c>
    </row>
    <row r="14" customFormat="false" ht="15" hidden="false" customHeight="true" outlineLevel="0" collapsed="false">
      <c r="D14" s="100" t="s">
        <v>18</v>
      </c>
      <c r="F14" s="110" t="n">
        <v>21990</v>
      </c>
      <c r="G14" s="110" t="n">
        <v>22433</v>
      </c>
      <c r="H14" s="110" t="n">
        <v>25106</v>
      </c>
      <c r="I14" s="110" t="n">
        <v>25367</v>
      </c>
      <c r="J14" s="110" t="n">
        <v>25230</v>
      </c>
      <c r="K14" s="110" t="n">
        <v>23299</v>
      </c>
      <c r="L14" s="110" t="n">
        <v>24391</v>
      </c>
      <c r="M14" s="110" t="n">
        <v>22632</v>
      </c>
      <c r="N14" s="110" t="n">
        <v>23208</v>
      </c>
      <c r="O14" s="110" t="n">
        <v>26934</v>
      </c>
      <c r="P14" s="110" t="n">
        <v>23749</v>
      </c>
      <c r="Q14" s="110" t="n">
        <v>25527</v>
      </c>
      <c r="R14" s="110" t="n">
        <v>289866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167</v>
      </c>
      <c r="H16" s="110" t="n">
        <v>405</v>
      </c>
      <c r="I16" s="110" t="n">
        <v>5</v>
      </c>
      <c r="J16" s="110" t="n">
        <v>76</v>
      </c>
      <c r="K16" s="110" t="n">
        <v>35</v>
      </c>
      <c r="L16" s="110" t="n">
        <v>487</v>
      </c>
      <c r="M16" s="110" t="n">
        <v>551</v>
      </c>
      <c r="N16" s="110" t="n">
        <v>0</v>
      </c>
      <c r="O16" s="110" t="n">
        <v>137</v>
      </c>
      <c r="P16" s="110" t="n">
        <v>38</v>
      </c>
      <c r="Q16" s="110" t="n">
        <v>5583</v>
      </c>
      <c r="R16" s="110" t="n">
        <v>7484</v>
      </c>
    </row>
    <row r="17" customFormat="false" ht="15" hidden="false" customHeight="true" outlineLevel="0" collapsed="false">
      <c r="D17" s="100" t="s">
        <v>105</v>
      </c>
      <c r="F17" s="110" t="n">
        <v>895</v>
      </c>
      <c r="G17" s="110" t="n">
        <v>1277</v>
      </c>
      <c r="H17" s="110" t="n">
        <v>1514</v>
      </c>
      <c r="I17" s="110" t="n">
        <v>972</v>
      </c>
      <c r="J17" s="110" t="n">
        <v>1593</v>
      </c>
      <c r="K17" s="110" t="n">
        <v>1081</v>
      </c>
      <c r="L17" s="110" t="n">
        <v>1091</v>
      </c>
      <c r="M17" s="110" t="n">
        <v>1058</v>
      </c>
      <c r="N17" s="110" t="n">
        <v>1173</v>
      </c>
      <c r="O17" s="110" t="n">
        <v>1723</v>
      </c>
      <c r="P17" s="110" t="n">
        <v>726</v>
      </c>
      <c r="Q17" s="110" t="n">
        <v>196</v>
      </c>
      <c r="R17" s="110" t="n">
        <v>13299</v>
      </c>
    </row>
    <row r="18" customFormat="false" ht="15" hidden="false" customHeight="true" outlineLevel="0" collapsed="false">
      <c r="F18" s="110" t="s">
        <v>59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18295</v>
      </c>
      <c r="G19" s="109" t="n">
        <f aca="false">SUM(G20:G24)</f>
        <v>26774</v>
      </c>
      <c r="H19" s="109" t="n">
        <f aca="false">SUM(H20:H24)</f>
        <v>13608</v>
      </c>
      <c r="I19" s="109" t="n">
        <f aca="false">SUM(I20:I24)</f>
        <v>10707</v>
      </c>
      <c r="J19" s="109" t="n">
        <f aca="false">SUM(J20:J24)</f>
        <v>10011</v>
      </c>
      <c r="K19" s="109" t="n">
        <f aca="false">SUM(K20:K24)</f>
        <v>9544</v>
      </c>
      <c r="L19" s="109" t="n">
        <f aca="false">SUM(L20:L24)</f>
        <v>14309</v>
      </c>
      <c r="M19" s="109" t="n">
        <f aca="false">SUM(M20:M24)</f>
        <v>8951</v>
      </c>
      <c r="N19" s="109" t="n">
        <f aca="false">SUM(N20:N24)</f>
        <v>9892</v>
      </c>
      <c r="O19" s="109" t="n">
        <f aca="false">SUM(O20:O24)</f>
        <v>19558</v>
      </c>
      <c r="P19" s="109" t="n">
        <f aca="false">SUM(P20:P24)</f>
        <v>20053</v>
      </c>
      <c r="Q19" s="109" t="n">
        <f aca="false">SUM(Q20:Q24)</f>
        <v>12050</v>
      </c>
      <c r="R19" s="109" t="n">
        <f aca="false">SUM(R20:R24)</f>
        <v>173752</v>
      </c>
      <c r="S19" s="109"/>
    </row>
    <row r="20" customFormat="false" ht="15" hidden="false" customHeight="true" outlineLevel="0" collapsed="false">
      <c r="D20" s="100" t="s">
        <v>21</v>
      </c>
      <c r="F20" s="110" t="n">
        <v>11052</v>
      </c>
      <c r="G20" s="110" t="n">
        <v>20135</v>
      </c>
      <c r="H20" s="110" t="n">
        <v>6573</v>
      </c>
      <c r="I20" s="110" t="n">
        <v>4087</v>
      </c>
      <c r="J20" s="110" t="n">
        <v>5039</v>
      </c>
      <c r="K20" s="110" t="n">
        <v>3337</v>
      </c>
      <c r="L20" s="110" t="n">
        <v>7681</v>
      </c>
      <c r="M20" s="110" t="n">
        <v>2970</v>
      </c>
      <c r="N20" s="110" t="n">
        <v>4181</v>
      </c>
      <c r="O20" s="110" t="n">
        <v>6298</v>
      </c>
      <c r="P20" s="110" t="n">
        <v>8607</v>
      </c>
      <c r="Q20" s="110" t="n">
        <v>4120</v>
      </c>
      <c r="R20" s="110" t="n">
        <f aca="false">SUM(F20:Q20)</f>
        <v>84080</v>
      </c>
      <c r="T20" s="110"/>
    </row>
    <row r="21" customFormat="false" ht="15" hidden="false" customHeight="true" outlineLevel="0" collapsed="false">
      <c r="D21" s="100" t="s">
        <v>23</v>
      </c>
      <c r="F21" s="110" t="n">
        <v>0</v>
      </c>
      <c r="G21" s="110" t="n">
        <v>0</v>
      </c>
      <c r="H21" s="110" t="n">
        <v>6</v>
      </c>
      <c r="I21" s="110" t="n">
        <v>0</v>
      </c>
      <c r="J21" s="110" t="n">
        <v>0</v>
      </c>
      <c r="K21" s="110" t="n">
        <v>0</v>
      </c>
      <c r="L21" s="110" t="n">
        <v>35</v>
      </c>
      <c r="M21" s="110" t="n">
        <v>0</v>
      </c>
      <c r="N21" s="110" t="n">
        <v>448</v>
      </c>
      <c r="O21" s="110" t="n">
        <v>0</v>
      </c>
      <c r="P21" s="110" t="n">
        <v>7793</v>
      </c>
      <c r="Q21" s="110" t="n">
        <v>66</v>
      </c>
      <c r="R21" s="110" t="n">
        <f aca="false">SUM(F21:Q21)</f>
        <v>8348</v>
      </c>
      <c r="T21" s="110"/>
    </row>
    <row r="22" customFormat="false" ht="15" hidden="false" customHeight="true" outlineLevel="0" collapsed="false">
      <c r="D22" s="100" t="s">
        <v>24</v>
      </c>
      <c r="E22" s="31"/>
      <c r="F22" s="110" t="n">
        <v>1687.631</v>
      </c>
      <c r="G22" s="110" t="n">
        <v>2352.305</v>
      </c>
      <c r="H22" s="110" t="n">
        <v>2546.659</v>
      </c>
      <c r="I22" s="110" t="n">
        <v>2737.665</v>
      </c>
      <c r="J22" s="110" t="n">
        <v>2667.277</v>
      </c>
      <c r="K22" s="110" t="n">
        <v>3311.387</v>
      </c>
      <c r="L22" s="110" t="n">
        <v>2611.423</v>
      </c>
      <c r="M22" s="110" t="n">
        <v>1942.411</v>
      </c>
      <c r="N22" s="110" t="n">
        <v>1697.466</v>
      </c>
      <c r="O22" s="110" t="n">
        <v>2837.191</v>
      </c>
      <c r="P22" s="110" t="n">
        <v>2447.038</v>
      </c>
      <c r="Q22" s="110" t="n">
        <v>2232.179</v>
      </c>
      <c r="R22" s="110" t="n">
        <f aca="false">SUM(F22:Q22)</f>
        <v>29070.632</v>
      </c>
      <c r="T22" s="110"/>
    </row>
    <row r="23" customFormat="false" ht="15" hidden="false" customHeight="true" outlineLevel="0" collapsed="false">
      <c r="D23" s="100" t="s">
        <v>112</v>
      </c>
      <c r="F23" s="110" t="n">
        <v>1962</v>
      </c>
      <c r="G23" s="110" t="n">
        <v>2735</v>
      </c>
      <c r="H23" s="110" t="n">
        <v>1995</v>
      </c>
      <c r="I23" s="110" t="n">
        <v>1715</v>
      </c>
      <c r="J23" s="110" t="n">
        <v>2214</v>
      </c>
      <c r="K23" s="110" t="n">
        <v>2185</v>
      </c>
      <c r="L23" s="110" t="n">
        <v>2539</v>
      </c>
      <c r="M23" s="110" t="n">
        <v>2100</v>
      </c>
      <c r="N23" s="110" t="n">
        <v>2234</v>
      </c>
      <c r="O23" s="110" t="n">
        <v>4463</v>
      </c>
      <c r="P23" s="110" t="n">
        <v>1875</v>
      </c>
      <c r="Q23" s="110" t="n">
        <v>1776</v>
      </c>
      <c r="R23" s="110" t="n">
        <f aca="false">SUM(F23:Q23)</f>
        <v>27793</v>
      </c>
    </row>
    <row r="24" customFormat="false" ht="15" hidden="false" customHeight="true" outlineLevel="0" collapsed="false">
      <c r="D24" s="100" t="s">
        <v>105</v>
      </c>
      <c r="F24" s="110" t="n">
        <f aca="false">7243-F22-F23</f>
        <v>3593.369</v>
      </c>
      <c r="G24" s="110" t="n">
        <f aca="false">6639-G22-G23</f>
        <v>1551.695</v>
      </c>
      <c r="H24" s="110" t="n">
        <f aca="false">7029-H22-H23</f>
        <v>2487.341</v>
      </c>
      <c r="I24" s="110" t="n">
        <f aca="false">6620-I22-I23</f>
        <v>2167.335</v>
      </c>
      <c r="J24" s="110" t="n">
        <f aca="false">4972-J22-J23</f>
        <v>90.723</v>
      </c>
      <c r="K24" s="110" t="n">
        <f aca="false">6207-K22-K23</f>
        <v>710.613</v>
      </c>
      <c r="L24" s="110" t="n">
        <f aca="false">6593-L22-L23</f>
        <v>1442.577</v>
      </c>
      <c r="M24" s="110" t="n">
        <f aca="false">5981-M22-M23</f>
        <v>1938.589</v>
      </c>
      <c r="N24" s="110" t="n">
        <f aca="false">5263-N22-N23</f>
        <v>1331.534</v>
      </c>
      <c r="O24" s="110" t="n">
        <f aca="false">13260-O22-O23</f>
        <v>5959.809</v>
      </c>
      <c r="P24" s="110" t="n">
        <f aca="false">3653-P22-P23</f>
        <v>-669.038</v>
      </c>
      <c r="Q24" s="110" t="n">
        <f aca="false">7864-Q22-Q23</f>
        <v>3855.821</v>
      </c>
      <c r="R24" s="110" t="n">
        <f aca="false">SUM(F24:Q24)</f>
        <v>24460.368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27</v>
      </c>
      <c r="G26" s="110" t="n">
        <v>11</v>
      </c>
      <c r="H26" s="110" t="n">
        <v>0</v>
      </c>
      <c r="I26" s="110" t="n">
        <v>1</v>
      </c>
      <c r="J26" s="110" t="n">
        <v>18</v>
      </c>
      <c r="K26" s="110" t="n">
        <v>9</v>
      </c>
      <c r="L26" s="110" t="n">
        <v>1</v>
      </c>
      <c r="M26" s="110" t="n">
        <v>11</v>
      </c>
      <c r="N26" s="110" t="n">
        <v>0</v>
      </c>
      <c r="O26" s="110" t="n">
        <v>0</v>
      </c>
      <c r="P26" s="110" t="n">
        <v>13</v>
      </c>
      <c r="Q26" s="110" t="n">
        <v>8</v>
      </c>
      <c r="R26" s="110" t="n">
        <v>99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142297.179</v>
      </c>
      <c r="G28" s="108" t="n">
        <f aca="false">SUM(G30:G36)</f>
        <v>108533.574</v>
      </c>
      <c r="H28" s="108" t="n">
        <f aca="false">SUM(H30:H36)</f>
        <v>144052.785</v>
      </c>
      <c r="I28" s="108" t="n">
        <f aca="false">SUM(I30:I36)</f>
        <v>122243.832</v>
      </c>
      <c r="J28" s="108" t="n">
        <f aca="false">SUM(J30:J36)</f>
        <v>151262.263</v>
      </c>
      <c r="K28" s="108" t="n">
        <f aca="false">SUM(K30:K36)</f>
        <v>126914.462</v>
      </c>
      <c r="L28" s="108" t="n">
        <f aca="false">SUM(L30:L36)</f>
        <v>162557.868</v>
      </c>
      <c r="M28" s="108" t="n">
        <f aca="false">SUM(M30:M36)</f>
        <v>126885.426</v>
      </c>
      <c r="N28" s="108" t="n">
        <f aca="false">SUM(N30:N36)</f>
        <v>138142.68</v>
      </c>
      <c r="O28" s="108" t="n">
        <f aca="false">SUM(O30:O36)</f>
        <v>145983.825</v>
      </c>
      <c r="P28" s="108" t="n">
        <f aca="false">SUM(P30:P36)</f>
        <v>166782.739</v>
      </c>
      <c r="Q28" s="108" t="n">
        <f aca="false">SUM(Q30:Q36)</f>
        <v>242101.979</v>
      </c>
      <c r="R28" s="108" t="n">
        <f aca="false">SUM(F28:Q28)</f>
        <v>1777758.612</v>
      </c>
      <c r="S28" s="110" t="n">
        <f aca="false">SUM(G28:Q28)</f>
        <v>1635461.433</v>
      </c>
      <c r="T28" s="110"/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23565</v>
      </c>
      <c r="G30" s="110" t="n">
        <v>24002</v>
      </c>
      <c r="H30" s="110" t="n">
        <v>23439</v>
      </c>
      <c r="I30" s="110" t="n">
        <v>23254</v>
      </c>
      <c r="J30" s="110" t="n">
        <v>28550</v>
      </c>
      <c r="K30" s="110" t="n">
        <v>26578</v>
      </c>
      <c r="L30" s="110" t="n">
        <v>25522</v>
      </c>
      <c r="M30" s="110" t="n">
        <v>23915</v>
      </c>
      <c r="N30" s="110" t="n">
        <v>24613</v>
      </c>
      <c r="O30" s="110" t="n">
        <v>25899</v>
      </c>
      <c r="P30" s="110" t="n">
        <v>24209</v>
      </c>
      <c r="Q30" s="110" t="n">
        <v>24776</v>
      </c>
      <c r="R30" s="110" t="n">
        <f aca="false">SUM(F30:Q30)</f>
        <v>298322</v>
      </c>
    </row>
    <row r="31" customFormat="false" ht="15" hidden="false" customHeight="true" outlineLevel="0" collapsed="false">
      <c r="D31" s="100" t="s">
        <v>29</v>
      </c>
      <c r="F31" s="110" t="n">
        <v>50280</v>
      </c>
      <c r="G31" s="110" t="n">
        <v>20571</v>
      </c>
      <c r="H31" s="110" t="n">
        <v>27638</v>
      </c>
      <c r="I31" s="110" t="n">
        <v>16138</v>
      </c>
      <c r="J31" s="110" t="n">
        <v>16362</v>
      </c>
      <c r="K31" s="110" t="n">
        <v>19021</v>
      </c>
      <c r="L31" s="110" t="n">
        <v>51289</v>
      </c>
      <c r="M31" s="110" t="n">
        <v>19816</v>
      </c>
      <c r="N31" s="110" t="n">
        <v>24134</v>
      </c>
      <c r="O31" s="110" t="n">
        <v>21440</v>
      </c>
      <c r="P31" s="110" t="n">
        <v>15648</v>
      </c>
      <c r="Q31" s="110" t="n">
        <v>30461.988</v>
      </c>
      <c r="R31" s="110" t="n">
        <f aca="false">SUM(F31:Q31)</f>
        <v>312798.988</v>
      </c>
    </row>
    <row r="32" customFormat="false" ht="15" hidden="false" customHeight="true" outlineLevel="0" collapsed="false">
      <c r="D32" s="100" t="s">
        <v>30</v>
      </c>
      <c r="F32" s="110" t="n">
        <v>32</v>
      </c>
      <c r="G32" s="110" t="n">
        <v>410</v>
      </c>
      <c r="H32" s="110" t="n">
        <v>7795</v>
      </c>
      <c r="I32" s="110" t="n">
        <v>3115</v>
      </c>
      <c r="J32" s="110" t="n">
        <v>621</v>
      </c>
      <c r="K32" s="110" t="n">
        <v>5285</v>
      </c>
      <c r="L32" s="110" t="n">
        <v>2849</v>
      </c>
      <c r="M32" s="110" t="n">
        <v>577</v>
      </c>
      <c r="N32" s="110" t="n">
        <v>1076</v>
      </c>
      <c r="O32" s="110" t="n">
        <v>2730</v>
      </c>
      <c r="P32" s="110" t="n">
        <v>2652</v>
      </c>
      <c r="Q32" s="110" t="n">
        <v>10936</v>
      </c>
      <c r="R32" s="110" t="n">
        <f aca="false">SUM(F32:Q32)</f>
        <v>38078</v>
      </c>
    </row>
    <row r="33" customFormat="false" ht="15" hidden="false" customHeight="true" outlineLevel="0" collapsed="false">
      <c r="D33" s="100" t="s">
        <v>77</v>
      </c>
      <c r="F33" s="110" t="n">
        <v>441.179</v>
      </c>
      <c r="G33" s="110" t="n">
        <v>1093.574</v>
      </c>
      <c r="H33" s="110" t="n">
        <v>4096.785</v>
      </c>
      <c r="I33" s="110" t="n">
        <v>2801.832</v>
      </c>
      <c r="J33" s="110" t="n">
        <v>3520.263</v>
      </c>
      <c r="K33" s="110" t="n">
        <v>820.187</v>
      </c>
      <c r="L33" s="110" t="n">
        <v>1228.868</v>
      </c>
      <c r="M33" s="110" t="n">
        <v>1367.426</v>
      </c>
      <c r="N33" s="110" t="n">
        <v>3096.337</v>
      </c>
      <c r="O33" s="110" t="n">
        <v>2014.825</v>
      </c>
      <c r="P33" s="110" t="n">
        <v>6190.345</v>
      </c>
      <c r="Q33" s="110" t="n">
        <v>15965.425</v>
      </c>
      <c r="R33" s="110" t="n">
        <f aca="false">SUM(F33:Q33)</f>
        <v>42637.046</v>
      </c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0</v>
      </c>
      <c r="H34" s="110" t="n">
        <v>0</v>
      </c>
      <c r="I34" s="110" t="n">
        <v>0</v>
      </c>
      <c r="J34" s="110" t="n">
        <v>900</v>
      </c>
      <c r="K34" s="110" t="n">
        <v>0</v>
      </c>
      <c r="L34" s="110" t="n">
        <v>0</v>
      </c>
      <c r="M34" s="110" t="n">
        <v>0</v>
      </c>
      <c r="N34" s="110" t="n">
        <v>0</v>
      </c>
      <c r="O34" s="110" t="n">
        <v>143</v>
      </c>
      <c r="P34" s="110" t="n">
        <v>127</v>
      </c>
      <c r="Q34" s="110" t="n">
        <v>20170</v>
      </c>
      <c r="R34" s="110" t="n">
        <f aca="false">SUM(F34:Q34)</f>
        <v>21340</v>
      </c>
    </row>
    <row r="35" customFormat="false" ht="15" hidden="false" customHeight="true" outlineLevel="0" collapsed="false">
      <c r="D35" s="100" t="s">
        <v>78</v>
      </c>
      <c r="F35" s="110" t="n">
        <v>1244</v>
      </c>
      <c r="G35" s="110" t="n">
        <v>241</v>
      </c>
      <c r="H35" s="110" t="n">
        <v>1677</v>
      </c>
      <c r="I35" s="110" t="n">
        <v>811</v>
      </c>
      <c r="J35" s="110" t="n">
        <v>3904</v>
      </c>
      <c r="K35" s="110" t="n">
        <v>3742.275</v>
      </c>
      <c r="L35" s="110" t="n">
        <v>2254</v>
      </c>
      <c r="M35" s="110" t="n">
        <v>578</v>
      </c>
      <c r="N35" s="110" t="n">
        <v>7580.343</v>
      </c>
      <c r="O35" s="110" t="n">
        <v>5907</v>
      </c>
      <c r="P35" s="110" t="n">
        <v>817.394</v>
      </c>
      <c r="Q35" s="110" t="n">
        <v>-1335.434</v>
      </c>
      <c r="R35" s="110" t="n">
        <f aca="false">SUM(F35:Q35)</f>
        <v>27420.578</v>
      </c>
    </row>
    <row r="36" customFormat="false" ht="15" hidden="false" customHeight="true" outlineLevel="0" collapsed="false">
      <c r="D36" s="1" t="s">
        <v>79</v>
      </c>
      <c r="F36" s="110" t="n">
        <v>66735</v>
      </c>
      <c r="G36" s="110" t="n">
        <v>62216</v>
      </c>
      <c r="H36" s="110" t="n">
        <v>79407</v>
      </c>
      <c r="I36" s="110" t="n">
        <v>76124</v>
      </c>
      <c r="J36" s="110" t="n">
        <v>97405</v>
      </c>
      <c r="K36" s="110" t="n">
        <v>71468</v>
      </c>
      <c r="L36" s="110" t="n">
        <v>79415</v>
      </c>
      <c r="M36" s="110" t="n">
        <v>80632</v>
      </c>
      <c r="N36" s="110" t="n">
        <v>77643</v>
      </c>
      <c r="O36" s="110" t="n">
        <v>87850</v>
      </c>
      <c r="P36" s="110" t="n">
        <v>117139</v>
      </c>
      <c r="Q36" s="110" t="n">
        <v>141128</v>
      </c>
      <c r="R36" s="110" t="n">
        <f aca="false">SUM(F36:Q36)</f>
        <v>1037162</v>
      </c>
      <c r="T36" s="110"/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-15943.179</v>
      </c>
      <c r="G38" s="112" t="n">
        <f aca="false">+G8-G28</f>
        <v>10655.426</v>
      </c>
      <c r="H38" s="112" t="n">
        <f aca="false">+H8-H28</f>
        <v>-28621.785</v>
      </c>
      <c r="I38" s="112" t="n">
        <f aca="false">+I8-I28</f>
        <v>31024.168</v>
      </c>
      <c r="J38" s="112" t="n">
        <f aca="false">+J8-J28</f>
        <v>-19859.263</v>
      </c>
      <c r="K38" s="112" t="n">
        <f aca="false">+K8-K28</f>
        <v>-11638.462</v>
      </c>
      <c r="L38" s="112" t="n">
        <f aca="false">+L8-L28</f>
        <v>-39248.868</v>
      </c>
      <c r="M38" s="112" t="n">
        <f aca="false">+M8-M28</f>
        <v>2522.57399999999</v>
      </c>
      <c r="N38" s="112" t="n">
        <f aca="false">+N8-N28</f>
        <v>-32833.68</v>
      </c>
      <c r="O38" s="112" t="n">
        <f aca="false">+O8-O28</f>
        <v>-11663.825</v>
      </c>
      <c r="P38" s="112" t="n">
        <f aca="false">+P8-P28</f>
        <v>-11474.739</v>
      </c>
      <c r="Q38" s="112" t="n">
        <f aca="false">+Q8-Q28</f>
        <v>-115744.979</v>
      </c>
      <c r="R38" s="112" t="n">
        <f aca="false">SUM(F38:Q38)</f>
        <v>-242826.612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-2415</v>
      </c>
      <c r="G40" s="108" t="n">
        <v>13612</v>
      </c>
      <c r="H40" s="108" t="n">
        <v>151273</v>
      </c>
      <c r="I40" s="108" t="n">
        <v>-68</v>
      </c>
      <c r="J40" s="108" t="n">
        <v>9243</v>
      </c>
      <c r="K40" s="108" t="n">
        <v>3037</v>
      </c>
      <c r="L40" s="108" t="n">
        <v>38043</v>
      </c>
      <c r="M40" s="108" t="n">
        <v>6713</v>
      </c>
      <c r="N40" s="108" t="n">
        <v>46463</v>
      </c>
      <c r="O40" s="108" t="n">
        <v>178554</v>
      </c>
      <c r="P40" s="108" t="n">
        <v>32580</v>
      </c>
      <c r="Q40" s="108" t="n">
        <v>61137</v>
      </c>
      <c r="R40" s="108" t="n">
        <v>538172</v>
      </c>
    </row>
    <row r="41" customFormat="false" ht="15" hidden="false" customHeight="true" outlineLevel="0" collapsed="false">
      <c r="C41" s="100" t="s">
        <v>37</v>
      </c>
      <c r="F41" s="109" t="n">
        <v>65206</v>
      </c>
      <c r="G41" s="109" t="n">
        <v>7074</v>
      </c>
      <c r="H41" s="109" t="n">
        <v>-5462</v>
      </c>
      <c r="I41" s="109" t="n">
        <v>-1932</v>
      </c>
      <c r="J41" s="109" t="n">
        <v>5358</v>
      </c>
      <c r="K41" s="109" t="n">
        <v>-9098</v>
      </c>
      <c r="L41" s="109" t="n">
        <v>387</v>
      </c>
      <c r="M41" s="109" t="n">
        <v>-5504</v>
      </c>
      <c r="N41" s="109" t="n">
        <v>-5235</v>
      </c>
      <c r="O41" s="109" t="n">
        <v>-733</v>
      </c>
      <c r="P41" s="109" t="n">
        <v>11251</v>
      </c>
      <c r="Q41" s="109" t="n">
        <v>8734</v>
      </c>
      <c r="R41" s="109" t="n">
        <v>70046</v>
      </c>
    </row>
    <row r="42" customFormat="false" ht="15" hidden="false" customHeight="true" outlineLevel="0" collapsed="false">
      <c r="D42" s="100" t="s">
        <v>38</v>
      </c>
      <c r="F42" s="110" t="n">
        <v>66733</v>
      </c>
      <c r="G42" s="110" t="n">
        <v>14705</v>
      </c>
      <c r="H42" s="110" t="n">
        <v>1629</v>
      </c>
      <c r="I42" s="110" t="n">
        <v>647</v>
      </c>
      <c r="J42" s="110" t="n">
        <v>11529</v>
      </c>
      <c r="K42" s="110" t="n">
        <v>-3295</v>
      </c>
      <c r="L42" s="110" t="n">
        <v>1816</v>
      </c>
      <c r="M42" s="110" t="n">
        <v>2062</v>
      </c>
      <c r="N42" s="110" t="n">
        <v>1607</v>
      </c>
      <c r="O42" s="110" t="n">
        <v>1991</v>
      </c>
      <c r="P42" s="110" t="n">
        <v>16916</v>
      </c>
      <c r="Q42" s="110" t="n">
        <v>40280</v>
      </c>
      <c r="R42" s="110" t="n">
        <v>156620</v>
      </c>
    </row>
    <row r="43" customFormat="false" ht="15" hidden="false" customHeight="true" outlineLevel="0" collapsed="false">
      <c r="D43" s="100" t="s">
        <v>97</v>
      </c>
      <c r="F43" s="110" t="n">
        <v>1527</v>
      </c>
      <c r="G43" s="110" t="n">
        <v>7631</v>
      </c>
      <c r="H43" s="110" t="n">
        <v>7091</v>
      </c>
      <c r="I43" s="110" t="n">
        <v>2579</v>
      </c>
      <c r="J43" s="110" t="n">
        <v>6171</v>
      </c>
      <c r="K43" s="110" t="n">
        <v>5803</v>
      </c>
      <c r="L43" s="110" t="n">
        <v>1429</v>
      </c>
      <c r="M43" s="110" t="n">
        <v>7566</v>
      </c>
      <c r="N43" s="110" t="n">
        <v>6842</v>
      </c>
      <c r="O43" s="110" t="n">
        <v>2724</v>
      </c>
      <c r="P43" s="110" t="n">
        <v>5665</v>
      </c>
      <c r="Q43" s="110" t="n">
        <v>31546</v>
      </c>
      <c r="R43" s="110" t="n">
        <v>86574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-67621</v>
      </c>
      <c r="G45" s="109" t="n">
        <v>6538</v>
      </c>
      <c r="H45" s="109" t="n">
        <v>156735</v>
      </c>
      <c r="I45" s="109" t="n">
        <v>1864</v>
      </c>
      <c r="J45" s="109" t="n">
        <v>3885</v>
      </c>
      <c r="K45" s="109" t="n">
        <v>12135</v>
      </c>
      <c r="L45" s="109" t="n">
        <v>37656</v>
      </c>
      <c r="M45" s="109" t="n">
        <v>12217</v>
      </c>
      <c r="N45" s="109" t="n">
        <v>51698</v>
      </c>
      <c r="O45" s="109" t="n">
        <v>179287</v>
      </c>
      <c r="P45" s="109" t="n">
        <v>21329</v>
      </c>
      <c r="Q45" s="109" t="n">
        <v>52403</v>
      </c>
      <c r="R45" s="109" t="n">
        <v>468126</v>
      </c>
    </row>
    <row r="46" customFormat="false" ht="15" hidden="false" customHeight="true" outlineLevel="0" collapsed="false">
      <c r="D46" s="100" t="s">
        <v>41</v>
      </c>
      <c r="F46" s="110" t="n">
        <v>15278</v>
      </c>
      <c r="G46" s="110" t="n">
        <v>38775</v>
      </c>
      <c r="H46" s="110" t="n">
        <v>188102</v>
      </c>
      <c r="I46" s="110" t="n">
        <v>21720</v>
      </c>
      <c r="J46" s="110" t="n">
        <v>18730</v>
      </c>
      <c r="K46" s="110" t="n">
        <v>12909</v>
      </c>
      <c r="L46" s="110" t="n">
        <v>67538</v>
      </c>
      <c r="M46" s="110" t="n">
        <v>51129</v>
      </c>
      <c r="N46" s="110" t="n">
        <v>89429</v>
      </c>
      <c r="O46" s="110" t="n">
        <v>196781</v>
      </c>
      <c r="P46" s="110" t="n">
        <v>35972</v>
      </c>
      <c r="Q46" s="110" t="n">
        <v>62164</v>
      </c>
      <c r="R46" s="110" t="n">
        <v>798527</v>
      </c>
    </row>
    <row r="47" customFormat="false" ht="15" hidden="false" customHeight="true" outlineLevel="0" collapsed="false">
      <c r="D47" s="100" t="s">
        <v>97</v>
      </c>
      <c r="F47" s="110" t="n">
        <v>82899</v>
      </c>
      <c r="G47" s="110" t="n">
        <v>32237</v>
      </c>
      <c r="H47" s="110" t="n">
        <v>31367</v>
      </c>
      <c r="I47" s="110" t="n">
        <v>19856</v>
      </c>
      <c r="J47" s="110" t="n">
        <v>14845</v>
      </c>
      <c r="K47" s="110" t="n">
        <v>774</v>
      </c>
      <c r="L47" s="110" t="n">
        <v>29882</v>
      </c>
      <c r="M47" s="110" t="n">
        <v>38912</v>
      </c>
      <c r="N47" s="110" t="n">
        <v>37731</v>
      </c>
      <c r="O47" s="110" t="n">
        <v>17494</v>
      </c>
      <c r="P47" s="110" t="n">
        <v>14643</v>
      </c>
      <c r="Q47" s="110" t="n">
        <v>9761</v>
      </c>
      <c r="R47" s="110" t="n">
        <v>330401</v>
      </c>
    </row>
    <row r="48" customFormat="false" ht="1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customFormat="false" ht="15" hidden="false" customHeight="true" outlineLevel="0" collapsed="false">
      <c r="B49" s="107" t="s">
        <v>45</v>
      </c>
      <c r="C49" s="107"/>
      <c r="D49" s="107"/>
      <c r="E49" s="107"/>
      <c r="F49" s="108" t="n">
        <v>22237</v>
      </c>
      <c r="G49" s="108" t="n">
        <v>-21188</v>
      </c>
      <c r="H49" s="108" t="n">
        <v>163636</v>
      </c>
      <c r="I49" s="108" t="n">
        <v>23134</v>
      </c>
      <c r="J49" s="108" t="n">
        <v>-37881</v>
      </c>
      <c r="K49" s="108" t="n">
        <v>-9146</v>
      </c>
      <c r="L49" s="108" t="n">
        <v>-998</v>
      </c>
      <c r="M49" s="108" t="n">
        <v>-39538</v>
      </c>
      <c r="N49" s="108" t="n">
        <v>-4943</v>
      </c>
      <c r="O49" s="108" t="n">
        <v>235336</v>
      </c>
      <c r="P49" s="108" t="n">
        <v>10422</v>
      </c>
      <c r="Q49" s="108" t="n">
        <v>-49286</v>
      </c>
      <c r="R49" s="108" t="n">
        <v>291785</v>
      </c>
    </row>
    <row r="50" customFormat="false" ht="14.25" hidden="false" customHeight="false" outlineLevel="0" collapsed="false">
      <c r="F50" s="110"/>
      <c r="G50" s="110"/>
      <c r="H50" s="110"/>
      <c r="I50" s="110"/>
    </row>
    <row r="51" customFormat="false" ht="15" hidden="false" customHeight="false" outlineLevel="0" collapsed="false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</row>
    <row r="52" customFormat="false" ht="15" hidden="false" customHeight="false" outlineLevel="0" collapsed="false">
      <c r="B52" s="103" t="s">
        <v>46</v>
      </c>
    </row>
    <row r="53" customFormat="false" ht="14.25" hidden="false" customHeight="false" outlineLevel="0" collapsed="false">
      <c r="B53" s="103"/>
      <c r="C53" s="31" t="s">
        <v>98</v>
      </c>
    </row>
    <row r="54" customFormat="false" ht="14.25" hidden="false" customHeight="false" outlineLevel="0" collapsed="false">
      <c r="B54" s="31"/>
      <c r="C54" s="31" t="s">
        <v>99</v>
      </c>
    </row>
    <row r="57" customFormat="false" ht="14.25" hidden="false" customHeight="false" outlineLevel="0" collapsed="false">
      <c r="B57" s="31" t="s">
        <v>51</v>
      </c>
    </row>
    <row r="58" customFormat="false" ht="14.25" hidden="false" customHeight="false" outlineLevel="0" collapsed="false">
      <c r="B58" s="31" t="s">
        <v>106</v>
      </c>
    </row>
  </sheetData>
  <mergeCells count="2">
    <mergeCell ref="A4:E4"/>
    <mergeCell ref="A6:E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T47" activeCellId="0" sqref="T47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57"/>
    <col collapsed="false" customWidth="true" hidden="false" outlineLevel="0" max="2" min="2" style="100" width="2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33.42"/>
    <col collapsed="false" customWidth="true" hidden="false" outlineLevel="0" max="16" min="6" style="100" width="9.42"/>
    <col collapsed="false" customWidth="true" hidden="false" outlineLevel="0" max="17" min="17" style="100" width="10"/>
    <col collapsed="false" customWidth="true" hidden="false" outlineLevel="0" max="18" min="18" style="100" width="10.99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customFormat="false" ht="15" hidden="false" customHeight="false" outlineLevel="0" collapsed="false">
      <c r="A2" s="101" t="s">
        <v>111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</row>
    <row r="4" customFormat="false" ht="14.25" hidden="false" customHeight="false" outlineLevel="0" collapsed="false">
      <c r="A4" s="125" t="s">
        <v>3</v>
      </c>
      <c r="B4" s="125"/>
      <c r="C4" s="125"/>
      <c r="D4" s="125"/>
      <c r="E4" s="125"/>
      <c r="F4" s="110"/>
    </row>
    <row r="5" customFormat="false" ht="6" hidden="false" customHeight="true" outlineLevel="0" collapsed="false"/>
    <row r="6" customFormat="false" ht="20.25" hidden="false" customHeight="true" outlineLevel="0" collapsed="false">
      <c r="A6" s="126" t="s">
        <v>4</v>
      </c>
      <c r="B6" s="126"/>
      <c r="C6" s="126"/>
      <c r="D6" s="126"/>
      <c r="E6" s="126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29"/>
    </row>
    <row r="7" customFormat="false" ht="15" hidden="false" customHeight="true" outlineLevel="0" collapsed="false">
      <c r="O7" s="110"/>
      <c r="R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126354</v>
      </c>
      <c r="G8" s="108" t="n">
        <f aca="false">G9+G19+G26</f>
        <v>119189</v>
      </c>
      <c r="H8" s="108" t="n">
        <f aca="false">H9+H19+H26</f>
        <v>115431</v>
      </c>
      <c r="I8" s="108" t="n">
        <f aca="false">I9+I19+I26</f>
        <v>153268</v>
      </c>
      <c r="J8" s="108" t="n">
        <f aca="false">J9+J19+J26</f>
        <v>131403</v>
      </c>
      <c r="K8" s="108" t="n">
        <f aca="false">K9+K19+K26</f>
        <v>115276</v>
      </c>
      <c r="L8" s="108" t="n">
        <f aca="false">L9+L19+L26</f>
        <v>123309</v>
      </c>
      <c r="M8" s="108" t="n">
        <f aca="false">M9+M19+M26</f>
        <v>129408</v>
      </c>
      <c r="N8" s="108" t="n">
        <f aca="false">N9+N19+N26</f>
        <v>105309</v>
      </c>
      <c r="O8" s="108" t="n">
        <f aca="false">O9+O19+O26</f>
        <v>134320</v>
      </c>
      <c r="P8" s="108" t="n">
        <f aca="false">P9+P19+P26</f>
        <v>155308</v>
      </c>
      <c r="Q8" s="108" t="n">
        <f aca="false">Q9+Q19+Q26</f>
        <v>126357</v>
      </c>
      <c r="R8" s="108" t="n">
        <f aca="false">R9+R19+R26</f>
        <v>1534932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108032</v>
      </c>
      <c r="G9" s="109" t="n">
        <f aca="false">G10+G14+G17</f>
        <v>92404</v>
      </c>
      <c r="H9" s="109" t="n">
        <f aca="false">H10+H14+H17</f>
        <v>101823</v>
      </c>
      <c r="I9" s="109" t="n">
        <f aca="false">I10+I14+I17</f>
        <v>142560</v>
      </c>
      <c r="J9" s="109" t="n">
        <f aca="false">J10+J14+J17</f>
        <v>121374</v>
      </c>
      <c r="K9" s="109" t="n">
        <f aca="false">K10+K14+K17</f>
        <v>105723</v>
      </c>
      <c r="L9" s="109" t="n">
        <f aca="false">L10+L14+L17</f>
        <v>108999</v>
      </c>
      <c r="M9" s="109" t="n">
        <f aca="false">M10+M14+M17</f>
        <v>120446</v>
      </c>
      <c r="N9" s="109" t="n">
        <f aca="false">N10+N14+N17</f>
        <v>95417</v>
      </c>
      <c r="O9" s="109" t="n">
        <f aca="false">O10+O14+O17</f>
        <v>114762</v>
      </c>
      <c r="P9" s="109" t="n">
        <f aca="false">P10+P14+P17</f>
        <v>135242</v>
      </c>
      <c r="Q9" s="109" t="n">
        <f aca="false">Q10+Q14+Q17</f>
        <v>114299</v>
      </c>
      <c r="R9" s="109" t="n">
        <f aca="false">R10+R14+R17</f>
        <v>1361081</v>
      </c>
    </row>
    <row r="10" customFormat="false" ht="15" hidden="false" customHeight="true" outlineLevel="0" collapsed="false">
      <c r="D10" s="100" t="s">
        <v>14</v>
      </c>
      <c r="F10" s="110" t="n">
        <v>85147</v>
      </c>
      <c r="G10" s="110" t="n">
        <v>68694</v>
      </c>
      <c r="H10" s="110" t="n">
        <v>75203</v>
      </c>
      <c r="I10" s="110" t="n">
        <v>116221</v>
      </c>
      <c r="J10" s="110" t="n">
        <v>94551</v>
      </c>
      <c r="K10" s="110" t="n">
        <v>81343</v>
      </c>
      <c r="L10" s="110" t="n">
        <v>83517</v>
      </c>
      <c r="M10" s="110" t="n">
        <v>96756</v>
      </c>
      <c r="N10" s="110" t="n">
        <v>71036</v>
      </c>
      <c r="O10" s="110" t="n">
        <v>86105</v>
      </c>
      <c r="P10" s="110" t="n">
        <v>110767</v>
      </c>
      <c r="Q10" s="110" t="n">
        <v>88576</v>
      </c>
      <c r="R10" s="110" t="n">
        <f aca="false">SUM(F10:Q10)</f>
        <v>1057916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243</v>
      </c>
      <c r="H12" s="110" t="n">
        <v>734</v>
      </c>
      <c r="I12" s="110" t="n">
        <v>1084</v>
      </c>
      <c r="J12" s="110" t="n">
        <v>207</v>
      </c>
      <c r="K12" s="110" t="n">
        <v>170</v>
      </c>
      <c r="L12" s="110" t="n">
        <v>216</v>
      </c>
      <c r="M12" s="110" t="n">
        <v>0</v>
      </c>
      <c r="N12" s="110" t="n">
        <v>901</v>
      </c>
      <c r="O12" s="110" t="n">
        <v>578</v>
      </c>
      <c r="P12" s="110" t="n">
        <v>1030</v>
      </c>
      <c r="Q12" s="110" t="n">
        <v>634</v>
      </c>
      <c r="R12" s="110" t="n">
        <f aca="false">SUM(F12:Q12)</f>
        <v>5797</v>
      </c>
    </row>
    <row r="13" customFormat="false" ht="15" hidden="false" customHeight="true" outlineLevel="0" collapsed="false">
      <c r="E13" s="100" t="s">
        <v>17</v>
      </c>
      <c r="F13" s="110" t="n">
        <v>32</v>
      </c>
      <c r="G13" s="110" t="n">
        <v>0</v>
      </c>
      <c r="H13" s="110" t="n">
        <v>6656</v>
      </c>
      <c r="I13" s="110" t="n">
        <v>2026</v>
      </c>
      <c r="J13" s="110" t="n">
        <v>338</v>
      </c>
      <c r="K13" s="110" t="n">
        <v>5080</v>
      </c>
      <c r="L13" s="110" t="n">
        <v>2146</v>
      </c>
      <c r="M13" s="110" t="n">
        <v>26</v>
      </c>
      <c r="N13" s="110" t="n">
        <v>175</v>
      </c>
      <c r="O13" s="110" t="n">
        <v>2015</v>
      </c>
      <c r="P13" s="110" t="n">
        <v>1584</v>
      </c>
      <c r="Q13" s="110" t="n">
        <v>4719</v>
      </c>
      <c r="R13" s="110" t="n">
        <f aca="false">SUM(F13:Q13)</f>
        <v>24797</v>
      </c>
    </row>
    <row r="14" customFormat="false" ht="15" hidden="false" customHeight="true" outlineLevel="0" collapsed="false">
      <c r="D14" s="100" t="s">
        <v>18</v>
      </c>
      <c r="F14" s="110" t="n">
        <v>21990</v>
      </c>
      <c r="G14" s="110" t="n">
        <v>22433</v>
      </c>
      <c r="H14" s="110" t="n">
        <v>25106</v>
      </c>
      <c r="I14" s="110" t="n">
        <v>25367</v>
      </c>
      <c r="J14" s="110" t="n">
        <v>25230</v>
      </c>
      <c r="K14" s="110" t="n">
        <v>23299</v>
      </c>
      <c r="L14" s="110" t="n">
        <v>24391</v>
      </c>
      <c r="M14" s="110" t="n">
        <v>22632</v>
      </c>
      <c r="N14" s="110" t="n">
        <v>23208</v>
      </c>
      <c r="O14" s="110" t="n">
        <v>26934</v>
      </c>
      <c r="P14" s="110" t="n">
        <v>23749</v>
      </c>
      <c r="Q14" s="110" t="n">
        <v>25527</v>
      </c>
      <c r="R14" s="110" t="n">
        <f aca="false">SUM(F14:Q14)</f>
        <v>289866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167</v>
      </c>
      <c r="H16" s="110" t="n">
        <v>405</v>
      </c>
      <c r="I16" s="110" t="n">
        <v>5</v>
      </c>
      <c r="J16" s="110" t="n">
        <v>76</v>
      </c>
      <c r="K16" s="110" t="n">
        <v>35</v>
      </c>
      <c r="L16" s="110" t="n">
        <v>487</v>
      </c>
      <c r="M16" s="110" t="n">
        <v>551</v>
      </c>
      <c r="N16" s="110" t="n">
        <v>0</v>
      </c>
      <c r="O16" s="110" t="n">
        <v>137</v>
      </c>
      <c r="P16" s="110" t="n">
        <v>38</v>
      </c>
      <c r="Q16" s="110" t="n">
        <v>5583</v>
      </c>
      <c r="R16" s="110" t="n">
        <f aca="false">SUM(F16:Q16)</f>
        <v>7484</v>
      </c>
    </row>
    <row r="17" customFormat="false" ht="15" hidden="false" customHeight="true" outlineLevel="0" collapsed="false">
      <c r="D17" s="100" t="s">
        <v>105</v>
      </c>
      <c r="F17" s="110" t="n">
        <v>895</v>
      </c>
      <c r="G17" s="110" t="n">
        <v>1277</v>
      </c>
      <c r="H17" s="110" t="n">
        <v>1514</v>
      </c>
      <c r="I17" s="110" t="n">
        <v>972</v>
      </c>
      <c r="J17" s="110" t="n">
        <v>1593</v>
      </c>
      <c r="K17" s="110" t="n">
        <v>1081</v>
      </c>
      <c r="L17" s="110" t="n">
        <v>1091</v>
      </c>
      <c r="M17" s="110" t="n">
        <v>1058</v>
      </c>
      <c r="N17" s="110" t="n">
        <v>1173</v>
      </c>
      <c r="O17" s="110" t="n">
        <v>1723</v>
      </c>
      <c r="P17" s="110" t="n">
        <v>726</v>
      </c>
      <c r="Q17" s="110" t="n">
        <v>196</v>
      </c>
      <c r="R17" s="110" t="n">
        <f aca="false">SUM(F17:Q17)</f>
        <v>13299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18295</v>
      </c>
      <c r="G19" s="109" t="n">
        <f aca="false">SUM(G20:G24)</f>
        <v>26774</v>
      </c>
      <c r="H19" s="109" t="n">
        <f aca="false">SUM(H20:H24)</f>
        <v>13608</v>
      </c>
      <c r="I19" s="109" t="n">
        <f aca="false">SUM(I20:I24)</f>
        <v>10707</v>
      </c>
      <c r="J19" s="109" t="n">
        <f aca="false">SUM(J20:J24)</f>
        <v>10011</v>
      </c>
      <c r="K19" s="109" t="n">
        <f aca="false">SUM(K20:K24)</f>
        <v>9544</v>
      </c>
      <c r="L19" s="109" t="n">
        <f aca="false">SUM(L20:L24)</f>
        <v>14309</v>
      </c>
      <c r="M19" s="109" t="n">
        <f aca="false">SUM(M20:M24)</f>
        <v>8951</v>
      </c>
      <c r="N19" s="109" t="n">
        <f aca="false">SUM(N20:N24)</f>
        <v>9892</v>
      </c>
      <c r="O19" s="109" t="n">
        <f aca="false">SUM(O20:O24)</f>
        <v>19558</v>
      </c>
      <c r="P19" s="109" t="n">
        <f aca="false">SUM(P20:P24)</f>
        <v>20053</v>
      </c>
      <c r="Q19" s="109" t="n">
        <f aca="false">SUM(Q20:Q24)</f>
        <v>12050</v>
      </c>
      <c r="R19" s="109" t="n">
        <f aca="false">SUM(R20:R24)</f>
        <v>173752</v>
      </c>
      <c r="T19" s="110"/>
    </row>
    <row r="20" customFormat="false" ht="15" hidden="false" customHeight="true" outlineLevel="0" collapsed="false">
      <c r="D20" s="100" t="s">
        <v>21</v>
      </c>
      <c r="F20" s="110" t="n">
        <v>11052</v>
      </c>
      <c r="G20" s="110" t="n">
        <v>20135</v>
      </c>
      <c r="H20" s="110" t="n">
        <v>6573</v>
      </c>
      <c r="I20" s="110" t="n">
        <v>4087</v>
      </c>
      <c r="J20" s="110" t="n">
        <v>5039</v>
      </c>
      <c r="K20" s="110" t="n">
        <v>3337</v>
      </c>
      <c r="L20" s="110" t="n">
        <v>7681</v>
      </c>
      <c r="M20" s="110" t="n">
        <v>2970</v>
      </c>
      <c r="N20" s="110" t="n">
        <v>4181</v>
      </c>
      <c r="O20" s="110" t="n">
        <v>6298</v>
      </c>
      <c r="P20" s="110" t="n">
        <v>8607</v>
      </c>
      <c r="Q20" s="110" t="n">
        <v>4120</v>
      </c>
      <c r="R20" s="110" t="n">
        <f aca="false">SUM(F20:Q20)</f>
        <v>84080</v>
      </c>
    </row>
    <row r="21" customFormat="false" ht="15" hidden="false" customHeight="true" outlineLevel="0" collapsed="false">
      <c r="D21" s="100" t="s">
        <v>23</v>
      </c>
      <c r="F21" s="110" t="n">
        <v>0</v>
      </c>
      <c r="G21" s="110" t="n">
        <v>0</v>
      </c>
      <c r="H21" s="110" t="n">
        <v>6</v>
      </c>
      <c r="I21" s="110" t="n">
        <v>0</v>
      </c>
      <c r="J21" s="110" t="n">
        <v>0</v>
      </c>
      <c r="K21" s="110" t="n">
        <v>0</v>
      </c>
      <c r="L21" s="110" t="n">
        <v>35</v>
      </c>
      <c r="M21" s="110" t="n">
        <v>0</v>
      </c>
      <c r="N21" s="110" t="n">
        <v>448</v>
      </c>
      <c r="O21" s="110" t="n">
        <v>0</v>
      </c>
      <c r="P21" s="110" t="n">
        <v>7793</v>
      </c>
      <c r="Q21" s="110" t="n">
        <v>66</v>
      </c>
      <c r="R21" s="110" t="n">
        <f aca="false">SUM(F21:Q21)</f>
        <v>8348</v>
      </c>
      <c r="T21" s="110"/>
    </row>
    <row r="22" customFormat="false" ht="15" hidden="false" customHeight="true" outlineLevel="0" collapsed="false">
      <c r="D22" s="100" t="s">
        <v>24</v>
      </c>
      <c r="E22" s="31"/>
      <c r="F22" s="110" t="n">
        <v>1687.631</v>
      </c>
      <c r="G22" s="110" t="n">
        <v>2352.305</v>
      </c>
      <c r="H22" s="110" t="n">
        <v>2546.659</v>
      </c>
      <c r="I22" s="110" t="n">
        <v>2737.665</v>
      </c>
      <c r="J22" s="110" t="n">
        <v>2667.277</v>
      </c>
      <c r="K22" s="110" t="n">
        <v>3311.387</v>
      </c>
      <c r="L22" s="110" t="n">
        <v>2611.423</v>
      </c>
      <c r="M22" s="110" t="n">
        <v>1942.411</v>
      </c>
      <c r="N22" s="110" t="n">
        <v>1697.466</v>
      </c>
      <c r="O22" s="110" t="n">
        <v>2837.191</v>
      </c>
      <c r="P22" s="110" t="n">
        <v>2447.038</v>
      </c>
      <c r="Q22" s="110" t="n">
        <v>2232.179</v>
      </c>
      <c r="R22" s="110" t="n">
        <f aca="false">SUM(F22:Q22)</f>
        <v>29070.632</v>
      </c>
      <c r="T22" s="110"/>
    </row>
    <row r="23" customFormat="false" ht="15" hidden="false" customHeight="true" outlineLevel="0" collapsed="false">
      <c r="D23" s="100" t="s">
        <v>112</v>
      </c>
      <c r="F23" s="110" t="n">
        <v>1962</v>
      </c>
      <c r="G23" s="110" t="n">
        <v>2735</v>
      </c>
      <c r="H23" s="110" t="n">
        <v>1995</v>
      </c>
      <c r="I23" s="110" t="n">
        <v>1715</v>
      </c>
      <c r="J23" s="110" t="n">
        <v>2214</v>
      </c>
      <c r="K23" s="110" t="n">
        <v>2185</v>
      </c>
      <c r="L23" s="110" t="n">
        <v>2539</v>
      </c>
      <c r="M23" s="110" t="n">
        <v>2100</v>
      </c>
      <c r="N23" s="110" t="n">
        <v>2234</v>
      </c>
      <c r="O23" s="110" t="n">
        <v>4463</v>
      </c>
      <c r="P23" s="110" t="n">
        <v>1875</v>
      </c>
      <c r="Q23" s="110" t="n">
        <v>1776</v>
      </c>
      <c r="R23" s="110" t="n">
        <f aca="false">SUM(F23:Q23)</f>
        <v>27793</v>
      </c>
    </row>
    <row r="24" customFormat="false" ht="15" hidden="false" customHeight="true" outlineLevel="0" collapsed="false">
      <c r="D24" s="100" t="s">
        <v>105</v>
      </c>
      <c r="F24" s="110" t="n">
        <f aca="false">7243-F22-F23</f>
        <v>3593.369</v>
      </c>
      <c r="G24" s="110" t="n">
        <f aca="false">6639-G22-G23</f>
        <v>1551.695</v>
      </c>
      <c r="H24" s="110" t="n">
        <f aca="false">7029-H22-H23</f>
        <v>2487.341</v>
      </c>
      <c r="I24" s="110" t="n">
        <f aca="false">6620-I22-I23</f>
        <v>2167.335</v>
      </c>
      <c r="J24" s="110" t="n">
        <f aca="false">4972-J22-J23</f>
        <v>90.723</v>
      </c>
      <c r="K24" s="110" t="n">
        <f aca="false">6207-K22-K23</f>
        <v>710.613</v>
      </c>
      <c r="L24" s="110" t="n">
        <f aca="false">6593-L22-L23</f>
        <v>1442.577</v>
      </c>
      <c r="M24" s="110" t="n">
        <f aca="false">5981-M22-M23</f>
        <v>1938.589</v>
      </c>
      <c r="N24" s="110" t="n">
        <f aca="false">5263-N22-N23</f>
        <v>1331.534</v>
      </c>
      <c r="O24" s="110" t="n">
        <f aca="false">13260-O22-O23</f>
        <v>5959.809</v>
      </c>
      <c r="P24" s="110" t="n">
        <f aca="false">3653-P22-P23</f>
        <v>-669.038</v>
      </c>
      <c r="Q24" s="110" t="n">
        <f aca="false">7864-Q22-Q23</f>
        <v>3855.821</v>
      </c>
      <c r="R24" s="110" t="n">
        <f aca="false">SUM(F24:Q24)</f>
        <v>24460.368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 t="s">
        <v>59</v>
      </c>
    </row>
    <row r="26" customFormat="false" ht="15" hidden="false" customHeight="true" outlineLevel="0" collapsed="false">
      <c r="C26" s="100" t="s">
        <v>26</v>
      </c>
      <c r="F26" s="110" t="n">
        <v>27</v>
      </c>
      <c r="G26" s="110" t="n">
        <v>11</v>
      </c>
      <c r="H26" s="110" t="n">
        <v>0</v>
      </c>
      <c r="I26" s="110" t="n">
        <v>1</v>
      </c>
      <c r="J26" s="110" t="n">
        <v>18</v>
      </c>
      <c r="K26" s="110" t="n">
        <v>9</v>
      </c>
      <c r="L26" s="110" t="n">
        <v>1</v>
      </c>
      <c r="M26" s="110" t="n">
        <v>11</v>
      </c>
      <c r="N26" s="110" t="n">
        <v>0</v>
      </c>
      <c r="O26" s="110" t="n">
        <v>0</v>
      </c>
      <c r="P26" s="110" t="n">
        <v>13</v>
      </c>
      <c r="Q26" s="110" t="n">
        <v>8</v>
      </c>
      <c r="R26" s="110" t="n">
        <f aca="false">SUM(F26:Q26)</f>
        <v>99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142297.179</v>
      </c>
      <c r="G28" s="108" t="n">
        <f aca="false">SUM(G30:G36)</f>
        <v>108533.574</v>
      </c>
      <c r="H28" s="108" t="n">
        <f aca="false">SUM(H30:H36)</f>
        <v>144052.785</v>
      </c>
      <c r="I28" s="108" t="n">
        <f aca="false">SUM(I30:I36)</f>
        <v>122243.832</v>
      </c>
      <c r="J28" s="108" t="n">
        <f aca="false">SUM(J30:J36)</f>
        <v>151262.263</v>
      </c>
      <c r="K28" s="108" t="n">
        <f aca="false">SUM(K30:K36)</f>
        <v>126914.462</v>
      </c>
      <c r="L28" s="108" t="n">
        <f aca="false">SUM(L30:L36)</f>
        <v>162557.868</v>
      </c>
      <c r="M28" s="108" t="n">
        <f aca="false">SUM(M30:M36)</f>
        <v>126885.426</v>
      </c>
      <c r="N28" s="108" t="n">
        <f aca="false">SUM(N30:N36)</f>
        <v>138142.68</v>
      </c>
      <c r="O28" s="108" t="n">
        <f aca="false">SUM(O30:O36)</f>
        <v>145983.825</v>
      </c>
      <c r="P28" s="108" t="n">
        <f aca="false">SUM(P30:P36)</f>
        <v>166782.739</v>
      </c>
      <c r="Q28" s="108" t="n">
        <f aca="false">SUM(Q30:Q36)</f>
        <v>242101.979</v>
      </c>
      <c r="R28" s="108" t="n">
        <f aca="false">SUM(F28:Q28)</f>
        <v>1777758.612</v>
      </c>
      <c r="T28" s="110"/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23565</v>
      </c>
      <c r="G30" s="110" t="n">
        <v>24002</v>
      </c>
      <c r="H30" s="110" t="n">
        <v>23439</v>
      </c>
      <c r="I30" s="110" t="n">
        <v>23254</v>
      </c>
      <c r="J30" s="110" t="n">
        <v>28550</v>
      </c>
      <c r="K30" s="110" t="n">
        <v>26578</v>
      </c>
      <c r="L30" s="110" t="n">
        <v>25522</v>
      </c>
      <c r="M30" s="110" t="n">
        <v>23915</v>
      </c>
      <c r="N30" s="110" t="n">
        <v>24613</v>
      </c>
      <c r="O30" s="110" t="n">
        <v>25899</v>
      </c>
      <c r="P30" s="110" t="n">
        <v>24209</v>
      </c>
      <c r="Q30" s="110" t="n">
        <v>24776</v>
      </c>
      <c r="R30" s="110" t="n">
        <f aca="false">SUM(F30:Q30)</f>
        <v>298322</v>
      </c>
    </row>
    <row r="31" customFormat="false" ht="15" hidden="false" customHeight="true" outlineLevel="0" collapsed="false">
      <c r="D31" s="100" t="s">
        <v>29</v>
      </c>
      <c r="F31" s="110" t="n">
        <v>50280</v>
      </c>
      <c r="G31" s="110" t="n">
        <v>20571</v>
      </c>
      <c r="H31" s="110" t="n">
        <v>27638</v>
      </c>
      <c r="I31" s="110" t="n">
        <v>16138</v>
      </c>
      <c r="J31" s="110" t="n">
        <v>16362</v>
      </c>
      <c r="K31" s="110" t="n">
        <v>19021</v>
      </c>
      <c r="L31" s="110" t="n">
        <v>51289</v>
      </c>
      <c r="M31" s="110" t="n">
        <v>19816</v>
      </c>
      <c r="N31" s="110" t="n">
        <v>24134</v>
      </c>
      <c r="O31" s="110" t="n">
        <v>21440</v>
      </c>
      <c r="P31" s="110" t="n">
        <v>15648</v>
      </c>
      <c r="Q31" s="110" t="n">
        <v>30461.988</v>
      </c>
      <c r="R31" s="110" t="n">
        <f aca="false">SUM(F31:Q31)</f>
        <v>312798.988</v>
      </c>
    </row>
    <row r="32" customFormat="false" ht="15" hidden="false" customHeight="true" outlineLevel="0" collapsed="false">
      <c r="D32" s="100" t="s">
        <v>30</v>
      </c>
      <c r="F32" s="110" t="n">
        <v>32</v>
      </c>
      <c r="G32" s="110" t="n">
        <v>410</v>
      </c>
      <c r="H32" s="110" t="n">
        <v>7795</v>
      </c>
      <c r="I32" s="110" t="n">
        <v>3115</v>
      </c>
      <c r="J32" s="110" t="n">
        <v>621</v>
      </c>
      <c r="K32" s="110" t="n">
        <v>5285</v>
      </c>
      <c r="L32" s="110" t="n">
        <v>2849</v>
      </c>
      <c r="M32" s="110" t="n">
        <v>577</v>
      </c>
      <c r="N32" s="110" t="n">
        <v>1076</v>
      </c>
      <c r="O32" s="110" t="n">
        <v>2730</v>
      </c>
      <c r="P32" s="110" t="n">
        <v>2652</v>
      </c>
      <c r="Q32" s="110" t="n">
        <v>10936</v>
      </c>
      <c r="R32" s="110" t="n">
        <f aca="false">SUM(F32:Q32)</f>
        <v>38078</v>
      </c>
    </row>
    <row r="33" customFormat="false" ht="15" hidden="false" customHeight="true" outlineLevel="0" collapsed="false">
      <c r="D33" s="100" t="s">
        <v>77</v>
      </c>
      <c r="F33" s="110" t="n">
        <v>441.179</v>
      </c>
      <c r="G33" s="110" t="n">
        <v>1093.574</v>
      </c>
      <c r="H33" s="110" t="n">
        <v>4096.785</v>
      </c>
      <c r="I33" s="110" t="n">
        <v>2801.832</v>
      </c>
      <c r="J33" s="110" t="n">
        <v>3520.263</v>
      </c>
      <c r="K33" s="110" t="n">
        <v>820.187</v>
      </c>
      <c r="L33" s="110" t="n">
        <v>1228.868</v>
      </c>
      <c r="M33" s="110" t="n">
        <v>1367.426</v>
      </c>
      <c r="N33" s="110" t="n">
        <v>3096.337</v>
      </c>
      <c r="O33" s="110" t="n">
        <v>2014.825</v>
      </c>
      <c r="P33" s="110" t="n">
        <v>6190.345</v>
      </c>
      <c r="Q33" s="110" t="n">
        <v>15965.425</v>
      </c>
      <c r="R33" s="110" t="n">
        <f aca="false">SUM(F33:Q33)</f>
        <v>42637.046</v>
      </c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0</v>
      </c>
      <c r="H34" s="110" t="n">
        <v>0</v>
      </c>
      <c r="I34" s="110" t="n">
        <v>0</v>
      </c>
      <c r="J34" s="110" t="n">
        <v>900</v>
      </c>
      <c r="K34" s="110" t="n">
        <v>0</v>
      </c>
      <c r="L34" s="110" t="n">
        <v>0</v>
      </c>
      <c r="M34" s="110" t="n">
        <v>0</v>
      </c>
      <c r="N34" s="110" t="n">
        <v>0</v>
      </c>
      <c r="O34" s="110" t="n">
        <v>143</v>
      </c>
      <c r="P34" s="110" t="n">
        <v>127</v>
      </c>
      <c r="Q34" s="110" t="n">
        <v>20170</v>
      </c>
      <c r="R34" s="110" t="n">
        <f aca="false">SUM(F34:Q34)</f>
        <v>21340</v>
      </c>
    </row>
    <row r="35" customFormat="false" ht="15" hidden="false" customHeight="true" outlineLevel="0" collapsed="false">
      <c r="D35" s="100" t="s">
        <v>78</v>
      </c>
      <c r="F35" s="110" t="n">
        <v>1244</v>
      </c>
      <c r="G35" s="110" t="n">
        <v>241</v>
      </c>
      <c r="H35" s="110" t="n">
        <v>1677</v>
      </c>
      <c r="I35" s="110" t="n">
        <v>811</v>
      </c>
      <c r="J35" s="110" t="n">
        <v>3904</v>
      </c>
      <c r="K35" s="110" t="n">
        <v>3742.275</v>
      </c>
      <c r="L35" s="110" t="n">
        <v>2254</v>
      </c>
      <c r="M35" s="110" t="n">
        <v>578</v>
      </c>
      <c r="N35" s="110" t="n">
        <v>7580.343</v>
      </c>
      <c r="O35" s="110" t="n">
        <v>5907</v>
      </c>
      <c r="P35" s="110" t="n">
        <v>817.394</v>
      </c>
      <c r="Q35" s="110" t="n">
        <v>-1335.434</v>
      </c>
      <c r="R35" s="110" t="n">
        <f aca="false">SUM(F35:Q35)</f>
        <v>27420.578</v>
      </c>
    </row>
    <row r="36" customFormat="false" ht="15" hidden="false" customHeight="true" outlineLevel="0" collapsed="false">
      <c r="D36" s="1" t="s">
        <v>79</v>
      </c>
      <c r="F36" s="110" t="n">
        <v>66735</v>
      </c>
      <c r="G36" s="110" t="n">
        <v>62216</v>
      </c>
      <c r="H36" s="110" t="n">
        <v>79407</v>
      </c>
      <c r="I36" s="110" t="n">
        <v>76124</v>
      </c>
      <c r="J36" s="110" t="n">
        <v>97405</v>
      </c>
      <c r="K36" s="110" t="n">
        <v>71468</v>
      </c>
      <c r="L36" s="110" t="n">
        <v>79415</v>
      </c>
      <c r="M36" s="110" t="n">
        <v>80632</v>
      </c>
      <c r="N36" s="110" t="n">
        <v>77643</v>
      </c>
      <c r="O36" s="110" t="n">
        <v>87850</v>
      </c>
      <c r="P36" s="110" t="n">
        <v>117139</v>
      </c>
      <c r="Q36" s="110" t="n">
        <v>141128</v>
      </c>
      <c r="R36" s="110" t="n">
        <f aca="false">SUM(F36:Q36)</f>
        <v>1037162</v>
      </c>
      <c r="T36" s="110"/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-15943.179</v>
      </c>
      <c r="G38" s="112" t="n">
        <f aca="false">+G8-G28</f>
        <v>10655.426</v>
      </c>
      <c r="H38" s="112" t="n">
        <f aca="false">+H8-H28</f>
        <v>-28621.785</v>
      </c>
      <c r="I38" s="112" t="n">
        <f aca="false">+I8-I28</f>
        <v>31024.168</v>
      </c>
      <c r="J38" s="112" t="n">
        <f aca="false">+J8-J28</f>
        <v>-19859.263</v>
      </c>
      <c r="K38" s="112" t="n">
        <f aca="false">+K8-K28</f>
        <v>-11638.462</v>
      </c>
      <c r="L38" s="112" t="n">
        <f aca="false">+L8-L28</f>
        <v>-39248.868</v>
      </c>
      <c r="M38" s="112" t="n">
        <f aca="false">+M8-M28</f>
        <v>2522.57399999999</v>
      </c>
      <c r="N38" s="112" t="n">
        <f aca="false">+N8-N28</f>
        <v>-32833.68</v>
      </c>
      <c r="O38" s="112" t="n">
        <f aca="false">+O8-O28</f>
        <v>-11663.825</v>
      </c>
      <c r="P38" s="112" t="n">
        <f aca="false">+P8-P28</f>
        <v>-11474.739</v>
      </c>
      <c r="Q38" s="112" t="n">
        <f aca="false">+Q8-Q28</f>
        <v>-115744.979</v>
      </c>
      <c r="R38" s="112" t="n">
        <f aca="false">SUM(F38:Q38)</f>
        <v>-242826.612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80484</v>
      </c>
      <c r="G40" s="108" t="n">
        <v>45849</v>
      </c>
      <c r="H40" s="108" t="n">
        <v>182640</v>
      </c>
      <c r="I40" s="108" t="n">
        <v>19326</v>
      </c>
      <c r="J40" s="108" t="n">
        <v>24088</v>
      </c>
      <c r="K40" s="108" t="n">
        <v>3811</v>
      </c>
      <c r="L40" s="108" t="n">
        <v>67712</v>
      </c>
      <c r="M40" s="108" t="n">
        <v>45389</v>
      </c>
      <c r="N40" s="108" t="n">
        <v>84194</v>
      </c>
      <c r="O40" s="108" t="n">
        <v>195752</v>
      </c>
      <c r="P40" s="108" t="n">
        <v>47084</v>
      </c>
      <c r="Q40" s="108" t="n">
        <v>70531</v>
      </c>
      <c r="R40" s="108" t="n">
        <v>866860</v>
      </c>
    </row>
    <row r="41" customFormat="false" ht="15" hidden="false" customHeight="true" outlineLevel="0" collapsed="false">
      <c r="C41" s="100" t="s">
        <v>37</v>
      </c>
      <c r="F41" s="109" t="n">
        <v>65206</v>
      </c>
      <c r="G41" s="109" t="n">
        <v>7074</v>
      </c>
      <c r="H41" s="109" t="n">
        <v>-5462</v>
      </c>
      <c r="I41" s="109" t="n">
        <v>-1932</v>
      </c>
      <c r="J41" s="109" t="n">
        <v>5358</v>
      </c>
      <c r="K41" s="109" t="n">
        <v>-9098</v>
      </c>
      <c r="L41" s="109" t="n">
        <v>387</v>
      </c>
      <c r="M41" s="109" t="n">
        <v>-5504</v>
      </c>
      <c r="N41" s="109" t="n">
        <v>-5235</v>
      </c>
      <c r="O41" s="109" t="n">
        <v>-733</v>
      </c>
      <c r="P41" s="109" t="n">
        <v>11251</v>
      </c>
      <c r="Q41" s="109" t="n">
        <v>8734</v>
      </c>
      <c r="R41" s="109" t="n">
        <v>70046</v>
      </c>
    </row>
    <row r="42" customFormat="false" ht="15" hidden="false" customHeight="true" outlineLevel="0" collapsed="false">
      <c r="D42" s="100" t="s">
        <v>38</v>
      </c>
      <c r="F42" s="110" t="n">
        <v>66733</v>
      </c>
      <c r="G42" s="110" t="n">
        <v>14705</v>
      </c>
      <c r="H42" s="110" t="n">
        <v>1629</v>
      </c>
      <c r="I42" s="110" t="n">
        <v>647</v>
      </c>
      <c r="J42" s="110" t="n">
        <v>11529</v>
      </c>
      <c r="K42" s="110" t="n">
        <v>-3295</v>
      </c>
      <c r="L42" s="110" t="n">
        <v>1816</v>
      </c>
      <c r="M42" s="110" t="n">
        <v>2062</v>
      </c>
      <c r="N42" s="110" t="n">
        <v>1607</v>
      </c>
      <c r="O42" s="110" t="n">
        <v>1991</v>
      </c>
      <c r="P42" s="110" t="n">
        <v>16916</v>
      </c>
      <c r="Q42" s="110" t="n">
        <v>40280</v>
      </c>
      <c r="R42" s="110" t="n">
        <v>156620</v>
      </c>
    </row>
    <row r="43" customFormat="false" ht="15" hidden="false" customHeight="true" outlineLevel="0" collapsed="false">
      <c r="D43" s="100" t="s">
        <v>97</v>
      </c>
      <c r="F43" s="110" t="n">
        <v>1527</v>
      </c>
      <c r="G43" s="110" t="n">
        <v>7631</v>
      </c>
      <c r="H43" s="110" t="n">
        <v>7091</v>
      </c>
      <c r="I43" s="110" t="n">
        <v>2579</v>
      </c>
      <c r="J43" s="110" t="n">
        <v>6171</v>
      </c>
      <c r="K43" s="110" t="n">
        <v>5803</v>
      </c>
      <c r="L43" s="110" t="n">
        <v>1429</v>
      </c>
      <c r="M43" s="110" t="n">
        <v>7566</v>
      </c>
      <c r="N43" s="110" t="n">
        <v>6842</v>
      </c>
      <c r="O43" s="110" t="n">
        <v>2724</v>
      </c>
      <c r="P43" s="110" t="n">
        <v>5665</v>
      </c>
      <c r="Q43" s="110" t="n">
        <v>31546</v>
      </c>
      <c r="R43" s="110" t="n">
        <v>86574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15278</v>
      </c>
      <c r="G45" s="109" t="n">
        <v>38775</v>
      </c>
      <c r="H45" s="109" t="n">
        <v>188102</v>
      </c>
      <c r="I45" s="109" t="n">
        <v>21258</v>
      </c>
      <c r="J45" s="109" t="n">
        <v>18730</v>
      </c>
      <c r="K45" s="109" t="n">
        <v>12909</v>
      </c>
      <c r="L45" s="109" t="n">
        <v>67325</v>
      </c>
      <c r="M45" s="109" t="n">
        <v>50893</v>
      </c>
      <c r="N45" s="109" t="n">
        <v>89429</v>
      </c>
      <c r="O45" s="109" t="n">
        <v>196485</v>
      </c>
      <c r="P45" s="109" t="n">
        <v>35833</v>
      </c>
      <c r="Q45" s="109" t="n">
        <v>61797</v>
      </c>
      <c r="R45" s="109" t="n">
        <v>796814</v>
      </c>
    </row>
    <row r="46" customFormat="false" ht="15" hidden="false" customHeight="true" outlineLevel="0" collapsed="false">
      <c r="D46" s="100" t="s">
        <v>41</v>
      </c>
      <c r="F46" s="110" t="n">
        <v>15278</v>
      </c>
      <c r="G46" s="110" t="n">
        <v>38775</v>
      </c>
      <c r="H46" s="110" t="n">
        <v>188102</v>
      </c>
      <c r="I46" s="110" t="n">
        <v>21720</v>
      </c>
      <c r="J46" s="110" t="n">
        <v>18730</v>
      </c>
      <c r="K46" s="110" t="n">
        <v>12909</v>
      </c>
      <c r="L46" s="110" t="n">
        <v>67538</v>
      </c>
      <c r="M46" s="110" t="n">
        <v>51129</v>
      </c>
      <c r="N46" s="110" t="n">
        <v>89429</v>
      </c>
      <c r="O46" s="110" t="n">
        <v>196781</v>
      </c>
      <c r="P46" s="110" t="n">
        <v>35972</v>
      </c>
      <c r="Q46" s="110" t="n">
        <v>62164</v>
      </c>
      <c r="R46" s="110" t="n">
        <v>798527</v>
      </c>
    </row>
    <row r="47" customFormat="false" ht="15" hidden="false" customHeight="true" outlineLevel="0" collapsed="false">
      <c r="D47" s="100" t="s">
        <v>42</v>
      </c>
      <c r="F47" s="110" t="n">
        <v>0</v>
      </c>
      <c r="G47" s="110" t="n">
        <v>0</v>
      </c>
      <c r="H47" s="110" t="n">
        <v>0</v>
      </c>
      <c r="I47" s="110" t="n">
        <v>462</v>
      </c>
      <c r="J47" s="110" t="n">
        <v>0</v>
      </c>
      <c r="K47" s="110" t="n">
        <v>0</v>
      </c>
      <c r="L47" s="110" t="n">
        <v>213</v>
      </c>
      <c r="M47" s="110" t="n">
        <v>236</v>
      </c>
      <c r="N47" s="110" t="n">
        <v>0</v>
      </c>
      <c r="O47" s="110" t="n">
        <v>296</v>
      </c>
      <c r="P47" s="110" t="n">
        <v>139</v>
      </c>
      <c r="Q47" s="110" t="n">
        <v>367</v>
      </c>
      <c r="R47" s="110" t="n">
        <v>1713</v>
      </c>
    </row>
    <row r="48" customFormat="false" ht="15" hidden="false" customHeight="true" outlineLevel="0" collapsed="false">
      <c r="E48" s="1" t="s">
        <v>67</v>
      </c>
      <c r="F48" s="110" t="n">
        <v>4877</v>
      </c>
      <c r="G48" s="110" t="n">
        <v>88362</v>
      </c>
      <c r="H48" s="110" t="n">
        <v>0</v>
      </c>
      <c r="I48" s="110" t="n">
        <v>18106</v>
      </c>
      <c r="J48" s="110" t="n">
        <v>0</v>
      </c>
      <c r="K48" s="110" t="n">
        <v>0</v>
      </c>
      <c r="L48" s="110" t="n">
        <v>3432</v>
      </c>
      <c r="M48" s="110" t="n">
        <v>40283</v>
      </c>
      <c r="N48" s="110" t="n">
        <v>39970</v>
      </c>
      <c r="O48" s="110" t="n">
        <v>1469</v>
      </c>
      <c r="P48" s="110" t="n">
        <v>3003</v>
      </c>
      <c r="Q48" s="110" t="n">
        <v>367</v>
      </c>
      <c r="R48" s="110" t="n">
        <v>199869</v>
      </c>
    </row>
    <row r="49" customFormat="false" ht="15" hidden="false" customHeight="true" outlineLevel="0" collapsed="false">
      <c r="E49" s="16" t="s">
        <v>80</v>
      </c>
      <c r="F49" s="110" t="n">
        <v>4877</v>
      </c>
      <c r="G49" s="110" t="n">
        <v>88362</v>
      </c>
      <c r="H49" s="110" t="n">
        <v>0</v>
      </c>
      <c r="I49" s="110" t="n">
        <v>17644</v>
      </c>
      <c r="J49" s="110" t="n">
        <v>0</v>
      </c>
      <c r="K49" s="110" t="n">
        <v>0</v>
      </c>
      <c r="L49" s="110" t="n">
        <v>3219</v>
      </c>
      <c r="M49" s="110" t="n">
        <v>40047</v>
      </c>
      <c r="N49" s="110" t="n">
        <v>39970</v>
      </c>
      <c r="O49" s="110" t="n">
        <v>1173</v>
      </c>
      <c r="P49" s="110" t="n">
        <v>2864</v>
      </c>
      <c r="Q49" s="110" t="n">
        <v>0</v>
      </c>
      <c r="R49" s="110" t="n">
        <v>198156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22237</v>
      </c>
      <c r="G51" s="108" t="n">
        <v>-21188</v>
      </c>
      <c r="H51" s="108" t="n">
        <v>163636</v>
      </c>
      <c r="I51" s="108" t="n">
        <v>23134</v>
      </c>
      <c r="J51" s="108" t="n">
        <v>-37881</v>
      </c>
      <c r="K51" s="108" t="n">
        <v>-9146</v>
      </c>
      <c r="L51" s="108" t="n">
        <v>-998</v>
      </c>
      <c r="M51" s="108" t="n">
        <v>-39538</v>
      </c>
      <c r="N51" s="108" t="n">
        <v>-4943</v>
      </c>
      <c r="O51" s="108" t="n">
        <v>235336</v>
      </c>
      <c r="P51" s="108" t="n">
        <v>10422</v>
      </c>
      <c r="Q51" s="108" t="n">
        <v>-49286</v>
      </c>
      <c r="R51" s="108" t="n">
        <v>291785</v>
      </c>
    </row>
    <row r="52" customFormat="false" ht="15" hidden="false" customHeight="false" outlineLevel="0" collapsed="false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customFormat="false" ht="15" hidden="false" customHeight="false" outlineLevel="0" collapsed="false">
      <c r="B53" s="103" t="s">
        <v>46</v>
      </c>
    </row>
    <row r="54" customFormat="false" ht="14.25" hidden="false" customHeight="true" outlineLevel="0" collapsed="false">
      <c r="B54" s="103"/>
      <c r="C54" s="130" t="s">
        <v>110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</row>
    <row r="55" customFormat="false" ht="20.25" hidden="false" customHeight="true" outlineLevel="0" collapsed="false">
      <c r="B55" s="103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</row>
    <row r="57" customFormat="false" ht="14.25" hidden="false" customHeight="false" outlineLevel="0" collapsed="false">
      <c r="B57" s="31" t="s">
        <v>51</v>
      </c>
    </row>
    <row r="58" customFormat="false" ht="14.25" hidden="false" customHeight="false" outlineLevel="0" collapsed="false">
      <c r="B58" s="31" t="s">
        <v>106</v>
      </c>
    </row>
  </sheetData>
  <mergeCells count="3">
    <mergeCell ref="A4:E4"/>
    <mergeCell ref="A6:E6"/>
    <mergeCell ref="C54:Q5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F7" activeCellId="0" sqref="F7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42"/>
    <col collapsed="false" customWidth="true" hidden="false" outlineLevel="0" max="2" min="2" style="100" width="2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27.99"/>
    <col collapsed="false" customWidth="true" hidden="false" outlineLevel="0" max="7" min="6" style="100" width="10"/>
    <col collapsed="false" customWidth="true" hidden="false" outlineLevel="0" max="11" min="8" style="100" width="9.42"/>
    <col collapsed="false" customWidth="true" hidden="false" outlineLevel="0" max="13" min="12" style="100" width="10"/>
    <col collapsed="false" customWidth="true" hidden="false" outlineLevel="0" max="14" min="14" style="100" width="9.42"/>
    <col collapsed="false" customWidth="true" hidden="false" outlineLevel="0" max="15" min="15" style="100" width="10"/>
    <col collapsed="false" customWidth="true" hidden="false" outlineLevel="0" max="16" min="16" style="100" width="9.42"/>
    <col collapsed="false" customWidth="true" hidden="false" outlineLevel="0" max="17" min="17" style="100" width="10"/>
    <col collapsed="false" customWidth="true" hidden="false" outlineLevel="0" max="18" min="18" style="100" width="10.99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customFormat="false" ht="15" hidden="false" customHeight="false" outlineLevel="0" collapsed="false">
      <c r="A2" s="131" t="s">
        <v>113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</row>
    <row r="3" customFormat="false" ht="14.25" hidden="false" customHeight="false" outlineLevel="0" collapsed="false">
      <c r="A3" s="132" t="s">
        <v>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</row>
    <row r="4" customFormat="false" ht="14.25" hidden="false" customHeight="false" outlineLevel="0" collapsed="false">
      <c r="A4" s="120" t="s">
        <v>95</v>
      </c>
      <c r="B4" s="120"/>
      <c r="C4" s="120"/>
      <c r="D4" s="120"/>
      <c r="E4" s="120"/>
    </row>
    <row r="5" customFormat="false" ht="6" hidden="false" customHeight="true" outlineLevel="0" collapsed="false"/>
    <row r="6" customFormat="false" ht="21" hidden="false" customHeight="true" outlineLevel="0" collapsed="false">
      <c r="A6" s="126" t="s">
        <v>4</v>
      </c>
      <c r="B6" s="126"/>
      <c r="C6" s="126"/>
      <c r="D6" s="126"/>
      <c r="E6" s="126"/>
      <c r="F6" s="105" t="s">
        <v>107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29"/>
    </row>
    <row r="7" customFormat="false" ht="15" hidden="false" customHeight="true" outlineLevel="0" collapsed="false">
      <c r="O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135911</v>
      </c>
      <c r="G8" s="108" t="n">
        <f aca="false">G9+G19+G26</f>
        <v>80015</v>
      </c>
      <c r="H8" s="108" t="n">
        <f aca="false">H9+H19+H26</f>
        <v>107152</v>
      </c>
      <c r="I8" s="108" t="n">
        <f aca="false">I9+I19+I26</f>
        <v>138335</v>
      </c>
      <c r="J8" s="108" t="n">
        <f aca="false">J9+J19+J26</f>
        <v>120088</v>
      </c>
      <c r="K8" s="108" t="n">
        <f aca="false">K9+K19+K26</f>
        <v>100139</v>
      </c>
      <c r="L8" s="108" t="n">
        <f aca="false">L9+L19+L26</f>
        <v>106963</v>
      </c>
      <c r="M8" s="108" t="n">
        <f aca="false">M9+M19+M26</f>
        <v>124148</v>
      </c>
      <c r="N8" s="108" t="n">
        <f aca="false">N9+N19+N26</f>
        <v>104337</v>
      </c>
      <c r="O8" s="108" t="n">
        <f aca="false">O9+O19+O26</f>
        <v>103939</v>
      </c>
      <c r="P8" s="108" t="n">
        <f aca="false">P9+P19+P26</f>
        <v>128745</v>
      </c>
      <c r="Q8" s="108" t="n">
        <f aca="false">Q9+Q19+Q26</f>
        <v>110170</v>
      </c>
      <c r="R8" s="108" t="n">
        <f aca="false">R9+R19+R26</f>
        <v>1359942</v>
      </c>
    </row>
    <row r="9" customFormat="false" ht="15" hidden="false" customHeight="true" outlineLevel="0" collapsed="false">
      <c r="C9" s="100" t="s">
        <v>13</v>
      </c>
      <c r="F9" s="109" t="n">
        <v>96020</v>
      </c>
      <c r="G9" s="109" t="n">
        <v>72987</v>
      </c>
      <c r="H9" s="109" t="n">
        <v>96645</v>
      </c>
      <c r="I9" s="109" t="n">
        <v>126782</v>
      </c>
      <c r="J9" s="109" t="n">
        <v>111085</v>
      </c>
      <c r="K9" s="109" t="n">
        <v>89921</v>
      </c>
      <c r="L9" s="109" t="n">
        <v>96164</v>
      </c>
      <c r="M9" s="109" t="n">
        <v>111108</v>
      </c>
      <c r="N9" s="109" t="n">
        <v>90648</v>
      </c>
      <c r="O9" s="109" t="n">
        <v>94365</v>
      </c>
      <c r="P9" s="109" t="n">
        <v>119238</v>
      </c>
      <c r="Q9" s="109" t="n">
        <v>97103</v>
      </c>
      <c r="R9" s="109" t="n">
        <v>1202066</v>
      </c>
    </row>
    <row r="10" customFormat="false" ht="15" hidden="false" customHeight="true" outlineLevel="0" collapsed="false">
      <c r="D10" s="100" t="s">
        <v>14</v>
      </c>
      <c r="F10" s="110" t="n">
        <v>74569</v>
      </c>
      <c r="G10" s="110" t="n">
        <v>53418</v>
      </c>
      <c r="H10" s="110" t="n">
        <v>71562</v>
      </c>
      <c r="I10" s="110" t="n">
        <v>103393</v>
      </c>
      <c r="J10" s="110" t="n">
        <v>88150</v>
      </c>
      <c r="K10" s="110" t="n">
        <v>66904</v>
      </c>
      <c r="L10" s="110" t="n">
        <v>73789</v>
      </c>
      <c r="M10" s="110" t="n">
        <v>87928</v>
      </c>
      <c r="N10" s="110" t="n">
        <v>66547</v>
      </c>
      <c r="O10" s="110" t="n">
        <v>70504</v>
      </c>
      <c r="P10" s="110" t="n">
        <v>92751</v>
      </c>
      <c r="Q10" s="110" t="n">
        <v>74631</v>
      </c>
      <c r="R10" s="110" t="n">
        <v>924146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1134</v>
      </c>
      <c r="G12" s="110" t="n">
        <v>589</v>
      </c>
      <c r="H12" s="110" t="n">
        <v>303</v>
      </c>
      <c r="I12" s="110" t="n">
        <v>819</v>
      </c>
      <c r="J12" s="110" t="n">
        <v>703</v>
      </c>
      <c r="K12" s="110" t="n">
        <v>312</v>
      </c>
      <c r="L12" s="110" t="n">
        <v>279</v>
      </c>
      <c r="M12" s="110" t="n">
        <v>1749</v>
      </c>
      <c r="N12" s="110" t="n">
        <v>343</v>
      </c>
      <c r="O12" s="110" t="n">
        <v>364</v>
      </c>
      <c r="P12" s="110" t="n">
        <v>642</v>
      </c>
      <c r="Q12" s="110" t="n">
        <v>465</v>
      </c>
      <c r="R12" s="110" t="n">
        <v>7702</v>
      </c>
    </row>
    <row r="13" customFormat="false" ht="15" hidden="false" customHeight="true" outlineLevel="0" collapsed="false">
      <c r="E13" s="100" t="s">
        <v>17</v>
      </c>
      <c r="F13" s="110" t="n">
        <v>3</v>
      </c>
      <c r="G13" s="110" t="n">
        <v>15</v>
      </c>
      <c r="H13" s="110" t="n">
        <v>7574</v>
      </c>
      <c r="I13" s="110" t="n">
        <v>657</v>
      </c>
      <c r="J13" s="110" t="n">
        <v>31</v>
      </c>
      <c r="K13" s="110" t="n">
        <v>602</v>
      </c>
      <c r="L13" s="110" t="n">
        <v>282</v>
      </c>
      <c r="M13" s="110" t="n">
        <v>159</v>
      </c>
      <c r="N13" s="110" t="n">
        <v>328</v>
      </c>
      <c r="O13" s="110" t="n">
        <v>2296</v>
      </c>
      <c r="P13" s="110" t="n">
        <v>1664</v>
      </c>
      <c r="Q13" s="110" t="n">
        <v>2812</v>
      </c>
      <c r="R13" s="110" t="n">
        <v>16423</v>
      </c>
    </row>
    <row r="14" customFormat="false" ht="15" hidden="false" customHeight="true" outlineLevel="0" collapsed="false">
      <c r="D14" s="100" t="s">
        <v>18</v>
      </c>
      <c r="F14" s="110" t="n">
        <v>20535</v>
      </c>
      <c r="G14" s="110" t="n">
        <v>18583</v>
      </c>
      <c r="H14" s="110" t="n">
        <v>23500</v>
      </c>
      <c r="I14" s="110" t="n">
        <v>22440</v>
      </c>
      <c r="J14" s="110" t="n">
        <v>21836</v>
      </c>
      <c r="K14" s="110" t="n">
        <v>21663</v>
      </c>
      <c r="L14" s="110" t="n">
        <v>21283</v>
      </c>
      <c r="M14" s="110" t="n">
        <v>22152</v>
      </c>
      <c r="N14" s="110" t="n">
        <v>22615</v>
      </c>
      <c r="O14" s="110" t="n">
        <v>22843</v>
      </c>
      <c r="P14" s="110" t="n">
        <v>25510</v>
      </c>
      <c r="Q14" s="110" t="n">
        <v>22148</v>
      </c>
      <c r="R14" s="110" t="n">
        <v>265108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473</v>
      </c>
      <c r="I16" s="110" t="n">
        <v>1052</v>
      </c>
      <c r="J16" s="110" t="n">
        <v>512</v>
      </c>
      <c r="K16" s="110" t="n">
        <v>0</v>
      </c>
      <c r="L16" s="110" t="n">
        <v>180</v>
      </c>
      <c r="M16" s="110" t="n">
        <v>1155</v>
      </c>
      <c r="N16" s="110" t="n">
        <v>207</v>
      </c>
      <c r="O16" s="110" t="n">
        <v>1096</v>
      </c>
      <c r="P16" s="110" t="n">
        <v>1873</v>
      </c>
      <c r="Q16" s="110" t="n">
        <v>2860</v>
      </c>
      <c r="R16" s="110" t="n">
        <v>9408</v>
      </c>
    </row>
    <row r="17" customFormat="false" ht="15" hidden="false" customHeight="true" outlineLevel="0" collapsed="false">
      <c r="D17" s="100" t="s">
        <v>105</v>
      </c>
      <c r="F17" s="110" t="n">
        <v>916</v>
      </c>
      <c r="G17" s="110" t="n">
        <v>986</v>
      </c>
      <c r="H17" s="110" t="n">
        <v>1583</v>
      </c>
      <c r="I17" s="110" t="n">
        <v>949</v>
      </c>
      <c r="J17" s="110" t="n">
        <v>1099</v>
      </c>
      <c r="K17" s="110" t="n">
        <v>1354</v>
      </c>
      <c r="L17" s="110" t="n">
        <v>1092</v>
      </c>
      <c r="M17" s="110" t="n">
        <v>1028</v>
      </c>
      <c r="N17" s="110" t="n">
        <v>1486</v>
      </c>
      <c r="O17" s="110" t="n">
        <v>1018</v>
      </c>
      <c r="P17" s="110" t="n">
        <v>977</v>
      </c>
      <c r="Q17" s="110" t="n">
        <v>324</v>
      </c>
      <c r="R17" s="110" t="n">
        <v>12812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39890</v>
      </c>
      <c r="G19" s="109" t="n">
        <f aca="false">SUM(G20:G24)</f>
        <v>7028</v>
      </c>
      <c r="H19" s="109" t="n">
        <f aca="false">SUM(H20:H24)</f>
        <v>10507</v>
      </c>
      <c r="I19" s="109" t="n">
        <f aca="false">SUM(I20:I24)</f>
        <v>11551</v>
      </c>
      <c r="J19" s="109" t="n">
        <f aca="false">SUM(J20:J24)</f>
        <v>9003</v>
      </c>
      <c r="K19" s="109" t="n">
        <f aca="false">SUM(K20:K24)</f>
        <v>10218</v>
      </c>
      <c r="L19" s="109" t="n">
        <f aca="false">SUM(L20:L24)</f>
        <v>10769</v>
      </c>
      <c r="M19" s="109" t="n">
        <f aca="false">SUM(M20:M24)</f>
        <v>13029</v>
      </c>
      <c r="N19" s="109" t="n">
        <f aca="false">SUM(N20:N24)</f>
        <v>13683</v>
      </c>
      <c r="O19" s="109" t="n">
        <f aca="false">SUM(O20:O24)</f>
        <v>9573</v>
      </c>
      <c r="P19" s="109" t="n">
        <f aca="false">SUM(P20:P24)</f>
        <v>9506</v>
      </c>
      <c r="Q19" s="109" t="n">
        <f aca="false">SUM(Q20:Q24)</f>
        <v>12864</v>
      </c>
      <c r="R19" s="109" t="n">
        <f aca="false">SUM(R20:R24)</f>
        <v>157621</v>
      </c>
    </row>
    <row r="20" customFormat="false" ht="15" hidden="false" customHeight="true" outlineLevel="0" collapsed="false">
      <c r="D20" s="100" t="s">
        <v>21</v>
      </c>
      <c r="F20" s="110" t="n">
        <v>30981</v>
      </c>
      <c r="G20" s="110" t="n">
        <v>2621</v>
      </c>
      <c r="H20" s="110" t="n">
        <v>4529</v>
      </c>
      <c r="I20" s="110" t="n">
        <v>6247</v>
      </c>
      <c r="J20" s="110" t="n">
        <v>4046</v>
      </c>
      <c r="K20" s="110" t="n">
        <v>2350</v>
      </c>
      <c r="L20" s="110" t="n">
        <v>5814</v>
      </c>
      <c r="M20" s="110" t="n">
        <v>4504</v>
      </c>
      <c r="N20" s="110" t="n">
        <v>5779</v>
      </c>
      <c r="O20" s="110" t="n">
        <v>2623</v>
      </c>
      <c r="P20" s="110" t="n">
        <v>2725</v>
      </c>
      <c r="Q20" s="110" t="n">
        <v>3336</v>
      </c>
      <c r="R20" s="110" t="n">
        <f aca="false">SUM(F20:Q20)</f>
        <v>75555</v>
      </c>
      <c r="T20" s="110"/>
    </row>
    <row r="21" customFormat="false" ht="15" hidden="false" customHeight="true" outlineLevel="0" collapsed="false">
      <c r="D21" s="100" t="s">
        <v>23</v>
      </c>
      <c r="F21" s="110" t="n">
        <v>585</v>
      </c>
      <c r="G21" s="110" t="n">
        <v>16</v>
      </c>
      <c r="H21" s="110" t="n">
        <v>69</v>
      </c>
      <c r="I21" s="110" t="n">
        <v>5</v>
      </c>
      <c r="J21" s="110" t="n">
        <v>2</v>
      </c>
      <c r="K21" s="110" t="n">
        <v>5</v>
      </c>
      <c r="L21" s="110" t="n">
        <v>0</v>
      </c>
      <c r="M21" s="110" t="n">
        <v>21</v>
      </c>
      <c r="N21" s="110" t="n">
        <v>22</v>
      </c>
      <c r="O21" s="110" t="n">
        <v>5</v>
      </c>
      <c r="P21" s="110" t="n">
        <v>0</v>
      </c>
      <c r="Q21" s="110" t="n">
        <v>200</v>
      </c>
      <c r="R21" s="110" t="n">
        <f aca="false">SUM(F21:Q21)</f>
        <v>930</v>
      </c>
      <c r="T21" s="110"/>
    </row>
    <row r="22" customFormat="false" ht="15" hidden="false" customHeight="true" outlineLevel="0" collapsed="false">
      <c r="D22" s="100" t="s">
        <v>24</v>
      </c>
      <c r="E22" s="31"/>
      <c r="F22" s="110" t="n">
        <v>3327.681</v>
      </c>
      <c r="G22" s="110" t="n">
        <v>843.621</v>
      </c>
      <c r="H22" s="110" t="n">
        <v>1796.125</v>
      </c>
      <c r="I22" s="110" t="n">
        <v>2891.286</v>
      </c>
      <c r="J22" s="110" t="n">
        <v>2160.767</v>
      </c>
      <c r="K22" s="110" t="n">
        <v>2489.278</v>
      </c>
      <c r="L22" s="110" t="n">
        <v>830.835</v>
      </c>
      <c r="M22" s="110" t="n">
        <v>2737.465</v>
      </c>
      <c r="N22" s="110" t="n">
        <v>3060.565</v>
      </c>
      <c r="O22" s="110" t="n">
        <v>3066.325</v>
      </c>
      <c r="P22" s="110" t="n">
        <v>3072.252</v>
      </c>
      <c r="Q22" s="110" t="n">
        <v>2092.777</v>
      </c>
      <c r="R22" s="110" t="n">
        <f aca="false">SUM(F22:Q22)</f>
        <v>28368.977</v>
      </c>
      <c r="T22" s="110"/>
    </row>
    <row r="23" customFormat="false" ht="15" hidden="false" customHeight="true" outlineLevel="0" collapsed="false">
      <c r="D23" s="100" t="s">
        <v>112</v>
      </c>
      <c r="F23" s="110" t="n">
        <v>2053</v>
      </c>
      <c r="G23" s="110" t="n">
        <v>2224</v>
      </c>
      <c r="H23" s="110" t="n">
        <v>2656</v>
      </c>
      <c r="I23" s="110" t="n">
        <v>1675</v>
      </c>
      <c r="J23" s="110" t="n">
        <v>1825</v>
      </c>
      <c r="K23" s="110" t="n">
        <v>1840</v>
      </c>
      <c r="L23" s="110" t="n">
        <v>2108</v>
      </c>
      <c r="M23" s="110" t="n">
        <v>2431</v>
      </c>
      <c r="N23" s="110" t="n">
        <v>1896</v>
      </c>
      <c r="O23" s="110" t="n">
        <v>3790</v>
      </c>
      <c r="P23" s="110" t="n">
        <v>1818</v>
      </c>
      <c r="Q23" s="110" t="n">
        <v>1732</v>
      </c>
      <c r="R23" s="110" t="n">
        <f aca="false">SUM(F23:Q23)</f>
        <v>26048</v>
      </c>
    </row>
    <row r="24" customFormat="false" ht="15" hidden="false" customHeight="true" outlineLevel="0" collapsed="false">
      <c r="D24" s="100" t="s">
        <v>105</v>
      </c>
      <c r="F24" s="110" t="n">
        <v>2943.319</v>
      </c>
      <c r="G24" s="110" t="n">
        <v>1323.379</v>
      </c>
      <c r="H24" s="110" t="n">
        <v>1456.875</v>
      </c>
      <c r="I24" s="110" t="n">
        <v>732.714</v>
      </c>
      <c r="J24" s="110" t="n">
        <v>969.233</v>
      </c>
      <c r="K24" s="110" t="n">
        <v>3533.722</v>
      </c>
      <c r="L24" s="110" t="n">
        <v>2016.165</v>
      </c>
      <c r="M24" s="110" t="n">
        <v>3335.535</v>
      </c>
      <c r="N24" s="110" t="n">
        <v>2925.435</v>
      </c>
      <c r="O24" s="110" t="n">
        <v>88.6750000000002</v>
      </c>
      <c r="P24" s="110" t="n">
        <v>1890.748</v>
      </c>
      <c r="Q24" s="110" t="n">
        <v>5503.223</v>
      </c>
      <c r="R24" s="110" t="n">
        <f aca="false">SUM(F24:Q24)</f>
        <v>26719.023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1</v>
      </c>
      <c r="G26" s="110" t="n">
        <v>0</v>
      </c>
      <c r="H26" s="110" t="n">
        <v>0</v>
      </c>
      <c r="I26" s="110" t="n">
        <v>2</v>
      </c>
      <c r="J26" s="110" t="n">
        <v>0</v>
      </c>
      <c r="K26" s="110" t="n">
        <v>0</v>
      </c>
      <c r="L26" s="110" t="n">
        <v>30</v>
      </c>
      <c r="M26" s="110" t="n">
        <v>11</v>
      </c>
      <c r="N26" s="110" t="n">
        <v>6</v>
      </c>
      <c r="O26" s="110" t="n">
        <v>1</v>
      </c>
      <c r="P26" s="110" t="n">
        <v>1</v>
      </c>
      <c r="Q26" s="110" t="n">
        <v>203</v>
      </c>
      <c r="R26" s="110" t="n">
        <v>255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122487</v>
      </c>
      <c r="G28" s="108" t="n">
        <f aca="false">SUM(G30:G36)</f>
        <v>101505</v>
      </c>
      <c r="H28" s="108" t="n">
        <f aca="false">SUM(H30:H36)</f>
        <v>125283</v>
      </c>
      <c r="I28" s="108" t="n">
        <f aca="false">SUM(I30:I36)</f>
        <v>112077</v>
      </c>
      <c r="J28" s="108" t="n">
        <f aca="false">SUM(J30:J36)</f>
        <v>129689</v>
      </c>
      <c r="K28" s="108" t="n">
        <f aca="false">SUM(K30:K36)</f>
        <v>107830</v>
      </c>
      <c r="L28" s="108" t="n">
        <f aca="false">SUM(L30:L36)</f>
        <v>133445</v>
      </c>
      <c r="M28" s="108" t="n">
        <f aca="false">SUM(M30:M36)</f>
        <v>114928</v>
      </c>
      <c r="N28" s="108" t="n">
        <f aca="false">SUM(N30:N36)</f>
        <v>122838</v>
      </c>
      <c r="O28" s="108" t="n">
        <f aca="false">SUM(O30:O36)</f>
        <v>125196</v>
      </c>
      <c r="P28" s="108" t="n">
        <f aca="false">SUM(P30:P36)</f>
        <v>150748</v>
      </c>
      <c r="Q28" s="108" t="n">
        <f aca="false">SUM(Q30:Q36)</f>
        <v>211670</v>
      </c>
      <c r="R28" s="108" t="n">
        <f aca="false">SUM(R30:R36)</f>
        <v>1557696</v>
      </c>
      <c r="T28" s="110"/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25409</v>
      </c>
      <c r="G30" s="110" t="n">
        <v>26340</v>
      </c>
      <c r="H30" s="110" t="n">
        <v>24627</v>
      </c>
      <c r="I30" s="110" t="n">
        <v>24450</v>
      </c>
      <c r="J30" s="110" t="n">
        <v>28499</v>
      </c>
      <c r="K30" s="110" t="n">
        <v>25869</v>
      </c>
      <c r="L30" s="110" t="n">
        <v>25563</v>
      </c>
      <c r="M30" s="110" t="n">
        <v>24994</v>
      </c>
      <c r="N30" s="110" t="n">
        <v>24314</v>
      </c>
      <c r="O30" s="110" t="n">
        <v>25628</v>
      </c>
      <c r="P30" s="110" t="n">
        <v>26106</v>
      </c>
      <c r="Q30" s="110" t="n">
        <v>33315</v>
      </c>
      <c r="R30" s="110" t="n">
        <f aca="false">SUM(F30:Q30)</f>
        <v>315114</v>
      </c>
    </row>
    <row r="31" customFormat="false" ht="15" hidden="false" customHeight="true" outlineLevel="0" collapsed="false">
      <c r="D31" s="100" t="s">
        <v>29</v>
      </c>
      <c r="F31" s="110" t="n">
        <v>35837</v>
      </c>
      <c r="G31" s="110" t="n">
        <v>22151</v>
      </c>
      <c r="H31" s="110" t="n">
        <v>32732</v>
      </c>
      <c r="I31" s="110" t="n">
        <v>11432</v>
      </c>
      <c r="J31" s="110" t="n">
        <v>15645</v>
      </c>
      <c r="K31" s="110" t="n">
        <v>16705</v>
      </c>
      <c r="L31" s="110" t="n">
        <v>41199</v>
      </c>
      <c r="M31" s="110" t="n">
        <v>20906</v>
      </c>
      <c r="N31" s="110" t="n">
        <v>25835</v>
      </c>
      <c r="O31" s="110" t="n">
        <v>12657</v>
      </c>
      <c r="P31" s="110" t="n">
        <v>16408</v>
      </c>
      <c r="Q31" s="110" t="n">
        <v>27489</v>
      </c>
      <c r="R31" s="110" t="n">
        <f aca="false">SUM(F31:Q31)</f>
        <v>278996</v>
      </c>
    </row>
    <row r="32" customFormat="false" ht="15" hidden="false" customHeight="true" outlineLevel="0" collapsed="false">
      <c r="D32" s="100" t="s">
        <v>30</v>
      </c>
      <c r="F32" s="110" t="n">
        <v>1137</v>
      </c>
      <c r="G32" s="110" t="n">
        <v>604</v>
      </c>
      <c r="H32" s="110" t="n">
        <v>8350</v>
      </c>
      <c r="I32" s="110" t="n">
        <v>2528</v>
      </c>
      <c r="J32" s="110" t="n">
        <v>1246</v>
      </c>
      <c r="K32" s="110" t="n">
        <v>914</v>
      </c>
      <c r="L32" s="110" t="n">
        <v>741</v>
      </c>
      <c r="M32" s="110" t="n">
        <v>3063</v>
      </c>
      <c r="N32" s="110" t="n">
        <v>878</v>
      </c>
      <c r="O32" s="110" t="n">
        <v>3756</v>
      </c>
      <c r="P32" s="110" t="n">
        <v>4179</v>
      </c>
      <c r="Q32" s="110" t="n">
        <v>6137</v>
      </c>
      <c r="R32" s="110" t="n">
        <f aca="false">SUM(F32:Q32)</f>
        <v>33533</v>
      </c>
    </row>
    <row r="33" customFormat="false" ht="15" hidden="false" customHeight="true" outlineLevel="0" collapsed="false">
      <c r="D33" s="100" t="s">
        <v>77</v>
      </c>
      <c r="F33" s="110" t="n">
        <v>1123</v>
      </c>
      <c r="G33" s="110" t="n">
        <v>3193</v>
      </c>
      <c r="H33" s="110" t="n">
        <v>2757</v>
      </c>
      <c r="I33" s="110" t="n">
        <v>110</v>
      </c>
      <c r="J33" s="110" t="n">
        <v>5491</v>
      </c>
      <c r="K33" s="110" t="n">
        <v>1488</v>
      </c>
      <c r="L33" s="110" t="n">
        <v>1103</v>
      </c>
      <c r="M33" s="110" t="n">
        <v>2137</v>
      </c>
      <c r="N33" s="110" t="n">
        <v>1708</v>
      </c>
      <c r="O33" s="110" t="n">
        <v>12630</v>
      </c>
      <c r="P33" s="110" t="n">
        <v>13469</v>
      </c>
      <c r="Q33" s="110" t="n">
        <v>8496</v>
      </c>
      <c r="R33" s="110" t="n">
        <f aca="false">SUM(F33:Q33)</f>
        <v>53705</v>
      </c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0</v>
      </c>
      <c r="H34" s="110" t="n">
        <v>0</v>
      </c>
      <c r="I34" s="110" t="n">
        <v>116</v>
      </c>
      <c r="J34" s="110" t="n">
        <v>0</v>
      </c>
      <c r="K34" s="110" t="n">
        <v>0</v>
      </c>
      <c r="L34" s="110" t="n">
        <v>188</v>
      </c>
      <c r="M34" s="110" t="n">
        <v>0</v>
      </c>
      <c r="N34" s="110" t="n">
        <v>0</v>
      </c>
      <c r="O34" s="110" t="n">
        <v>11028</v>
      </c>
      <c r="P34" s="110" t="n">
        <v>1046</v>
      </c>
      <c r="Q34" s="110" t="n">
        <v>511</v>
      </c>
      <c r="R34" s="110" t="n">
        <f aca="false">SUM(F34:Q34)</f>
        <v>12889</v>
      </c>
    </row>
    <row r="35" customFormat="false" ht="15" hidden="false" customHeight="true" outlineLevel="0" collapsed="false">
      <c r="D35" s="100" t="s">
        <v>78</v>
      </c>
      <c r="F35" s="110" t="n">
        <v>663</v>
      </c>
      <c r="G35" s="110" t="n">
        <v>318</v>
      </c>
      <c r="H35" s="110" t="n">
        <v>1441</v>
      </c>
      <c r="I35" s="110" t="n">
        <v>3664</v>
      </c>
      <c r="J35" s="110" t="n">
        <v>4106</v>
      </c>
      <c r="K35" s="110" t="n">
        <v>2168</v>
      </c>
      <c r="L35" s="110" t="n">
        <v>915</v>
      </c>
      <c r="M35" s="110" t="n">
        <v>282</v>
      </c>
      <c r="N35" s="110" t="n">
        <v>1644</v>
      </c>
      <c r="O35" s="110" t="n">
        <v>1093</v>
      </c>
      <c r="P35" s="110" t="n">
        <v>705</v>
      </c>
      <c r="Q35" s="110" t="n">
        <v>1056</v>
      </c>
      <c r="R35" s="110" t="n">
        <f aca="false">SUM(F35:Q35)</f>
        <v>18055</v>
      </c>
    </row>
    <row r="36" customFormat="false" ht="15" hidden="false" customHeight="true" outlineLevel="0" collapsed="false">
      <c r="D36" s="1" t="s">
        <v>79</v>
      </c>
      <c r="F36" s="110" t="n">
        <v>58318</v>
      </c>
      <c r="G36" s="110" t="n">
        <v>48899</v>
      </c>
      <c r="H36" s="110" t="n">
        <v>55376</v>
      </c>
      <c r="I36" s="110" t="n">
        <v>69777</v>
      </c>
      <c r="J36" s="110" t="n">
        <v>74702</v>
      </c>
      <c r="K36" s="110" t="n">
        <v>60686</v>
      </c>
      <c r="L36" s="110" t="n">
        <v>63736</v>
      </c>
      <c r="M36" s="110" t="n">
        <v>63546</v>
      </c>
      <c r="N36" s="110" t="n">
        <v>68459</v>
      </c>
      <c r="O36" s="110" t="n">
        <v>58404</v>
      </c>
      <c r="P36" s="110" t="n">
        <v>88835</v>
      </c>
      <c r="Q36" s="110" t="n">
        <v>134666</v>
      </c>
      <c r="R36" s="110" t="n">
        <f aca="false">SUM(F36:Q36)</f>
        <v>845404</v>
      </c>
      <c r="T36" s="110"/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13424</v>
      </c>
      <c r="G38" s="112" t="n">
        <f aca="false">+G8-G28</f>
        <v>-21490</v>
      </c>
      <c r="H38" s="112" t="n">
        <f aca="false">+H8-H28</f>
        <v>-18131</v>
      </c>
      <c r="I38" s="112" t="n">
        <f aca="false">+I8-I28</f>
        <v>26258</v>
      </c>
      <c r="J38" s="112" t="n">
        <f aca="false">+J8-J28</f>
        <v>-9601</v>
      </c>
      <c r="K38" s="112" t="n">
        <f aca="false">+K8-K28</f>
        <v>-7691</v>
      </c>
      <c r="L38" s="112" t="n">
        <f aca="false">+L8-L28</f>
        <v>-26482</v>
      </c>
      <c r="M38" s="112" t="n">
        <f aca="false">+M8-M28</f>
        <v>9220</v>
      </c>
      <c r="N38" s="112" t="n">
        <f aca="false">+N8-N28</f>
        <v>-18501</v>
      </c>
      <c r="O38" s="112" t="n">
        <f aca="false">+O8-O28</f>
        <v>-21257</v>
      </c>
      <c r="P38" s="112" t="n">
        <f aca="false">+P8-P28</f>
        <v>-22003</v>
      </c>
      <c r="Q38" s="112" t="n">
        <f aca="false">+Q8-Q28</f>
        <v>-101500</v>
      </c>
      <c r="R38" s="112" t="n">
        <f aca="false">SUM(F38:Q38)</f>
        <v>-197754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-64709</v>
      </c>
      <c r="G40" s="108" t="n">
        <v>-102965</v>
      </c>
      <c r="H40" s="108" t="n">
        <v>103661</v>
      </c>
      <c r="I40" s="108" t="n">
        <v>33287</v>
      </c>
      <c r="J40" s="108" t="n">
        <v>34410</v>
      </c>
      <c r="K40" s="108" t="n">
        <v>19625</v>
      </c>
      <c r="L40" s="108" t="n">
        <v>10274</v>
      </c>
      <c r="M40" s="108" t="n">
        <v>-18154</v>
      </c>
      <c r="N40" s="108" t="n">
        <v>-5701</v>
      </c>
      <c r="O40" s="108" t="n">
        <v>90460</v>
      </c>
      <c r="P40" s="108" t="n">
        <v>-532</v>
      </c>
      <c r="Q40" s="108" t="n">
        <v>15607</v>
      </c>
      <c r="R40" s="108" t="n">
        <v>115263</v>
      </c>
    </row>
    <row r="41" customFormat="false" ht="15" hidden="false" customHeight="true" outlineLevel="0" collapsed="false">
      <c r="C41" s="100" t="s">
        <v>37</v>
      </c>
      <c r="F41" s="109" t="n">
        <v>54449</v>
      </c>
      <c r="G41" s="109" t="n">
        <v>-61362</v>
      </c>
      <c r="H41" s="109" t="n">
        <v>61279</v>
      </c>
      <c r="I41" s="109" t="n">
        <v>658</v>
      </c>
      <c r="J41" s="109" t="n">
        <v>-3178</v>
      </c>
      <c r="K41" s="109" t="n">
        <v>-3262</v>
      </c>
      <c r="L41" s="109" t="n">
        <v>2494</v>
      </c>
      <c r="M41" s="109" t="n">
        <v>5139</v>
      </c>
      <c r="N41" s="109" t="n">
        <v>4133</v>
      </c>
      <c r="O41" s="109" t="n">
        <v>1158</v>
      </c>
      <c r="P41" s="109" t="n">
        <v>-4545</v>
      </c>
      <c r="Q41" s="109" t="n">
        <v>-5803</v>
      </c>
      <c r="R41" s="109" t="n">
        <v>51160</v>
      </c>
    </row>
    <row r="42" customFormat="false" ht="15" hidden="false" customHeight="true" outlineLevel="0" collapsed="false">
      <c r="D42" s="100" t="s">
        <v>38</v>
      </c>
      <c r="F42" s="110" t="n">
        <v>55765</v>
      </c>
      <c r="G42" s="110" t="n">
        <v>1828</v>
      </c>
      <c r="H42" s="110" t="n">
        <v>67583</v>
      </c>
      <c r="I42" s="110" t="n">
        <v>3129</v>
      </c>
      <c r="J42" s="110" t="n">
        <v>2489</v>
      </c>
      <c r="K42" s="110" t="n">
        <v>3156</v>
      </c>
      <c r="L42" s="110" t="n">
        <v>3742</v>
      </c>
      <c r="M42" s="110" t="n">
        <v>13057</v>
      </c>
      <c r="N42" s="110" t="n">
        <v>10729</v>
      </c>
      <c r="O42" s="110" t="n">
        <v>3967</v>
      </c>
      <c r="P42" s="110" t="n">
        <v>1670</v>
      </c>
      <c r="Q42" s="110" t="n">
        <v>27204</v>
      </c>
      <c r="R42" s="110" t="n">
        <v>194319</v>
      </c>
    </row>
    <row r="43" customFormat="false" ht="15" hidden="false" customHeight="true" outlineLevel="0" collapsed="false">
      <c r="D43" s="100" t="s">
        <v>97</v>
      </c>
      <c r="F43" s="110" t="n">
        <v>1316</v>
      </c>
      <c r="G43" s="110" t="n">
        <v>63190</v>
      </c>
      <c r="H43" s="110" t="n">
        <v>6304</v>
      </c>
      <c r="I43" s="110" t="n">
        <v>2471</v>
      </c>
      <c r="J43" s="110" t="n">
        <v>5667</v>
      </c>
      <c r="K43" s="110" t="n">
        <v>6418</v>
      </c>
      <c r="L43" s="110" t="n">
        <v>1248</v>
      </c>
      <c r="M43" s="110" t="n">
        <v>7918</v>
      </c>
      <c r="N43" s="110" t="n">
        <v>6596</v>
      </c>
      <c r="O43" s="110" t="n">
        <v>2809</v>
      </c>
      <c r="P43" s="110" t="n">
        <v>6215</v>
      </c>
      <c r="Q43" s="110" t="n">
        <v>33007</v>
      </c>
      <c r="R43" s="110" t="n">
        <v>143159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-119158</v>
      </c>
      <c r="G45" s="109" t="n">
        <v>-41603</v>
      </c>
      <c r="H45" s="109" t="n">
        <v>42382</v>
      </c>
      <c r="I45" s="109" t="n">
        <v>32629</v>
      </c>
      <c r="J45" s="109" t="n">
        <v>37588</v>
      </c>
      <c r="K45" s="109" t="n">
        <v>22887</v>
      </c>
      <c r="L45" s="109" t="n">
        <v>7780</v>
      </c>
      <c r="M45" s="109" t="n">
        <v>-23293</v>
      </c>
      <c r="N45" s="109" t="n">
        <v>-9834</v>
      </c>
      <c r="O45" s="109" t="n">
        <v>89302</v>
      </c>
      <c r="P45" s="109" t="n">
        <v>4013</v>
      </c>
      <c r="Q45" s="109" t="n">
        <v>21410</v>
      </c>
      <c r="R45" s="109" t="n">
        <v>64103</v>
      </c>
    </row>
    <row r="46" customFormat="false" ht="15" hidden="false" customHeight="true" outlineLevel="0" collapsed="false">
      <c r="D46" s="100" t="s">
        <v>41</v>
      </c>
      <c r="F46" s="110" t="n">
        <v>-30515</v>
      </c>
      <c r="G46" s="110" t="n">
        <v>-10428</v>
      </c>
      <c r="H46" s="110" t="n">
        <v>93099</v>
      </c>
      <c r="I46" s="110" t="n">
        <v>36949</v>
      </c>
      <c r="J46" s="110" t="n">
        <v>50981</v>
      </c>
      <c r="K46" s="110" t="n">
        <v>23542</v>
      </c>
      <c r="L46" s="110" t="n">
        <v>8480</v>
      </c>
      <c r="M46" s="110" t="n">
        <v>21069</v>
      </c>
      <c r="N46" s="110" t="n">
        <v>30141</v>
      </c>
      <c r="O46" s="110" t="n">
        <v>96183</v>
      </c>
      <c r="P46" s="110" t="n">
        <v>14842</v>
      </c>
      <c r="Q46" s="110" t="n">
        <v>30355</v>
      </c>
      <c r="R46" s="110" t="n">
        <v>364698</v>
      </c>
    </row>
    <row r="47" customFormat="false" ht="15" hidden="false" customHeight="true" outlineLevel="0" collapsed="false">
      <c r="D47" s="100" t="s">
        <v>97</v>
      </c>
      <c r="F47" s="110" t="n">
        <v>88643</v>
      </c>
      <c r="G47" s="110" t="n">
        <v>31175</v>
      </c>
      <c r="H47" s="110" t="n">
        <v>50717</v>
      </c>
      <c r="I47" s="110" t="n">
        <v>4320</v>
      </c>
      <c r="J47" s="110" t="n">
        <v>13393</v>
      </c>
      <c r="K47" s="110" t="n">
        <v>655</v>
      </c>
      <c r="L47" s="110" t="n">
        <v>700</v>
      </c>
      <c r="M47" s="110" t="n">
        <v>44362</v>
      </c>
      <c r="N47" s="110" t="n">
        <v>39975</v>
      </c>
      <c r="O47" s="110" t="n">
        <v>6881</v>
      </c>
      <c r="P47" s="110" t="n">
        <v>10829</v>
      </c>
      <c r="Q47" s="110" t="n">
        <v>8945</v>
      </c>
      <c r="R47" s="110" t="n">
        <v>300595</v>
      </c>
    </row>
    <row r="48" customFormat="false" ht="1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customFormat="false" ht="15" hidden="false" customHeight="true" outlineLevel="0" collapsed="false">
      <c r="B49" s="107" t="s">
        <v>45</v>
      </c>
      <c r="C49" s="107"/>
      <c r="D49" s="107"/>
      <c r="E49" s="107"/>
      <c r="F49" s="108" t="n">
        <v>78836</v>
      </c>
      <c r="G49" s="108" t="n">
        <v>-79379</v>
      </c>
      <c r="H49" s="108" t="n">
        <v>78119</v>
      </c>
      <c r="I49" s="108" t="n">
        <v>43974</v>
      </c>
      <c r="J49" s="108" t="n">
        <v>181584</v>
      </c>
      <c r="K49" s="108" t="n">
        <v>16019</v>
      </c>
      <c r="L49" s="108" t="n">
        <v>-148369</v>
      </c>
      <c r="M49" s="108" t="n">
        <v>-192547</v>
      </c>
      <c r="N49" s="108" t="n">
        <v>33663</v>
      </c>
      <c r="O49" s="108" t="n">
        <v>-103437</v>
      </c>
      <c r="P49" s="108" t="n">
        <v>-39372</v>
      </c>
      <c r="Q49" s="108" t="n">
        <v>51244</v>
      </c>
      <c r="R49" s="108" t="n">
        <v>-79665</v>
      </c>
    </row>
    <row r="50" customFormat="false" ht="14.25" hidden="false" customHeight="false" outlineLevel="0" collapsed="false">
      <c r="F50" s="110"/>
      <c r="G50" s="110"/>
      <c r="H50" s="110"/>
      <c r="I50" s="110"/>
    </row>
    <row r="51" customFormat="false" ht="15" hidden="false" customHeight="false" outlineLevel="0" collapsed="false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</row>
    <row r="52" customFormat="false" ht="15" hidden="false" customHeight="false" outlineLevel="0" collapsed="false">
      <c r="B52" s="103" t="s">
        <v>46</v>
      </c>
    </row>
    <row r="53" customFormat="false" ht="14.25" hidden="false" customHeight="false" outlineLevel="0" collapsed="false">
      <c r="B53" s="103"/>
      <c r="C53" s="31" t="s">
        <v>98</v>
      </c>
    </row>
    <row r="54" customFormat="false" ht="14.25" hidden="false" customHeight="false" outlineLevel="0" collapsed="false">
      <c r="B54" s="31"/>
      <c r="C54" s="31" t="s">
        <v>99</v>
      </c>
    </row>
    <row r="57" customFormat="false" ht="14.25" hidden="false" customHeight="false" outlineLevel="0" collapsed="false">
      <c r="B57" s="31" t="s">
        <v>51</v>
      </c>
    </row>
    <row r="58" customFormat="false" ht="14.25" hidden="false" customHeight="false" outlineLevel="0" collapsed="false">
      <c r="B58" s="31" t="s">
        <v>106</v>
      </c>
    </row>
  </sheetData>
  <mergeCells count="2">
    <mergeCell ref="A4:E4"/>
    <mergeCell ref="A6:E6"/>
  </mergeCells>
  <printOptions headings="false" gridLines="false" gridLinesSet="true" horizontalCentered="true" verticalCentered="false"/>
  <pageMargins left="0" right="0" top="1.10208333333333" bottom="0.7875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2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64" activeCellId="0" sqref="A64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29"/>
    <col collapsed="false" customWidth="true" hidden="false" outlineLevel="0" max="6" min="6" style="1" width="9.58"/>
    <col collapsed="false" customWidth="true" hidden="false" outlineLevel="0" max="8" min="7" style="1" width="10.29"/>
    <col collapsed="false" customWidth="true" hidden="false" outlineLevel="0" max="9" min="9" style="1" width="9.58"/>
    <col collapsed="false" customWidth="true" hidden="false" outlineLevel="0" max="11" min="10" style="1" width="10.29"/>
    <col collapsed="false" customWidth="true" hidden="false" outlineLevel="0" max="13" min="12" style="1" width="9.58"/>
    <col collapsed="false" customWidth="true" hidden="false" outlineLevel="0" max="14" min="14" style="1" width="10.29"/>
    <col collapsed="false" customWidth="true" hidden="false" outlineLevel="0" max="15" min="15" style="1" width="9.58"/>
    <col collapsed="false" customWidth="true" hidden="false" outlineLevel="0" max="17" min="16" style="1" width="10.29"/>
    <col collapsed="false" customWidth="true" hidden="false" outlineLevel="0" max="18" min="18" style="1" width="11.99"/>
    <col collapsed="false" customWidth="true" hidden="false" outlineLevel="0" max="19" min="19" style="1" width="10.71"/>
    <col collapsed="false" customWidth="false" hidden="false" outlineLevel="0" max="1024" min="20" style="1" width="9.14"/>
  </cols>
  <sheetData>
    <row r="1" customFormat="false" ht="6" hidden="false" customHeight="true" outlineLevel="0" collapsed="false"/>
    <row r="2" customFormat="false" ht="15" hidden="false" customHeight="false" outlineLevel="0" collapsed="false">
      <c r="A2" s="2" t="s">
        <v>0</v>
      </c>
      <c r="B2" s="2"/>
      <c r="C2" s="2"/>
      <c r="D2" s="2"/>
      <c r="E2" s="2"/>
    </row>
    <row r="3" customFormat="false" ht="15" hidden="false" customHeight="false" outlineLevel="0" collapsed="false">
      <c r="A3" s="2" t="s">
        <v>52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 t="s">
        <v>3</v>
      </c>
      <c r="B5" s="3"/>
    </row>
    <row r="6" customFormat="false" ht="6" hidden="false" customHeight="true" outlineLevel="0" collapsed="false"/>
    <row r="7" s="6" customFormat="true" ht="25.5" hidden="false" customHeight="true" outlineLevel="0" collapsed="false">
      <c r="A7" s="5" t="s">
        <v>4</v>
      </c>
      <c r="B7" s="5"/>
      <c r="C7" s="5"/>
      <c r="D7" s="5"/>
      <c r="E7" s="5"/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53</v>
      </c>
      <c r="M7" s="5" t="s">
        <v>54</v>
      </c>
      <c r="N7" s="5" t="s">
        <v>55</v>
      </c>
      <c r="O7" s="5" t="s">
        <v>56</v>
      </c>
      <c r="P7" s="5" t="s">
        <v>57</v>
      </c>
      <c r="Q7" s="5" t="s">
        <v>58</v>
      </c>
      <c r="R7" s="5" t="s">
        <v>11</v>
      </c>
    </row>
    <row r="8" customFormat="false" ht="6.75" hidden="false" customHeight="true" outlineLevel="0" collapsed="false"/>
    <row r="9" customFormat="false" ht="15" hidden="false" customHeight="false" outlineLevel="0" collapsed="false">
      <c r="B9" s="7" t="s">
        <v>12</v>
      </c>
      <c r="C9" s="7"/>
      <c r="D9" s="7"/>
      <c r="E9" s="7"/>
      <c r="F9" s="34" t="n">
        <f aca="false">+F10+F21+F28</f>
        <v>278075</v>
      </c>
      <c r="G9" s="34" t="n">
        <f aca="false">+G10+G21+G28</f>
        <v>212402</v>
      </c>
      <c r="H9" s="34" t="n">
        <f aca="false">+H10+H21+H28</f>
        <v>293883</v>
      </c>
      <c r="I9" s="34" t="n">
        <f aca="false">+I10+I21+I28</f>
        <v>347949</v>
      </c>
      <c r="J9" s="34" t="n">
        <f aca="false">+J10+J21+J28</f>
        <v>304915</v>
      </c>
      <c r="K9" s="34" t="n">
        <f aca="false">+K10+K21+K28</f>
        <v>290268</v>
      </c>
      <c r="L9" s="34" t="n">
        <f aca="false">+L10+L21+L28</f>
        <v>308632</v>
      </c>
      <c r="M9" s="34" t="n">
        <f aca="false">+M10+M21+M28</f>
        <v>332440</v>
      </c>
      <c r="N9" s="34" t="n">
        <f aca="false">+N10+N21+N28</f>
        <v>288814</v>
      </c>
      <c r="O9" s="34" t="n">
        <f aca="false">+O10+O21+O28</f>
        <v>288873</v>
      </c>
      <c r="P9" s="34" t="n">
        <f aca="false">+P10+P21+P28</f>
        <v>331061</v>
      </c>
      <c r="Q9" s="34" t="n">
        <f aca="false">+Q10+Q21+Q28</f>
        <v>268193</v>
      </c>
      <c r="R9" s="34" t="n">
        <f aca="false">+R10+R21+R28</f>
        <v>3545505</v>
      </c>
    </row>
    <row r="10" customFormat="false" ht="15" hidden="false" customHeight="false" outlineLevel="0" collapsed="false">
      <c r="C10" s="1" t="s">
        <v>13</v>
      </c>
      <c r="F10" s="34" t="n">
        <f aca="false">+F11+F16+F19</f>
        <v>255626</v>
      </c>
      <c r="G10" s="34" t="n">
        <f aca="false">+G11+G16+G19</f>
        <v>198253</v>
      </c>
      <c r="H10" s="34" t="n">
        <f aca="false">+H11+H16+H19</f>
        <v>243819</v>
      </c>
      <c r="I10" s="34" t="n">
        <f aca="false">+I11+I16+I19</f>
        <v>307083</v>
      </c>
      <c r="J10" s="34" t="n">
        <f aca="false">+J11+J16+J19</f>
        <v>284792</v>
      </c>
      <c r="K10" s="34" t="n">
        <f aca="false">+K11+K16+K19</f>
        <v>251760</v>
      </c>
      <c r="L10" s="34" t="n">
        <f aca="false">+L11+L16+L19</f>
        <v>282919</v>
      </c>
      <c r="M10" s="34" t="n">
        <f aca="false">+M11+M16+M19</f>
        <v>309735</v>
      </c>
      <c r="N10" s="34" t="n">
        <f aca="false">+N11+N16+N19</f>
        <v>254993</v>
      </c>
      <c r="O10" s="34" t="n">
        <f aca="false">+O11+O16+O19</f>
        <v>263472</v>
      </c>
      <c r="P10" s="34" t="n">
        <f aca="false">+P11+P16+P19</f>
        <v>313974</v>
      </c>
      <c r="Q10" s="34" t="n">
        <f aca="false">+Q11+Q16+Q19</f>
        <v>253889</v>
      </c>
      <c r="R10" s="34" t="n">
        <f aca="false">+R11+R16+R19</f>
        <v>3220315</v>
      </c>
    </row>
    <row r="11" customFormat="false" ht="14.25" hidden="false" customHeight="false" outlineLevel="0" collapsed="false">
      <c r="D11" s="1" t="s">
        <v>14</v>
      </c>
      <c r="F11" s="35" t="n">
        <v>195775</v>
      </c>
      <c r="G11" s="35" t="n">
        <v>136607</v>
      </c>
      <c r="H11" s="35" t="n">
        <v>170384</v>
      </c>
      <c r="I11" s="35" t="n">
        <v>239604</v>
      </c>
      <c r="J11" s="35" t="n">
        <v>216618</v>
      </c>
      <c r="K11" s="35" t="n">
        <v>173540</v>
      </c>
      <c r="L11" s="35" t="n">
        <v>197390</v>
      </c>
      <c r="M11" s="35" t="n">
        <v>228938</v>
      </c>
      <c r="N11" s="35" t="n">
        <v>173629</v>
      </c>
      <c r="O11" s="35" t="n">
        <v>186759</v>
      </c>
      <c r="P11" s="35" t="n">
        <v>237143</v>
      </c>
      <c r="Q11" s="35" t="n">
        <v>179287</v>
      </c>
      <c r="R11" s="35" t="n">
        <f aca="false">SUM(F11:Q11)</f>
        <v>2335674</v>
      </c>
    </row>
    <row r="12" customFormat="false" ht="14.25" hidden="false" customHeight="false" outlineLevel="0" collapsed="false">
      <c r="E12" s="6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customFormat="false" ht="14.25" hidden="false" customHeight="false" outlineLevel="0" collapsed="false">
      <c r="E13" s="1" t="s">
        <v>16</v>
      </c>
      <c r="F13" s="36" t="n">
        <v>3018</v>
      </c>
      <c r="G13" s="36" t="n">
        <v>1583</v>
      </c>
      <c r="H13" s="36" t="n">
        <v>1182</v>
      </c>
      <c r="I13" s="36" t="n">
        <v>5190</v>
      </c>
      <c r="J13" s="36" t="n">
        <v>1792</v>
      </c>
      <c r="K13" s="36" t="n">
        <v>1101</v>
      </c>
      <c r="L13" s="36" t="n">
        <v>0</v>
      </c>
      <c r="M13" s="36" t="n">
        <v>2802</v>
      </c>
      <c r="N13" s="36" t="n">
        <v>1659</v>
      </c>
      <c r="O13" s="36" t="n">
        <v>25</v>
      </c>
      <c r="P13" s="36" t="n">
        <v>5774</v>
      </c>
      <c r="Q13" s="36" t="n">
        <v>921</v>
      </c>
      <c r="R13" s="35" t="n">
        <f aca="false">SUM(F13:Q13)</f>
        <v>25047</v>
      </c>
    </row>
    <row r="14" customFormat="false" ht="14.25" hidden="false" customHeight="false" outlineLevel="0" collapsed="false">
      <c r="E14" s="1" t="s">
        <v>17</v>
      </c>
      <c r="F14" s="35" t="n">
        <v>34</v>
      </c>
      <c r="G14" s="35" t="n">
        <v>32</v>
      </c>
      <c r="H14" s="35" t="n">
        <v>35</v>
      </c>
      <c r="I14" s="35" t="n">
        <v>38</v>
      </c>
      <c r="J14" s="35" t="n">
        <v>2622</v>
      </c>
      <c r="K14" s="35" t="n">
        <v>678</v>
      </c>
      <c r="L14" s="35" t="n">
        <v>213</v>
      </c>
      <c r="M14" s="35" t="n">
        <v>132</v>
      </c>
      <c r="N14" s="35" t="n">
        <v>2619</v>
      </c>
      <c r="O14" s="35" t="n">
        <v>190</v>
      </c>
      <c r="P14" s="35" t="n">
        <v>37</v>
      </c>
      <c r="Q14" s="35" t="n">
        <v>272</v>
      </c>
      <c r="R14" s="35" t="n">
        <f aca="false">SUM(F14:Q14)</f>
        <v>6902</v>
      </c>
    </row>
    <row r="15" customFormat="false" ht="6" hidden="false" customHeight="true" outlineLevel="0" collapsed="false"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customFormat="false" ht="14.25" hidden="false" customHeight="false" outlineLevel="0" collapsed="false">
      <c r="D16" s="1" t="s">
        <v>18</v>
      </c>
      <c r="F16" s="37" t="n">
        <v>58346</v>
      </c>
      <c r="G16" s="37" t="n">
        <v>59433</v>
      </c>
      <c r="H16" s="37" t="n">
        <v>70778</v>
      </c>
      <c r="I16" s="37" t="n">
        <v>65669</v>
      </c>
      <c r="J16" s="37" t="n">
        <v>66288</v>
      </c>
      <c r="K16" s="37" t="n">
        <v>76201</v>
      </c>
      <c r="L16" s="37" t="n">
        <v>83596</v>
      </c>
      <c r="M16" s="37" t="n">
        <v>78884</v>
      </c>
      <c r="N16" s="37" t="n">
        <v>79273</v>
      </c>
      <c r="O16" s="37" t="n">
        <v>75055</v>
      </c>
      <c r="P16" s="37" t="n">
        <v>75724</v>
      </c>
      <c r="Q16" s="35" t="n">
        <v>73173</v>
      </c>
      <c r="R16" s="35" t="n">
        <f aca="false">SUM(F16:Q16)</f>
        <v>862420</v>
      </c>
    </row>
    <row r="17" customFormat="false" ht="14.25" hidden="false" customHeight="false" outlineLevel="0" collapsed="false">
      <c r="E17" s="6" t="s">
        <v>15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 t="s">
        <v>59</v>
      </c>
    </row>
    <row r="18" customFormat="false" ht="14.25" hidden="false" customHeight="false" outlineLevel="0" collapsed="false">
      <c r="E18" s="1" t="s">
        <v>17</v>
      </c>
      <c r="F18" s="36" t="n">
        <v>330</v>
      </c>
      <c r="G18" s="36" t="n">
        <v>321</v>
      </c>
      <c r="H18" s="36" t="n">
        <v>93</v>
      </c>
      <c r="I18" s="36" t="n">
        <v>384</v>
      </c>
      <c r="J18" s="36" t="n">
        <v>7</v>
      </c>
      <c r="K18" s="36" t="n">
        <v>301</v>
      </c>
      <c r="L18" s="36" t="n">
        <v>1128</v>
      </c>
      <c r="M18" s="36" t="n">
        <v>677</v>
      </c>
      <c r="N18" s="36" t="n">
        <v>3</v>
      </c>
      <c r="O18" s="36" t="n">
        <v>1062</v>
      </c>
      <c r="P18" s="36" t="n">
        <v>1274</v>
      </c>
      <c r="Q18" s="36" t="n">
        <v>2255</v>
      </c>
      <c r="R18" s="35" t="n">
        <f aca="false">SUM(F18:Q18)</f>
        <v>7835</v>
      </c>
    </row>
    <row r="19" customFormat="false" ht="14.25" hidden="false" customHeight="false" outlineLevel="0" collapsed="false">
      <c r="D19" s="1" t="s">
        <v>19</v>
      </c>
      <c r="F19" s="37" t="n">
        <v>1505</v>
      </c>
      <c r="G19" s="37" t="n">
        <v>2213</v>
      </c>
      <c r="H19" s="37" t="n">
        <v>2657</v>
      </c>
      <c r="I19" s="37" t="n">
        <v>1810</v>
      </c>
      <c r="J19" s="37" t="n">
        <v>1886</v>
      </c>
      <c r="K19" s="37" t="n">
        <v>2019</v>
      </c>
      <c r="L19" s="37" t="n">
        <v>1933</v>
      </c>
      <c r="M19" s="37" t="n">
        <v>1913</v>
      </c>
      <c r="N19" s="37" t="n">
        <v>2091</v>
      </c>
      <c r="O19" s="37" t="n">
        <v>1658</v>
      </c>
      <c r="P19" s="37" t="n">
        <v>1107</v>
      </c>
      <c r="Q19" s="37" t="n">
        <v>1429</v>
      </c>
      <c r="R19" s="35" t="n">
        <f aca="false">SUM(F19:Q19)</f>
        <v>22221</v>
      </c>
    </row>
    <row r="20" customFormat="false" ht="14.25" hidden="false" customHeight="false" outlineLevel="0" collapsed="false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customFormat="false" ht="15" hidden="false" customHeight="false" outlineLevel="0" collapsed="false">
      <c r="C21" s="1" t="s">
        <v>20</v>
      </c>
      <c r="F21" s="34" t="n">
        <f aca="false">SUM(F22:F26)</f>
        <v>22447</v>
      </c>
      <c r="G21" s="34" t="n">
        <f aca="false">SUM(G22:G26)</f>
        <v>14090</v>
      </c>
      <c r="H21" s="34" t="n">
        <f aca="false">SUM(H22:H26)</f>
        <v>50059</v>
      </c>
      <c r="I21" s="34" t="n">
        <f aca="false">SUM(I22:I26)</f>
        <v>40751</v>
      </c>
      <c r="J21" s="34" t="n">
        <f aca="false">SUM(J22:J26)</f>
        <v>19780</v>
      </c>
      <c r="K21" s="34" t="n">
        <f aca="false">SUM(K22:K26)</f>
        <v>38427</v>
      </c>
      <c r="L21" s="34" t="n">
        <f aca="false">SUM(L22:L26)</f>
        <v>25397</v>
      </c>
      <c r="M21" s="34" t="n">
        <f aca="false">SUM(M22:M26)</f>
        <v>22691</v>
      </c>
      <c r="N21" s="34" t="n">
        <f aca="false">SUM(N22:N26)</f>
        <v>33820</v>
      </c>
      <c r="O21" s="34" t="n">
        <f aca="false">SUM(O22:O26)</f>
        <v>25396</v>
      </c>
      <c r="P21" s="34" t="n">
        <f aca="false">SUM(P22:P26)</f>
        <v>16975</v>
      </c>
      <c r="Q21" s="34" t="n">
        <f aca="false">SUM(Q22:Q26)</f>
        <v>14249</v>
      </c>
      <c r="R21" s="34" t="n">
        <f aca="false">SUM(R22:R26)</f>
        <v>324082</v>
      </c>
      <c r="S21" s="34"/>
    </row>
    <row r="22" customFormat="false" ht="14.25" hidden="false" customHeight="false" outlineLevel="0" collapsed="false">
      <c r="D22" s="1" t="s">
        <v>21</v>
      </c>
      <c r="F22" s="35" t="n">
        <v>11117</v>
      </c>
      <c r="G22" s="35" t="n">
        <v>4224</v>
      </c>
      <c r="H22" s="35" t="n">
        <v>33403</v>
      </c>
      <c r="I22" s="35" t="n">
        <v>25695</v>
      </c>
      <c r="J22" s="35" t="n">
        <v>8917</v>
      </c>
      <c r="K22" s="35" t="n">
        <v>20755</v>
      </c>
      <c r="L22" s="35" t="n">
        <v>13389</v>
      </c>
      <c r="M22" s="35" t="n">
        <v>4907</v>
      </c>
      <c r="N22" s="35" t="n">
        <v>7304</v>
      </c>
      <c r="O22" s="35" t="n">
        <v>13218</v>
      </c>
      <c r="P22" s="35" t="n">
        <v>5279</v>
      </c>
      <c r="Q22" s="35" t="n">
        <v>6556</v>
      </c>
      <c r="R22" s="35" t="n">
        <f aca="false">SUM(F22:Q22)</f>
        <v>154764</v>
      </c>
    </row>
    <row r="23" customFormat="false" ht="14.25" hidden="false" customHeight="false" outlineLevel="0" collapsed="false">
      <c r="D23" s="1" t="s">
        <v>22</v>
      </c>
      <c r="F23" s="35" t="n">
        <v>6785</v>
      </c>
      <c r="G23" s="35" t="n">
        <v>4928</v>
      </c>
      <c r="H23" s="35" t="n">
        <v>8267</v>
      </c>
      <c r="I23" s="35" t="n">
        <v>5072</v>
      </c>
      <c r="J23" s="35" t="n">
        <v>5990</v>
      </c>
      <c r="K23" s="35" t="n">
        <v>13230</v>
      </c>
      <c r="L23" s="35" t="n">
        <v>7486</v>
      </c>
      <c r="M23" s="35" t="n">
        <v>11153</v>
      </c>
      <c r="N23" s="35" t="n">
        <v>11045</v>
      </c>
      <c r="O23" s="35" t="n">
        <v>7069</v>
      </c>
      <c r="P23" s="35" t="n">
        <v>8729</v>
      </c>
      <c r="Q23" s="35" t="n">
        <v>11243</v>
      </c>
      <c r="R23" s="35" t="n">
        <f aca="false">SUM(F23:Q23)</f>
        <v>100997</v>
      </c>
    </row>
    <row r="24" customFormat="false" ht="14.25" hidden="false" customHeight="false" outlineLevel="0" collapsed="false">
      <c r="D24" s="1" t="s">
        <v>23</v>
      </c>
      <c r="F24" s="35" t="n">
        <v>0</v>
      </c>
      <c r="G24" s="35" t="n">
        <v>4</v>
      </c>
      <c r="H24" s="35" t="n">
        <v>4</v>
      </c>
      <c r="I24" s="35" t="n">
        <v>12</v>
      </c>
      <c r="J24" s="35" t="n">
        <v>45</v>
      </c>
      <c r="K24" s="35" t="n">
        <v>8</v>
      </c>
      <c r="L24" s="35" t="n">
        <v>8</v>
      </c>
      <c r="M24" s="35" t="n">
        <v>0</v>
      </c>
      <c r="N24" s="35" t="n">
        <v>8</v>
      </c>
      <c r="O24" s="35" t="n">
        <v>33</v>
      </c>
      <c r="P24" s="35" t="n">
        <v>11</v>
      </c>
      <c r="Q24" s="35" t="n">
        <v>1513</v>
      </c>
      <c r="R24" s="35" t="n">
        <f aca="false">SUM(F24:Q24)</f>
        <v>1646</v>
      </c>
    </row>
    <row r="25" customFormat="false" ht="14.25" hidden="false" customHeight="false" outlineLevel="0" collapsed="false">
      <c r="D25" s="1" t="s">
        <v>24</v>
      </c>
      <c r="F25" s="37" t="n">
        <v>1199</v>
      </c>
      <c r="G25" s="37" t="n">
        <v>2370</v>
      </c>
      <c r="H25" s="37" t="n">
        <v>2191</v>
      </c>
      <c r="I25" s="37" t="n">
        <v>1551</v>
      </c>
      <c r="J25" s="35" t="n">
        <v>2255</v>
      </c>
      <c r="K25" s="35" t="n">
        <v>2410</v>
      </c>
      <c r="L25" s="35" t="n">
        <v>2616</v>
      </c>
      <c r="M25" s="35" t="n">
        <v>2347</v>
      </c>
      <c r="N25" s="35" t="n">
        <v>2664</v>
      </c>
      <c r="O25" s="35" t="n">
        <v>1838</v>
      </c>
      <c r="P25" s="35" t="n">
        <v>2716</v>
      </c>
      <c r="Q25" s="35" t="n">
        <v>1745</v>
      </c>
      <c r="R25" s="35" t="n">
        <f aca="false">SUM(F25:Q25)</f>
        <v>25902</v>
      </c>
    </row>
    <row r="26" customFormat="false" ht="14.25" hidden="false" customHeight="false" outlineLevel="0" collapsed="false">
      <c r="D26" s="1" t="s">
        <v>25</v>
      </c>
      <c r="F26" s="35" t="n">
        <v>3346</v>
      </c>
      <c r="G26" s="35" t="n">
        <v>2564</v>
      </c>
      <c r="H26" s="35" t="n">
        <v>6194</v>
      </c>
      <c r="I26" s="35" t="n">
        <v>8421</v>
      </c>
      <c r="J26" s="35" t="n">
        <v>2573</v>
      </c>
      <c r="K26" s="35" t="n">
        <v>2024</v>
      </c>
      <c r="L26" s="35" t="n">
        <v>1898</v>
      </c>
      <c r="M26" s="35" t="n">
        <v>4284</v>
      </c>
      <c r="N26" s="35" t="n">
        <v>12799</v>
      </c>
      <c r="O26" s="35" t="n">
        <v>3238</v>
      </c>
      <c r="P26" s="35" t="n">
        <v>240</v>
      </c>
      <c r="Q26" s="35" t="n">
        <v>-6808</v>
      </c>
      <c r="R26" s="35" t="n">
        <f aca="false">SUM(F26:Q26)</f>
        <v>40773</v>
      </c>
    </row>
    <row r="27" customFormat="false" ht="14.25" hidden="false" customHeight="false" outlineLevel="0" collapsed="false"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customFormat="false" ht="14.25" hidden="false" customHeight="false" outlineLevel="0" collapsed="false">
      <c r="C28" s="1" t="s">
        <v>26</v>
      </c>
      <c r="F28" s="35" t="n">
        <v>2</v>
      </c>
      <c r="G28" s="35" t="n">
        <v>59</v>
      </c>
      <c r="H28" s="35" t="n">
        <v>5</v>
      </c>
      <c r="I28" s="35" t="n">
        <v>115</v>
      </c>
      <c r="J28" s="35" t="n">
        <v>343</v>
      </c>
      <c r="K28" s="35" t="n">
        <v>81</v>
      </c>
      <c r="L28" s="35" t="n">
        <v>316</v>
      </c>
      <c r="M28" s="35" t="n">
        <v>14</v>
      </c>
      <c r="N28" s="35" t="n">
        <v>1</v>
      </c>
      <c r="O28" s="35" t="n">
        <v>5</v>
      </c>
      <c r="P28" s="35" t="n">
        <v>112</v>
      </c>
      <c r="Q28" s="35" t="n">
        <v>55</v>
      </c>
      <c r="R28" s="35" t="n">
        <f aca="false">SUM(F28:Q28)</f>
        <v>1108</v>
      </c>
    </row>
    <row r="29" customFormat="false" ht="14.25" hidden="false" customHeight="false" outlineLevel="0" collapsed="false"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customFormat="false" ht="15" hidden="false" customHeight="false" outlineLevel="0" collapsed="false">
      <c r="B30" s="7" t="s">
        <v>27</v>
      </c>
      <c r="C30" s="7"/>
      <c r="D30" s="7"/>
      <c r="E30" s="7"/>
      <c r="F30" s="34" t="n">
        <f aca="false">SUM(F32:F38)</f>
        <v>301457</v>
      </c>
      <c r="G30" s="34" t="n">
        <f aca="false">SUM(G32:G38)</f>
        <v>318202</v>
      </c>
      <c r="H30" s="34" t="n">
        <f aca="false">SUM(H32:H38)</f>
        <v>481549</v>
      </c>
      <c r="I30" s="34" t="n">
        <f aca="false">SUM(I32:I38)</f>
        <v>343013</v>
      </c>
      <c r="J30" s="34" t="n">
        <f aca="false">SUM(J32:J38)</f>
        <v>451700</v>
      </c>
      <c r="K30" s="34" t="n">
        <f aca="false">SUM(K32:K38)</f>
        <v>505791</v>
      </c>
      <c r="L30" s="34" t="n">
        <f aca="false">SUM(L32:L38)</f>
        <v>395395</v>
      </c>
      <c r="M30" s="34" t="n">
        <f aca="false">SUM(M32:M38)</f>
        <v>404476</v>
      </c>
      <c r="N30" s="34" t="n">
        <f aca="false">SUM(N32:N38)</f>
        <v>468574</v>
      </c>
      <c r="O30" s="34" t="n">
        <f aca="false">SUM(O32:O38)</f>
        <v>387934</v>
      </c>
      <c r="P30" s="34" t="n">
        <f aca="false">SUM(P32:P38)</f>
        <v>454990</v>
      </c>
      <c r="Q30" s="34" t="n">
        <f aca="false">SUM(Q32:Q38)</f>
        <v>646559</v>
      </c>
      <c r="R30" s="34" t="n">
        <f aca="false">SUM(R32:R38)</f>
        <v>5159640</v>
      </c>
    </row>
    <row r="31" customFormat="false" ht="8.25" hidden="false" customHeight="true" outlineLevel="0" collapsed="false"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customFormat="false" ht="14.25" hidden="false" customHeight="false" outlineLevel="0" collapsed="false">
      <c r="D32" s="1" t="s">
        <v>28</v>
      </c>
      <c r="F32" s="35" t="n">
        <v>79922</v>
      </c>
      <c r="G32" s="35" t="n">
        <v>93367</v>
      </c>
      <c r="H32" s="35" t="n">
        <v>94067</v>
      </c>
      <c r="I32" s="35" t="n">
        <v>85507</v>
      </c>
      <c r="J32" s="35" t="n">
        <v>88982</v>
      </c>
      <c r="K32" s="35" t="n">
        <v>89478</v>
      </c>
      <c r="L32" s="35" t="n">
        <v>86406</v>
      </c>
      <c r="M32" s="35" t="n">
        <v>109491</v>
      </c>
      <c r="N32" s="35" t="n">
        <v>95830</v>
      </c>
      <c r="O32" s="35" t="n">
        <v>86490</v>
      </c>
      <c r="P32" s="35" t="n">
        <v>86233</v>
      </c>
      <c r="Q32" s="35" t="n">
        <v>107511</v>
      </c>
      <c r="R32" s="35" t="n">
        <f aca="false">SUM(F32:Q32)</f>
        <v>1103284</v>
      </c>
    </row>
    <row r="33" customFormat="false" ht="14.25" hidden="false" customHeight="false" outlineLevel="0" collapsed="false">
      <c r="D33" s="1" t="s">
        <v>29</v>
      </c>
      <c r="F33" s="35" t="n">
        <v>65551</v>
      </c>
      <c r="G33" s="35" t="n">
        <v>28230</v>
      </c>
      <c r="H33" s="35" t="n">
        <v>55548</v>
      </c>
      <c r="I33" s="35" t="n">
        <v>37303</v>
      </c>
      <c r="J33" s="35" t="n">
        <v>33831</v>
      </c>
      <c r="K33" s="35" t="n">
        <v>36752</v>
      </c>
      <c r="L33" s="35" t="n">
        <v>52091</v>
      </c>
      <c r="M33" s="35" t="n">
        <v>30773</v>
      </c>
      <c r="N33" s="35" t="n">
        <v>59897</v>
      </c>
      <c r="O33" s="35" t="n">
        <v>33185</v>
      </c>
      <c r="P33" s="35" t="n">
        <v>26092</v>
      </c>
      <c r="Q33" s="35" t="n">
        <v>43605</v>
      </c>
      <c r="R33" s="35" t="n">
        <f aca="false">SUM(F33:Q33)</f>
        <v>502858</v>
      </c>
    </row>
    <row r="34" customFormat="false" ht="14.25" hidden="false" customHeight="false" outlineLevel="0" collapsed="false">
      <c r="D34" s="1" t="s">
        <v>30</v>
      </c>
      <c r="F34" s="35" t="n">
        <f aca="false">F13+F14+F18</f>
        <v>3382</v>
      </c>
      <c r="G34" s="35" t="n">
        <f aca="false">G13+G14+G18</f>
        <v>1936</v>
      </c>
      <c r="H34" s="35" t="n">
        <f aca="false">H13+H14+H18</f>
        <v>1310</v>
      </c>
      <c r="I34" s="35" t="n">
        <f aca="false">I13+I14+I18</f>
        <v>5612</v>
      </c>
      <c r="J34" s="35" t="n">
        <f aca="false">J13+J14+J18</f>
        <v>4421</v>
      </c>
      <c r="K34" s="35" t="n">
        <f aca="false">K13+K14+K18</f>
        <v>2080</v>
      </c>
      <c r="L34" s="35" t="n">
        <f aca="false">L13+L14+L18</f>
        <v>1341</v>
      </c>
      <c r="M34" s="35" t="n">
        <f aca="false">M13+M14+M18</f>
        <v>3611</v>
      </c>
      <c r="N34" s="35" t="n">
        <f aca="false">N13+N14+N18</f>
        <v>4281</v>
      </c>
      <c r="O34" s="35" t="n">
        <f aca="false">O13+O14+O18</f>
        <v>1277</v>
      </c>
      <c r="P34" s="35" t="n">
        <f aca="false">P13+P14+P18</f>
        <v>7085</v>
      </c>
      <c r="Q34" s="35" t="n">
        <f aca="false">Q13+Q14+Q18</f>
        <v>3448</v>
      </c>
      <c r="R34" s="35" t="n">
        <f aca="false">SUM(F34:Q34)</f>
        <v>39784</v>
      </c>
    </row>
    <row r="35" customFormat="false" ht="16.5" hidden="false" customHeight="false" outlineLevel="0" collapsed="false">
      <c r="D35" s="1" t="s">
        <v>31</v>
      </c>
      <c r="F35" s="35" t="n">
        <v>2869</v>
      </c>
      <c r="G35" s="35" t="n">
        <v>12688</v>
      </c>
      <c r="H35" s="35" t="n">
        <v>10717</v>
      </c>
      <c r="I35" s="35" t="n">
        <v>5117</v>
      </c>
      <c r="J35" s="35" t="n">
        <v>7968</v>
      </c>
      <c r="K35" s="35" t="n">
        <v>13386</v>
      </c>
      <c r="L35" s="35" t="n">
        <v>30321</v>
      </c>
      <c r="M35" s="35" t="n">
        <v>15536</v>
      </c>
      <c r="N35" s="35" t="n">
        <v>23652</v>
      </c>
      <c r="O35" s="35" t="n">
        <v>39917</v>
      </c>
      <c r="P35" s="35" t="n">
        <v>6169</v>
      </c>
      <c r="Q35" s="35" t="n">
        <v>32070</v>
      </c>
      <c r="R35" s="35" t="n">
        <f aca="false">SUM(F35:Q35)</f>
        <v>200410</v>
      </c>
    </row>
    <row r="36" customFormat="false" ht="14.25" hidden="false" customHeight="false" outlineLevel="0" collapsed="false">
      <c r="D36" s="1" t="s">
        <v>32</v>
      </c>
      <c r="F36" s="35" t="n">
        <v>0</v>
      </c>
      <c r="G36" s="35" t="n">
        <v>47</v>
      </c>
      <c r="H36" s="35" t="n">
        <v>449</v>
      </c>
      <c r="I36" s="35" t="n">
        <v>47</v>
      </c>
      <c r="J36" s="35" t="n">
        <v>9</v>
      </c>
      <c r="K36" s="35" t="n">
        <v>143</v>
      </c>
      <c r="L36" s="35" t="n">
        <v>40</v>
      </c>
      <c r="M36" s="35" t="n">
        <v>106</v>
      </c>
      <c r="N36" s="35" t="n">
        <v>81</v>
      </c>
      <c r="O36" s="35" t="n">
        <v>28</v>
      </c>
      <c r="P36" s="35" t="n">
        <v>9</v>
      </c>
      <c r="Q36" s="35" t="n">
        <v>10199</v>
      </c>
      <c r="R36" s="35" t="n">
        <f aca="false">SUM(F36:Q36)</f>
        <v>11158</v>
      </c>
    </row>
    <row r="37" customFormat="false" ht="14.25" hidden="false" customHeight="false" outlineLevel="0" collapsed="false">
      <c r="D37" s="1" t="s">
        <v>33</v>
      </c>
      <c r="F37" s="35" t="n">
        <v>1</v>
      </c>
      <c r="G37" s="35" t="n">
        <v>13</v>
      </c>
      <c r="H37" s="35" t="n">
        <v>724</v>
      </c>
      <c r="I37" s="35" t="n">
        <v>1437</v>
      </c>
      <c r="J37" s="35" t="n">
        <v>5292</v>
      </c>
      <c r="K37" s="35" t="n">
        <v>4100</v>
      </c>
      <c r="L37" s="35" t="n">
        <v>7850</v>
      </c>
      <c r="M37" s="35" t="n">
        <v>13</v>
      </c>
      <c r="N37" s="35" t="n">
        <v>613</v>
      </c>
      <c r="O37" s="35" t="n">
        <v>6461</v>
      </c>
      <c r="P37" s="35" t="n">
        <v>553</v>
      </c>
      <c r="Q37" s="35" t="n">
        <v>148</v>
      </c>
      <c r="R37" s="35" t="n">
        <f aca="false">SUM(F37:Q37)</f>
        <v>27205</v>
      </c>
    </row>
    <row r="38" customFormat="false" ht="16.5" hidden="false" customHeight="false" outlineLevel="0" collapsed="false">
      <c r="D38" s="1" t="s">
        <v>34</v>
      </c>
      <c r="F38" s="35" t="n">
        <f aca="false">134494+18620-F34</f>
        <v>149732</v>
      </c>
      <c r="G38" s="35" t="n">
        <f aca="false">165644+18213-G34</f>
        <v>181921</v>
      </c>
      <c r="H38" s="35" t="n">
        <f aca="false">294173+25871-H34</f>
        <v>318734</v>
      </c>
      <c r="I38" s="35" t="n">
        <f aca="false">193612+19990-I34</f>
        <v>207990</v>
      </c>
      <c r="J38" s="35" t="n">
        <f aca="false">286379+29239-J34</f>
        <v>311197</v>
      </c>
      <c r="K38" s="35" t="n">
        <f aca="false">341183+20749-K34</f>
        <v>359852</v>
      </c>
      <c r="L38" s="35" t="n">
        <f aca="false">197577+21110-L34</f>
        <v>217346</v>
      </c>
      <c r="M38" s="35" t="n">
        <f aca="false">234149+14408-M34</f>
        <v>244946</v>
      </c>
      <c r="N38" s="35" t="n">
        <f aca="false">266820+21681-N34</f>
        <v>284220</v>
      </c>
      <c r="O38" s="35" t="n">
        <f aca="false">198773+23080-O34</f>
        <v>220576</v>
      </c>
      <c r="P38" s="35" t="n">
        <f aca="false">306051+29883-P34</f>
        <v>328849</v>
      </c>
      <c r="Q38" s="35" t="n">
        <f aca="false">409770+43256-Q34</f>
        <v>449578</v>
      </c>
      <c r="R38" s="35" t="n">
        <f aca="false">SUM(F38:Q38)</f>
        <v>3274941</v>
      </c>
    </row>
    <row r="39" customFormat="false" ht="14.25" hidden="false" customHeight="false" outlineLevel="0" collapsed="false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customFormat="false" ht="15" hidden="false" customHeight="false" outlineLevel="0" collapsed="false">
      <c r="B40" s="7" t="s">
        <v>35</v>
      </c>
      <c r="C40" s="7"/>
      <c r="D40" s="7"/>
      <c r="E40" s="7"/>
      <c r="F40" s="38" t="n">
        <f aca="false">+F9-F30</f>
        <v>-23382</v>
      </c>
      <c r="G40" s="38" t="n">
        <f aca="false">+G9-G30</f>
        <v>-105800</v>
      </c>
      <c r="H40" s="38" t="n">
        <f aca="false">+H9-H30</f>
        <v>-187666</v>
      </c>
      <c r="I40" s="38" t="n">
        <f aca="false">+I9-I30</f>
        <v>4936</v>
      </c>
      <c r="J40" s="38" t="n">
        <f aca="false">+J9-J30</f>
        <v>-146785</v>
      </c>
      <c r="K40" s="38" t="n">
        <f aca="false">+K9-K30</f>
        <v>-215523</v>
      </c>
      <c r="L40" s="38" t="n">
        <f aca="false">+L9-L30</f>
        <v>-86763</v>
      </c>
      <c r="M40" s="38" t="n">
        <f aca="false">+M9-M30</f>
        <v>-72036</v>
      </c>
      <c r="N40" s="38" t="n">
        <f aca="false">+N9-N30</f>
        <v>-179760</v>
      </c>
      <c r="O40" s="38" t="n">
        <f aca="false">+O9-O30</f>
        <v>-99061</v>
      </c>
      <c r="P40" s="38" t="n">
        <f aca="false">+P9-P30</f>
        <v>-123929</v>
      </c>
      <c r="Q40" s="38" t="n">
        <f aca="false">+Q9-Q30</f>
        <v>-378366</v>
      </c>
      <c r="R40" s="38" t="n">
        <f aca="false">+R9-R30</f>
        <v>-1614135</v>
      </c>
    </row>
    <row r="41" customFormat="false" ht="14.25" hidden="false" customHeight="false" outlineLevel="0" collapsed="false"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customFormat="false" ht="15" hidden="false" customHeight="false" outlineLevel="0" collapsed="false">
      <c r="B42" s="7" t="s">
        <v>36</v>
      </c>
      <c r="C42" s="7"/>
      <c r="D42" s="7"/>
      <c r="E42" s="7"/>
      <c r="F42" s="34" t="n">
        <f aca="false">+F43+F47</f>
        <v>437212</v>
      </c>
      <c r="G42" s="34" t="n">
        <f aca="false">+G43+G47</f>
        <v>50928</v>
      </c>
      <c r="H42" s="34" t="n">
        <f aca="false">+H43+H47</f>
        <v>581967</v>
      </c>
      <c r="I42" s="34" t="n">
        <f aca="false">+I43+I47</f>
        <v>95588</v>
      </c>
      <c r="J42" s="34" t="n">
        <f aca="false">+J43+J47</f>
        <v>-282583</v>
      </c>
      <c r="K42" s="34" t="n">
        <f aca="false">+K43+K47</f>
        <v>138636</v>
      </c>
      <c r="L42" s="34" t="n">
        <f aca="false">+L43+L47</f>
        <v>174212</v>
      </c>
      <c r="M42" s="34" t="n">
        <f aca="false">+M43+M47</f>
        <v>118368</v>
      </c>
      <c r="N42" s="34" t="n">
        <f aca="false">+N43+N47</f>
        <v>361354</v>
      </c>
      <c r="O42" s="34" t="n">
        <f aca="false">+O43+O47</f>
        <v>176557</v>
      </c>
      <c r="P42" s="34" t="n">
        <f aca="false">+P43+P47</f>
        <v>62564</v>
      </c>
      <c r="Q42" s="34" t="n">
        <f aca="false">+Q43+Q47</f>
        <v>51601</v>
      </c>
      <c r="R42" s="34" t="n">
        <f aca="false">+R43+R47</f>
        <v>1966404</v>
      </c>
    </row>
    <row r="43" customFormat="false" ht="14.25" hidden="false" customHeight="false" outlineLevel="0" collapsed="false">
      <c r="C43" s="1" t="s">
        <v>37</v>
      </c>
      <c r="F43" s="39" t="n">
        <f aca="false">+F44-F45</f>
        <v>91661</v>
      </c>
      <c r="G43" s="39" t="n">
        <f aca="false">+G44-G45</f>
        <v>6262</v>
      </c>
      <c r="H43" s="39" t="n">
        <f aca="false">+H44-H45</f>
        <v>123793</v>
      </c>
      <c r="I43" s="39" t="n">
        <f aca="false">+I44-I45</f>
        <v>29211</v>
      </c>
      <c r="J43" s="39" t="n">
        <f aca="false">+J44-J45</f>
        <v>-11904</v>
      </c>
      <c r="K43" s="39" t="n">
        <f aca="false">+K44-K45</f>
        <v>42550</v>
      </c>
      <c r="L43" s="39" t="n">
        <f aca="false">+L44-L45</f>
        <v>6494</v>
      </c>
      <c r="M43" s="39" t="n">
        <f aca="false">+M44-M45</f>
        <v>-13432</v>
      </c>
      <c r="N43" s="39" t="n">
        <f aca="false">+N44-N45</f>
        <v>-10607</v>
      </c>
      <c r="O43" s="39" t="n">
        <f aca="false">+O44-O45</f>
        <v>119958</v>
      </c>
      <c r="P43" s="39" t="n">
        <f aca="false">+P44-P45</f>
        <v>-13135</v>
      </c>
      <c r="Q43" s="39" t="n">
        <f aca="false">+Q44-Q45</f>
        <v>18751</v>
      </c>
      <c r="R43" s="39" t="n">
        <f aca="false">+R44-R45</f>
        <v>389602</v>
      </c>
    </row>
    <row r="44" customFormat="false" ht="14.25" hidden="false" customHeight="false" outlineLevel="0" collapsed="false">
      <c r="D44" s="1" t="s">
        <v>38</v>
      </c>
      <c r="F44" s="35" t="n">
        <v>93579</v>
      </c>
      <c r="G44" s="35" t="n">
        <v>8121</v>
      </c>
      <c r="H44" s="35" t="n">
        <v>131322</v>
      </c>
      <c r="I44" s="35" t="n">
        <v>34883</v>
      </c>
      <c r="J44" s="35" t="n">
        <v>11709</v>
      </c>
      <c r="K44" s="35" t="n">
        <v>49722</v>
      </c>
      <c r="L44" s="35" t="n">
        <v>7141</v>
      </c>
      <c r="M44" s="35" t="n">
        <v>1317</v>
      </c>
      <c r="N44" s="35" t="n">
        <v>8165</v>
      </c>
      <c r="O44" s="35" t="n">
        <v>125696</v>
      </c>
      <c r="P44" s="35" t="n">
        <v>21958</v>
      </c>
      <c r="Q44" s="35" t="n">
        <v>26478</v>
      </c>
      <c r="R44" s="35" t="n">
        <f aca="false">SUM(F44:Q44)</f>
        <v>520091</v>
      </c>
    </row>
    <row r="45" customFormat="false" ht="14.25" hidden="false" customHeight="false" outlineLevel="0" collapsed="false">
      <c r="D45" s="1" t="s">
        <v>39</v>
      </c>
      <c r="F45" s="35" t="n">
        <v>1918</v>
      </c>
      <c r="G45" s="35" t="n">
        <v>1859</v>
      </c>
      <c r="H45" s="35" t="n">
        <v>7529</v>
      </c>
      <c r="I45" s="35" t="n">
        <v>5672</v>
      </c>
      <c r="J45" s="35" t="n">
        <v>23613</v>
      </c>
      <c r="K45" s="35" t="n">
        <v>7172</v>
      </c>
      <c r="L45" s="35" t="n">
        <v>647</v>
      </c>
      <c r="M45" s="35" t="n">
        <v>14749</v>
      </c>
      <c r="N45" s="35" t="n">
        <v>18772</v>
      </c>
      <c r="O45" s="35" t="n">
        <v>5738</v>
      </c>
      <c r="P45" s="35" t="n">
        <v>35093</v>
      </c>
      <c r="Q45" s="35" t="n">
        <v>7727</v>
      </c>
      <c r="R45" s="35" t="n">
        <f aca="false">SUM(F45:Q45)</f>
        <v>130489</v>
      </c>
    </row>
    <row r="46" customFormat="false" ht="14.25" hidden="false" customHeight="false" outlineLevel="0" collapsed="false"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customFormat="false" ht="15" hidden="false" customHeight="false" outlineLevel="0" collapsed="false">
      <c r="C47" s="1" t="s">
        <v>40</v>
      </c>
      <c r="F47" s="34" t="n">
        <f aca="false">+F48-F49</f>
        <v>345551</v>
      </c>
      <c r="G47" s="34" t="n">
        <f aca="false">+G48-G49</f>
        <v>44666</v>
      </c>
      <c r="H47" s="34" t="n">
        <f aca="false">+H48-H49</f>
        <v>458174</v>
      </c>
      <c r="I47" s="34" t="n">
        <f aca="false">+I48-I49</f>
        <v>66377</v>
      </c>
      <c r="J47" s="34" t="n">
        <f aca="false">+J48-J49</f>
        <v>-270679</v>
      </c>
      <c r="K47" s="34" t="n">
        <f aca="false">+K48-K49</f>
        <v>96086</v>
      </c>
      <c r="L47" s="34" t="n">
        <f aca="false">+L48-L49</f>
        <v>167718</v>
      </c>
      <c r="M47" s="34" t="n">
        <f aca="false">+M48-M49</f>
        <v>131800</v>
      </c>
      <c r="N47" s="34" t="n">
        <f aca="false">+N48-N49</f>
        <v>371961</v>
      </c>
      <c r="O47" s="34" t="n">
        <f aca="false">+O48-O49</f>
        <v>56599</v>
      </c>
      <c r="P47" s="34" t="n">
        <f aca="false">+P48-P49</f>
        <v>75699</v>
      </c>
      <c r="Q47" s="34" t="n">
        <f aca="false">+Q48-Q49</f>
        <v>32850</v>
      </c>
      <c r="R47" s="34" t="n">
        <f aca="false">+R48-R49</f>
        <v>1576802</v>
      </c>
    </row>
    <row r="48" customFormat="false" ht="14.25" hidden="false" customHeight="false" outlineLevel="0" collapsed="false">
      <c r="D48" s="1" t="s">
        <v>41</v>
      </c>
      <c r="F48" s="35" t="n">
        <v>345551</v>
      </c>
      <c r="G48" s="35" t="n">
        <v>45000</v>
      </c>
      <c r="H48" s="35" t="n">
        <v>458566</v>
      </c>
      <c r="I48" s="35" t="n">
        <v>66377</v>
      </c>
      <c r="J48" s="35" t="n">
        <v>-270679</v>
      </c>
      <c r="K48" s="35" t="n">
        <v>96448</v>
      </c>
      <c r="L48" s="35" t="n">
        <v>167810</v>
      </c>
      <c r="M48" s="35" t="n">
        <v>132021</v>
      </c>
      <c r="N48" s="35" t="n">
        <v>436709</v>
      </c>
      <c r="O48" s="35" t="n">
        <v>56733</v>
      </c>
      <c r="P48" s="35" t="n">
        <v>75907</v>
      </c>
      <c r="Q48" s="35" t="n">
        <v>32956</v>
      </c>
      <c r="R48" s="35" t="n">
        <f aca="false">SUM(F48:Q48)</f>
        <v>1643399</v>
      </c>
    </row>
    <row r="49" customFormat="false" ht="14.25" hidden="false" customHeight="false" outlineLevel="0" collapsed="false">
      <c r="D49" s="1" t="s">
        <v>42</v>
      </c>
      <c r="F49" s="36" t="n">
        <f aca="false">F50-F51</f>
        <v>0</v>
      </c>
      <c r="G49" s="36" t="n">
        <f aca="false">G50-G51</f>
        <v>334</v>
      </c>
      <c r="H49" s="36" t="n">
        <f aca="false">H50-H51</f>
        <v>392</v>
      </c>
      <c r="I49" s="36" t="n">
        <f aca="false">I50-I51</f>
        <v>0</v>
      </c>
      <c r="J49" s="36" t="n">
        <f aca="false">J50-J51</f>
        <v>0</v>
      </c>
      <c r="K49" s="36" t="n">
        <f aca="false">K50-K51</f>
        <v>362</v>
      </c>
      <c r="L49" s="36" t="n">
        <f aca="false">L50-L51</f>
        <v>92</v>
      </c>
      <c r="M49" s="36" t="n">
        <f aca="false">M50-M51</f>
        <v>221</v>
      </c>
      <c r="N49" s="36" t="n">
        <f aca="false">N50-N51</f>
        <v>64748</v>
      </c>
      <c r="O49" s="36" t="n">
        <f aca="false">O50-O51</f>
        <v>134</v>
      </c>
      <c r="P49" s="36" t="n">
        <f aca="false">P50-P51</f>
        <v>208</v>
      </c>
      <c r="Q49" s="36" t="n">
        <f aca="false">Q50-Q51</f>
        <v>106</v>
      </c>
      <c r="R49" s="36" t="n">
        <f aca="false">R50-R51</f>
        <v>66597</v>
      </c>
    </row>
    <row r="50" customFormat="false" ht="16.5" hidden="false" customHeight="false" outlineLevel="0" collapsed="false">
      <c r="E50" s="1" t="s">
        <v>60</v>
      </c>
      <c r="F50" s="35" t="n">
        <v>148369</v>
      </c>
      <c r="G50" s="35" t="n">
        <v>334</v>
      </c>
      <c r="H50" s="35" t="n">
        <v>4312</v>
      </c>
      <c r="I50" s="35" t="n">
        <v>0</v>
      </c>
      <c r="J50" s="35" t="n">
        <v>0</v>
      </c>
      <c r="K50" s="35" t="n">
        <v>362</v>
      </c>
      <c r="L50" s="35" t="n">
        <v>103460</v>
      </c>
      <c r="M50" s="35" t="n">
        <v>22775</v>
      </c>
      <c r="N50" s="35" t="n">
        <v>84558</v>
      </c>
      <c r="O50" s="35" t="n">
        <v>894</v>
      </c>
      <c r="P50" s="35" t="n">
        <v>208</v>
      </c>
      <c r="Q50" s="35" t="n">
        <v>250793</v>
      </c>
      <c r="R50" s="35" t="n">
        <f aca="false">SUM(F50:Q50)</f>
        <v>616065</v>
      </c>
    </row>
    <row r="51" customFormat="false" ht="16.5" hidden="false" customHeight="false" outlineLevel="0" collapsed="false">
      <c r="E51" s="16" t="s">
        <v>44</v>
      </c>
      <c r="F51" s="35" t="n">
        <v>148369</v>
      </c>
      <c r="G51" s="35" t="n">
        <v>0</v>
      </c>
      <c r="H51" s="35" t="n">
        <v>3920</v>
      </c>
      <c r="I51" s="35" t="n">
        <v>0</v>
      </c>
      <c r="J51" s="35" t="n">
        <v>0</v>
      </c>
      <c r="K51" s="35" t="n">
        <v>0</v>
      </c>
      <c r="L51" s="35" t="n">
        <v>103368</v>
      </c>
      <c r="M51" s="35" t="n">
        <v>22554</v>
      </c>
      <c r="N51" s="35" t="n">
        <v>19810</v>
      </c>
      <c r="O51" s="35" t="n">
        <v>760</v>
      </c>
      <c r="P51" s="35" t="n">
        <v>0</v>
      </c>
      <c r="Q51" s="35" t="n">
        <v>250687</v>
      </c>
      <c r="R51" s="35" t="n">
        <f aca="false">SUM(F51:Q51)</f>
        <v>549468</v>
      </c>
    </row>
    <row r="52" customFormat="false" ht="14.25" hidden="false" customHeight="true" outlineLevel="0" collapsed="false"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="7" customFormat="true" ht="16.5" hidden="false" customHeight="true" outlineLevel="0" collapsed="false">
      <c r="B53" s="7" t="s">
        <v>45</v>
      </c>
      <c r="F53" s="38" t="n">
        <v>468678</v>
      </c>
      <c r="G53" s="38" t="n">
        <v>-139054</v>
      </c>
      <c r="H53" s="38" t="n">
        <v>320585</v>
      </c>
      <c r="I53" s="38" t="n">
        <v>801216</v>
      </c>
      <c r="J53" s="38" t="n">
        <v>-512579</v>
      </c>
      <c r="K53" s="38" t="n">
        <v>-96158</v>
      </c>
      <c r="L53" s="38" t="n">
        <v>-88389</v>
      </c>
      <c r="M53" s="38" t="n">
        <v>-81546</v>
      </c>
      <c r="N53" s="38" t="n">
        <v>45198</v>
      </c>
      <c r="O53" s="38" t="n">
        <v>-11468</v>
      </c>
      <c r="P53" s="38" t="n">
        <v>-160495</v>
      </c>
      <c r="Q53" s="38" t="n">
        <v>-665136</v>
      </c>
      <c r="R53" s="38" t="n">
        <f aca="false">SUM(F53:Q53)</f>
        <v>-119148</v>
      </c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35"/>
      <c r="K54" s="35" t="s">
        <v>59</v>
      </c>
    </row>
    <row r="55" s="41" customFormat="true" ht="13.5" hidden="false" customHeight="false" outlineLevel="0" collapsed="false">
      <c r="A55" s="40" t="s">
        <v>46</v>
      </c>
      <c r="B55" s="40"/>
    </row>
    <row r="56" s="41" customFormat="true" ht="78.75" hidden="false" customHeight="true" outlineLevel="0" collapsed="false">
      <c r="B56" s="21" t="s">
        <v>47</v>
      </c>
      <c r="C56" s="21"/>
      <c r="D56" s="21"/>
      <c r="E56" s="21"/>
      <c r="F56" s="21"/>
    </row>
    <row r="57" s="41" customFormat="true" ht="32.25" hidden="true" customHeight="true" outlineLevel="0" collapsed="false">
      <c r="A57" s="42" t="s">
        <v>48</v>
      </c>
      <c r="B57" s="43" t="s">
        <v>49</v>
      </c>
      <c r="C57" s="43"/>
      <c r="D57" s="43"/>
      <c r="E57" s="43"/>
      <c r="F57" s="43"/>
    </row>
    <row r="58" s="41" customFormat="true" ht="17.25" hidden="false" customHeight="true" outlineLevel="0" collapsed="false">
      <c r="A58" s="44" t="s">
        <v>48</v>
      </c>
      <c r="B58" s="45" t="s">
        <v>50</v>
      </c>
      <c r="C58" s="46"/>
      <c r="D58" s="46"/>
      <c r="E58" s="47"/>
    </row>
    <row r="59" s="41" customFormat="true" ht="27.75" hidden="false" customHeight="true" outlineLevel="0" collapsed="false">
      <c r="A59" s="48" t="s">
        <v>61</v>
      </c>
      <c r="B59" s="49" t="s">
        <v>62</v>
      </c>
      <c r="C59" s="49"/>
      <c r="D59" s="49"/>
      <c r="E59" s="49"/>
      <c r="F59" s="49"/>
      <c r="G59" s="49"/>
      <c r="H59" s="49"/>
      <c r="I59" s="49"/>
      <c r="J59" s="49"/>
      <c r="K59" s="49"/>
    </row>
    <row r="60" s="41" customFormat="true" ht="15.75" hidden="false" customHeight="true" outlineLevel="0" collapsed="false">
      <c r="A60" s="48"/>
      <c r="B60" s="50"/>
      <c r="C60" s="50"/>
      <c r="D60" s="50"/>
      <c r="E60" s="50"/>
      <c r="F60" s="50"/>
      <c r="G60" s="50"/>
      <c r="H60" s="50"/>
      <c r="I60" s="50"/>
      <c r="J60" s="50"/>
      <c r="K60" s="50"/>
    </row>
    <row r="61" s="41" customFormat="true" ht="12.75" hidden="false" customHeight="false" outlineLevel="0" collapsed="false">
      <c r="A61" s="41" t="s">
        <v>51</v>
      </c>
    </row>
    <row r="62" customFormat="false" ht="16.5" hidden="false" customHeight="false" outlineLevel="0" collapsed="false">
      <c r="A62" s="30"/>
      <c r="B62" s="51"/>
      <c r="C62" s="32"/>
      <c r="D62" s="32"/>
      <c r="E62" s="32"/>
    </row>
    <row r="63" customFormat="false" ht="14.25" hidden="false" customHeight="false" outlineLevel="0" collapsed="false">
      <c r="A63" s="6"/>
    </row>
    <row r="64" customFormat="false" ht="14.25" hidden="false" customHeight="false" outlineLevel="0" collapsed="false">
      <c r="A64" s="52" t="n">
        <f aca="true">TODAY()</f>
        <v>45167</v>
      </c>
      <c r="B64" s="52"/>
      <c r="C64" s="52"/>
      <c r="D64" s="52"/>
      <c r="E64" s="52"/>
    </row>
  </sheetData>
  <mergeCells count="5">
    <mergeCell ref="A7:E7"/>
    <mergeCell ref="B56:F56"/>
    <mergeCell ref="B57:F57"/>
    <mergeCell ref="B59:K59"/>
    <mergeCell ref="A64:E64"/>
  </mergeCells>
  <printOptions headings="false" gridLines="false" gridLinesSet="true" horizontalCentered="true" verticalCentered="false"/>
  <pageMargins left="0.118055555555556" right="0.118055555555556" top="0.7875" bottom="0" header="0.196527777777778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&amp;"Arial,Italic"&amp;9 Statistical Data Analysis Division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R42" activeCellId="0" sqref="R42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42"/>
    <col collapsed="false" customWidth="true" hidden="false" outlineLevel="0" max="2" min="2" style="100" width="2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33.42"/>
    <col collapsed="false" customWidth="true" hidden="false" outlineLevel="0" max="11" min="6" style="100" width="9.42"/>
    <col collapsed="false" customWidth="true" hidden="false" outlineLevel="0" max="13" min="12" style="100" width="10"/>
    <col collapsed="false" customWidth="true" hidden="false" outlineLevel="0" max="14" min="14" style="100" width="9.42"/>
    <col collapsed="false" customWidth="true" hidden="false" outlineLevel="0" max="15" min="15" style="100" width="10"/>
    <col collapsed="false" customWidth="true" hidden="false" outlineLevel="0" max="16" min="16" style="100" width="9.42"/>
    <col collapsed="false" customWidth="true" hidden="false" outlineLevel="0" max="17" min="17" style="100" width="10"/>
    <col collapsed="false" customWidth="true" hidden="false" outlineLevel="0" max="18" min="18" style="100" width="10.99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customFormat="false" ht="15" hidden="false" customHeight="false" outlineLevel="0" collapsed="false">
      <c r="A2" s="131" t="s">
        <v>113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</row>
    <row r="3" customFormat="false" ht="14.25" hidden="false" customHeight="false" outlineLevel="0" collapsed="false">
      <c r="A3" s="132" t="s">
        <v>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</row>
    <row r="4" customFormat="false" ht="14.25" hidden="false" customHeight="false" outlineLevel="0" collapsed="false">
      <c r="A4" s="120" t="s">
        <v>3</v>
      </c>
      <c r="B4" s="120"/>
      <c r="C4" s="120"/>
      <c r="D4" s="120"/>
      <c r="E4" s="120"/>
    </row>
    <row r="5" customFormat="false" ht="9.75" hidden="false" customHeight="true" outlineLevel="0" collapsed="false"/>
    <row r="6" customFormat="false" ht="20.25" hidden="false" customHeight="true" outlineLevel="0" collapsed="false">
      <c r="A6" s="126" t="s">
        <v>4</v>
      </c>
      <c r="B6" s="126"/>
      <c r="C6" s="126"/>
      <c r="D6" s="126"/>
      <c r="E6" s="126"/>
      <c r="F6" s="105" t="s">
        <v>107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29"/>
    </row>
    <row r="7" customFormat="false" ht="15" hidden="false" customHeight="true" outlineLevel="0" collapsed="false">
      <c r="O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135911</v>
      </c>
      <c r="G8" s="108" t="n">
        <f aca="false">G9+G19+G26</f>
        <v>80015</v>
      </c>
      <c r="H8" s="108" t="n">
        <f aca="false">H9+H19+H26</f>
        <v>107152</v>
      </c>
      <c r="I8" s="108" t="n">
        <f aca="false">I9+I19+I26</f>
        <v>138335</v>
      </c>
      <c r="J8" s="108" t="n">
        <f aca="false">J9+J19+J26</f>
        <v>120088</v>
      </c>
      <c r="K8" s="108" t="n">
        <f aca="false">K9+K19+K26</f>
        <v>100139</v>
      </c>
      <c r="L8" s="108" t="n">
        <f aca="false">L9+L19+L26</f>
        <v>106963</v>
      </c>
      <c r="M8" s="108" t="n">
        <f aca="false">M9+M19+M26</f>
        <v>124148</v>
      </c>
      <c r="N8" s="108" t="n">
        <f aca="false">N9+N19+N26</f>
        <v>104337</v>
      </c>
      <c r="O8" s="108" t="n">
        <f aca="false">O9+O19+O26</f>
        <v>103939</v>
      </c>
      <c r="P8" s="108" t="n">
        <f aca="false">P9+P19+P26</f>
        <v>128745</v>
      </c>
      <c r="Q8" s="108" t="n">
        <f aca="false">Q9+Q19+Q26</f>
        <v>110170</v>
      </c>
      <c r="R8" s="108" t="n">
        <f aca="false">R9+R19+R26</f>
        <v>1359942</v>
      </c>
      <c r="S8" s="108" t="n">
        <f aca="false">S9+S19+S26</f>
        <v>0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96020</v>
      </c>
      <c r="G9" s="109" t="n">
        <f aca="false">G10+G14+G17</f>
        <v>72987</v>
      </c>
      <c r="H9" s="109" t="n">
        <f aca="false">H10+H14+H17</f>
        <v>96645</v>
      </c>
      <c r="I9" s="109" t="n">
        <f aca="false">I10+I14+I17</f>
        <v>126782</v>
      </c>
      <c r="J9" s="109" t="n">
        <f aca="false">J10+J14+J17</f>
        <v>111085</v>
      </c>
      <c r="K9" s="109" t="n">
        <f aca="false">K10+K14+K17</f>
        <v>89921</v>
      </c>
      <c r="L9" s="109" t="n">
        <f aca="false">L10+L14+L17</f>
        <v>96164</v>
      </c>
      <c r="M9" s="109" t="n">
        <f aca="false">M10+M14+M17</f>
        <v>111108</v>
      </c>
      <c r="N9" s="109" t="n">
        <f aca="false">N10+N14+N17</f>
        <v>90648</v>
      </c>
      <c r="O9" s="109" t="n">
        <f aca="false">O10+O14+O17</f>
        <v>94365</v>
      </c>
      <c r="P9" s="109" t="n">
        <f aca="false">P10+P14+P17</f>
        <v>119238</v>
      </c>
      <c r="Q9" s="109" t="n">
        <f aca="false">Q10+Q14+Q17</f>
        <v>97103</v>
      </c>
      <c r="R9" s="109" t="n">
        <f aca="false">R10+R14+R17</f>
        <v>1202066</v>
      </c>
    </row>
    <row r="10" customFormat="false" ht="15" hidden="false" customHeight="true" outlineLevel="0" collapsed="false">
      <c r="D10" s="100" t="s">
        <v>14</v>
      </c>
      <c r="F10" s="110" t="n">
        <v>74569</v>
      </c>
      <c r="G10" s="110" t="n">
        <v>53418</v>
      </c>
      <c r="H10" s="110" t="n">
        <v>71562</v>
      </c>
      <c r="I10" s="110" t="n">
        <v>103393</v>
      </c>
      <c r="J10" s="110" t="n">
        <v>88150</v>
      </c>
      <c r="K10" s="110" t="n">
        <v>66904</v>
      </c>
      <c r="L10" s="110" t="n">
        <v>73789</v>
      </c>
      <c r="M10" s="110" t="n">
        <v>87928</v>
      </c>
      <c r="N10" s="110" t="n">
        <v>66547</v>
      </c>
      <c r="O10" s="110" t="n">
        <v>70504</v>
      </c>
      <c r="P10" s="110" t="n">
        <v>92751</v>
      </c>
      <c r="Q10" s="110" t="n">
        <v>74631</v>
      </c>
      <c r="R10" s="110" t="n">
        <f aca="false">SUM(F10:Q10)</f>
        <v>924146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1134</v>
      </c>
      <c r="G12" s="110" t="n">
        <v>589</v>
      </c>
      <c r="H12" s="110" t="n">
        <v>303</v>
      </c>
      <c r="I12" s="110" t="n">
        <v>819</v>
      </c>
      <c r="J12" s="110" t="n">
        <v>703</v>
      </c>
      <c r="K12" s="110" t="n">
        <v>312</v>
      </c>
      <c r="L12" s="110" t="n">
        <v>279</v>
      </c>
      <c r="M12" s="110" t="n">
        <v>1749</v>
      </c>
      <c r="N12" s="110" t="n">
        <v>343</v>
      </c>
      <c r="O12" s="110" t="n">
        <v>364</v>
      </c>
      <c r="P12" s="110" t="n">
        <v>642</v>
      </c>
      <c r="Q12" s="110" t="n">
        <v>465</v>
      </c>
      <c r="R12" s="110" t="n">
        <f aca="false">SUM(F12:Q12)</f>
        <v>7702</v>
      </c>
    </row>
    <row r="13" customFormat="false" ht="15" hidden="false" customHeight="true" outlineLevel="0" collapsed="false">
      <c r="E13" s="100" t="s">
        <v>17</v>
      </c>
      <c r="F13" s="110" t="n">
        <v>3</v>
      </c>
      <c r="G13" s="110" t="n">
        <v>15</v>
      </c>
      <c r="H13" s="110" t="n">
        <v>7574</v>
      </c>
      <c r="I13" s="110" t="n">
        <v>657</v>
      </c>
      <c r="J13" s="110" t="n">
        <v>31</v>
      </c>
      <c r="K13" s="110" t="n">
        <v>602</v>
      </c>
      <c r="L13" s="110" t="n">
        <v>282</v>
      </c>
      <c r="M13" s="110" t="n">
        <v>159</v>
      </c>
      <c r="N13" s="110" t="n">
        <v>328</v>
      </c>
      <c r="O13" s="110" t="n">
        <v>2296</v>
      </c>
      <c r="P13" s="110" t="n">
        <v>1664</v>
      </c>
      <c r="Q13" s="110" t="n">
        <v>2812</v>
      </c>
      <c r="R13" s="110" t="n">
        <f aca="false">SUM(F13:Q13)</f>
        <v>16423</v>
      </c>
    </row>
    <row r="14" customFormat="false" ht="15" hidden="false" customHeight="true" outlineLevel="0" collapsed="false">
      <c r="D14" s="100" t="s">
        <v>18</v>
      </c>
      <c r="F14" s="110" t="n">
        <v>20535</v>
      </c>
      <c r="G14" s="110" t="n">
        <v>18583</v>
      </c>
      <c r="H14" s="110" t="n">
        <v>23500</v>
      </c>
      <c r="I14" s="110" t="n">
        <v>22440</v>
      </c>
      <c r="J14" s="110" t="n">
        <v>21836</v>
      </c>
      <c r="K14" s="110" t="n">
        <v>21663</v>
      </c>
      <c r="L14" s="110" t="n">
        <v>21283</v>
      </c>
      <c r="M14" s="110" t="n">
        <v>22152</v>
      </c>
      <c r="N14" s="110" t="n">
        <v>22615</v>
      </c>
      <c r="O14" s="110" t="n">
        <v>22843</v>
      </c>
      <c r="P14" s="110" t="n">
        <v>25510</v>
      </c>
      <c r="Q14" s="110" t="n">
        <v>22148</v>
      </c>
      <c r="R14" s="110" t="n">
        <f aca="false">SUM(F14:Q14)</f>
        <v>265108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473</v>
      </c>
      <c r="I16" s="110" t="n">
        <v>1052</v>
      </c>
      <c r="J16" s="110" t="n">
        <v>512</v>
      </c>
      <c r="K16" s="110" t="n">
        <v>0</v>
      </c>
      <c r="L16" s="110" t="n">
        <v>180</v>
      </c>
      <c r="M16" s="110" t="n">
        <v>1155</v>
      </c>
      <c r="N16" s="110" t="n">
        <v>207</v>
      </c>
      <c r="O16" s="110" t="n">
        <v>1096</v>
      </c>
      <c r="P16" s="110" t="n">
        <v>1873</v>
      </c>
      <c r="Q16" s="110" t="n">
        <v>2860</v>
      </c>
      <c r="R16" s="110" t="n">
        <f aca="false">SUM(F16:Q16)</f>
        <v>9408</v>
      </c>
    </row>
    <row r="17" customFormat="false" ht="15" hidden="false" customHeight="true" outlineLevel="0" collapsed="false">
      <c r="D17" s="100" t="s">
        <v>105</v>
      </c>
      <c r="F17" s="110" t="n">
        <v>916</v>
      </c>
      <c r="G17" s="110" t="n">
        <v>986</v>
      </c>
      <c r="H17" s="110" t="n">
        <v>1583</v>
      </c>
      <c r="I17" s="110" t="n">
        <v>949</v>
      </c>
      <c r="J17" s="110" t="n">
        <v>1099</v>
      </c>
      <c r="K17" s="110" t="n">
        <v>1354</v>
      </c>
      <c r="L17" s="110" t="n">
        <v>1092</v>
      </c>
      <c r="M17" s="110" t="n">
        <v>1028</v>
      </c>
      <c r="N17" s="110" t="n">
        <v>1486</v>
      </c>
      <c r="O17" s="110" t="n">
        <v>1018</v>
      </c>
      <c r="P17" s="110" t="n">
        <v>977</v>
      </c>
      <c r="Q17" s="110" t="n">
        <v>324</v>
      </c>
      <c r="R17" s="110" t="n">
        <f aca="false">SUM(F17:Q17)</f>
        <v>12812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39890</v>
      </c>
      <c r="G19" s="109" t="n">
        <f aca="false">SUM(G20:G24)</f>
        <v>7028</v>
      </c>
      <c r="H19" s="109" t="n">
        <f aca="false">SUM(H20:H24)</f>
        <v>10507</v>
      </c>
      <c r="I19" s="109" t="n">
        <f aca="false">SUM(I20:I24)</f>
        <v>11551</v>
      </c>
      <c r="J19" s="109" t="n">
        <f aca="false">SUM(J20:J24)</f>
        <v>9003</v>
      </c>
      <c r="K19" s="109" t="n">
        <f aca="false">SUM(K20:K24)</f>
        <v>10218</v>
      </c>
      <c r="L19" s="109" t="n">
        <f aca="false">SUM(L20:L24)</f>
        <v>10769</v>
      </c>
      <c r="M19" s="109" t="n">
        <f aca="false">SUM(M20:M24)</f>
        <v>13029</v>
      </c>
      <c r="N19" s="109" t="n">
        <f aca="false">SUM(N20:N24)</f>
        <v>13683</v>
      </c>
      <c r="O19" s="109" t="n">
        <f aca="false">SUM(O20:O24)</f>
        <v>9573</v>
      </c>
      <c r="P19" s="109" t="n">
        <f aca="false">SUM(P20:P24)</f>
        <v>9506</v>
      </c>
      <c r="Q19" s="109" t="n">
        <f aca="false">SUM(Q20:Q24)</f>
        <v>12864</v>
      </c>
      <c r="R19" s="109" t="n">
        <f aca="false">SUM(R20:R24)</f>
        <v>157621</v>
      </c>
    </row>
    <row r="20" customFormat="false" ht="15" hidden="false" customHeight="true" outlineLevel="0" collapsed="false">
      <c r="D20" s="100" t="s">
        <v>21</v>
      </c>
      <c r="F20" s="110" t="n">
        <v>30981</v>
      </c>
      <c r="G20" s="110" t="n">
        <v>2621</v>
      </c>
      <c r="H20" s="110" t="n">
        <v>4529</v>
      </c>
      <c r="I20" s="110" t="n">
        <v>6247</v>
      </c>
      <c r="J20" s="110" t="n">
        <v>4046</v>
      </c>
      <c r="K20" s="110" t="n">
        <v>2350</v>
      </c>
      <c r="L20" s="110" t="n">
        <v>5814</v>
      </c>
      <c r="M20" s="110" t="n">
        <v>4504</v>
      </c>
      <c r="N20" s="110" t="n">
        <v>5779</v>
      </c>
      <c r="O20" s="110" t="n">
        <v>2623</v>
      </c>
      <c r="P20" s="110" t="n">
        <v>2725</v>
      </c>
      <c r="Q20" s="110" t="n">
        <v>3336</v>
      </c>
      <c r="R20" s="110" t="n">
        <f aca="false">SUM(F20:Q20)</f>
        <v>75555</v>
      </c>
    </row>
    <row r="21" customFormat="false" ht="15" hidden="false" customHeight="true" outlineLevel="0" collapsed="false">
      <c r="D21" s="100" t="s">
        <v>23</v>
      </c>
      <c r="F21" s="110" t="n">
        <v>585</v>
      </c>
      <c r="G21" s="110" t="n">
        <v>16</v>
      </c>
      <c r="H21" s="110" t="n">
        <v>69</v>
      </c>
      <c r="I21" s="110" t="n">
        <v>5</v>
      </c>
      <c r="J21" s="110" t="n">
        <v>2</v>
      </c>
      <c r="K21" s="110" t="n">
        <v>5</v>
      </c>
      <c r="L21" s="110" t="n">
        <v>0</v>
      </c>
      <c r="M21" s="110" t="n">
        <v>21</v>
      </c>
      <c r="N21" s="110" t="n">
        <v>22</v>
      </c>
      <c r="O21" s="110" t="n">
        <v>5</v>
      </c>
      <c r="P21" s="110" t="n">
        <v>0</v>
      </c>
      <c r="Q21" s="110" t="n">
        <v>200</v>
      </c>
      <c r="R21" s="110" t="n">
        <f aca="false">SUM(F21:Q21)</f>
        <v>930</v>
      </c>
      <c r="T21" s="110"/>
    </row>
    <row r="22" customFormat="false" ht="15" hidden="false" customHeight="true" outlineLevel="0" collapsed="false">
      <c r="D22" s="100" t="s">
        <v>24</v>
      </c>
      <c r="E22" s="31"/>
      <c r="F22" s="110" t="n">
        <v>3327.681</v>
      </c>
      <c r="G22" s="110" t="n">
        <v>843.621</v>
      </c>
      <c r="H22" s="110" t="n">
        <v>1796.125</v>
      </c>
      <c r="I22" s="110" t="n">
        <v>2891.286</v>
      </c>
      <c r="J22" s="110" t="n">
        <v>2160.767</v>
      </c>
      <c r="K22" s="110" t="n">
        <v>2489.278</v>
      </c>
      <c r="L22" s="110" t="n">
        <v>830.835</v>
      </c>
      <c r="M22" s="110" t="n">
        <v>2737.465</v>
      </c>
      <c r="N22" s="110" t="n">
        <v>3060.565</v>
      </c>
      <c r="O22" s="110" t="n">
        <v>3066.325</v>
      </c>
      <c r="P22" s="110" t="n">
        <v>3072.252</v>
      </c>
      <c r="Q22" s="110" t="n">
        <v>2092.777</v>
      </c>
      <c r="R22" s="110" t="n">
        <f aca="false">SUM(F22:Q22)</f>
        <v>28368.977</v>
      </c>
      <c r="T22" s="110"/>
    </row>
    <row r="23" customFormat="false" ht="15" hidden="false" customHeight="true" outlineLevel="0" collapsed="false">
      <c r="D23" s="100" t="s">
        <v>112</v>
      </c>
      <c r="F23" s="110" t="n">
        <v>2053</v>
      </c>
      <c r="G23" s="110" t="n">
        <v>2224</v>
      </c>
      <c r="H23" s="110" t="n">
        <v>2656</v>
      </c>
      <c r="I23" s="110" t="n">
        <v>1675</v>
      </c>
      <c r="J23" s="110" t="n">
        <v>1825</v>
      </c>
      <c r="K23" s="110" t="n">
        <v>1840</v>
      </c>
      <c r="L23" s="110" t="n">
        <v>2108</v>
      </c>
      <c r="M23" s="110" t="n">
        <v>2431</v>
      </c>
      <c r="N23" s="110" t="n">
        <v>1896</v>
      </c>
      <c r="O23" s="110" t="n">
        <v>3790</v>
      </c>
      <c r="P23" s="110" t="n">
        <v>1818</v>
      </c>
      <c r="Q23" s="110" t="n">
        <v>1732</v>
      </c>
      <c r="R23" s="110" t="n">
        <f aca="false">SUM(F23:Q23)</f>
        <v>26048</v>
      </c>
    </row>
    <row r="24" customFormat="false" ht="15" hidden="false" customHeight="true" outlineLevel="0" collapsed="false">
      <c r="D24" s="100" t="s">
        <v>105</v>
      </c>
      <c r="F24" s="110" t="n">
        <v>2943.319</v>
      </c>
      <c r="G24" s="110" t="n">
        <v>1323.379</v>
      </c>
      <c r="H24" s="110" t="n">
        <v>1456.875</v>
      </c>
      <c r="I24" s="110" t="n">
        <v>732.714</v>
      </c>
      <c r="J24" s="110" t="n">
        <v>969.233</v>
      </c>
      <c r="K24" s="110" t="n">
        <v>3533.722</v>
      </c>
      <c r="L24" s="110" t="n">
        <v>2016.165</v>
      </c>
      <c r="M24" s="110" t="n">
        <v>3335.535</v>
      </c>
      <c r="N24" s="110" t="n">
        <v>2925.435</v>
      </c>
      <c r="O24" s="110" t="n">
        <v>88.6750000000002</v>
      </c>
      <c r="P24" s="110" t="n">
        <v>1890.748</v>
      </c>
      <c r="Q24" s="110" t="n">
        <v>5503.223</v>
      </c>
      <c r="R24" s="110" t="n">
        <f aca="false">SUM(F24:Q24)</f>
        <v>26719.023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1</v>
      </c>
      <c r="G26" s="110" t="n">
        <v>0</v>
      </c>
      <c r="H26" s="110" t="n">
        <v>0</v>
      </c>
      <c r="I26" s="110" t="n">
        <v>2</v>
      </c>
      <c r="J26" s="110" t="n">
        <v>0</v>
      </c>
      <c r="K26" s="110" t="n">
        <v>0</v>
      </c>
      <c r="L26" s="110" t="n">
        <v>30</v>
      </c>
      <c r="M26" s="110" t="n">
        <v>11</v>
      </c>
      <c r="N26" s="110" t="n">
        <v>6</v>
      </c>
      <c r="O26" s="110" t="n">
        <v>1</v>
      </c>
      <c r="P26" s="110" t="n">
        <v>1</v>
      </c>
      <c r="Q26" s="110" t="n">
        <v>203</v>
      </c>
      <c r="R26" s="110" t="n">
        <v>255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122487</v>
      </c>
      <c r="G28" s="108" t="n">
        <f aca="false">SUM(G30:G36)</f>
        <v>101505</v>
      </c>
      <c r="H28" s="108" t="n">
        <f aca="false">SUM(H30:H36)</f>
        <v>125283</v>
      </c>
      <c r="I28" s="108" t="n">
        <f aca="false">SUM(I30:I36)</f>
        <v>112077</v>
      </c>
      <c r="J28" s="108" t="n">
        <f aca="false">SUM(J30:J36)</f>
        <v>129689</v>
      </c>
      <c r="K28" s="108" t="n">
        <f aca="false">SUM(K30:K36)</f>
        <v>107830</v>
      </c>
      <c r="L28" s="108" t="n">
        <f aca="false">SUM(L30:L36)</f>
        <v>133445</v>
      </c>
      <c r="M28" s="108" t="n">
        <f aca="false">SUM(M30:M36)</f>
        <v>114928</v>
      </c>
      <c r="N28" s="108" t="n">
        <f aca="false">SUM(N30:N36)</f>
        <v>122838</v>
      </c>
      <c r="O28" s="108" t="n">
        <f aca="false">SUM(O30:O36)</f>
        <v>125196</v>
      </c>
      <c r="P28" s="108" t="n">
        <f aca="false">SUM(P30:P36)</f>
        <v>150748</v>
      </c>
      <c r="Q28" s="108" t="n">
        <f aca="false">SUM(Q30:Q36)</f>
        <v>211670</v>
      </c>
      <c r="R28" s="108" t="n">
        <f aca="false">SUM(R30:R36)</f>
        <v>1557696</v>
      </c>
      <c r="S28" s="108" t="n">
        <f aca="false">SUM(S30:S36)</f>
        <v>0</v>
      </c>
      <c r="T28" s="110"/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25409</v>
      </c>
      <c r="G30" s="110" t="n">
        <v>26340</v>
      </c>
      <c r="H30" s="110" t="n">
        <v>24627</v>
      </c>
      <c r="I30" s="110" t="n">
        <v>24450</v>
      </c>
      <c r="J30" s="110" t="n">
        <v>28499</v>
      </c>
      <c r="K30" s="110" t="n">
        <v>25869</v>
      </c>
      <c r="L30" s="110" t="n">
        <v>25563</v>
      </c>
      <c r="M30" s="110" t="n">
        <v>24994</v>
      </c>
      <c r="N30" s="110" t="n">
        <v>24314</v>
      </c>
      <c r="O30" s="110" t="n">
        <v>25628</v>
      </c>
      <c r="P30" s="110" t="n">
        <v>26106</v>
      </c>
      <c r="Q30" s="110" t="n">
        <v>33315</v>
      </c>
      <c r="R30" s="110" t="n">
        <f aca="false">SUM(F30:Q30)</f>
        <v>315114</v>
      </c>
    </row>
    <row r="31" customFormat="false" ht="15" hidden="false" customHeight="true" outlineLevel="0" collapsed="false">
      <c r="D31" s="100" t="s">
        <v>29</v>
      </c>
      <c r="F31" s="110" t="n">
        <v>35837</v>
      </c>
      <c r="G31" s="110" t="n">
        <v>22151</v>
      </c>
      <c r="H31" s="110" t="n">
        <v>32732</v>
      </c>
      <c r="I31" s="110" t="n">
        <v>11432</v>
      </c>
      <c r="J31" s="110" t="n">
        <v>15645</v>
      </c>
      <c r="K31" s="110" t="n">
        <v>16705</v>
      </c>
      <c r="L31" s="110" t="n">
        <v>41199</v>
      </c>
      <c r="M31" s="110" t="n">
        <v>20906</v>
      </c>
      <c r="N31" s="110" t="n">
        <v>25835</v>
      </c>
      <c r="O31" s="110" t="n">
        <v>12657</v>
      </c>
      <c r="P31" s="110" t="n">
        <v>16408</v>
      </c>
      <c r="Q31" s="110" t="n">
        <v>27489</v>
      </c>
      <c r="R31" s="110" t="n">
        <f aca="false">SUM(F31:Q31)</f>
        <v>278996</v>
      </c>
    </row>
    <row r="32" customFormat="false" ht="15" hidden="false" customHeight="true" outlineLevel="0" collapsed="false">
      <c r="D32" s="100" t="s">
        <v>30</v>
      </c>
      <c r="F32" s="110" t="n">
        <v>1137</v>
      </c>
      <c r="G32" s="110" t="n">
        <v>604</v>
      </c>
      <c r="H32" s="110" t="n">
        <v>8350</v>
      </c>
      <c r="I32" s="110" t="n">
        <v>2528</v>
      </c>
      <c r="J32" s="110" t="n">
        <v>1246</v>
      </c>
      <c r="K32" s="110" t="n">
        <v>914</v>
      </c>
      <c r="L32" s="110" t="n">
        <v>741</v>
      </c>
      <c r="M32" s="110" t="n">
        <v>3063</v>
      </c>
      <c r="N32" s="110" t="n">
        <v>878</v>
      </c>
      <c r="O32" s="110" t="n">
        <v>3756</v>
      </c>
      <c r="P32" s="110" t="n">
        <v>4179</v>
      </c>
      <c r="Q32" s="110" t="n">
        <v>6137</v>
      </c>
      <c r="R32" s="110" t="n">
        <f aca="false">SUM(F32:Q32)</f>
        <v>33533</v>
      </c>
    </row>
    <row r="33" customFormat="false" ht="15" hidden="false" customHeight="true" outlineLevel="0" collapsed="false">
      <c r="D33" s="100" t="s">
        <v>77</v>
      </c>
      <c r="F33" s="110" t="n">
        <v>1123</v>
      </c>
      <c r="G33" s="110" t="n">
        <v>3193</v>
      </c>
      <c r="H33" s="110" t="n">
        <v>2757</v>
      </c>
      <c r="I33" s="110" t="n">
        <v>110</v>
      </c>
      <c r="J33" s="110" t="n">
        <v>5491</v>
      </c>
      <c r="K33" s="110" t="n">
        <v>1488</v>
      </c>
      <c r="L33" s="110" t="n">
        <v>1103</v>
      </c>
      <c r="M33" s="110" t="n">
        <v>2137</v>
      </c>
      <c r="N33" s="110" t="n">
        <v>1708</v>
      </c>
      <c r="O33" s="110" t="n">
        <v>12630</v>
      </c>
      <c r="P33" s="110" t="n">
        <v>13469</v>
      </c>
      <c r="Q33" s="110" t="n">
        <v>8496</v>
      </c>
      <c r="R33" s="110" t="n">
        <f aca="false">SUM(F33:Q33)</f>
        <v>53705</v>
      </c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0</v>
      </c>
      <c r="H34" s="110" t="n">
        <v>0</v>
      </c>
      <c r="I34" s="110" t="n">
        <v>116</v>
      </c>
      <c r="J34" s="110" t="n">
        <v>0</v>
      </c>
      <c r="K34" s="110" t="n">
        <v>0</v>
      </c>
      <c r="L34" s="110" t="n">
        <v>188</v>
      </c>
      <c r="M34" s="110" t="n">
        <v>0</v>
      </c>
      <c r="N34" s="110" t="n">
        <v>0</v>
      </c>
      <c r="O34" s="110" t="n">
        <v>11028</v>
      </c>
      <c r="P34" s="110" t="n">
        <v>1046</v>
      </c>
      <c r="Q34" s="110" t="n">
        <v>511</v>
      </c>
      <c r="R34" s="110" t="n">
        <f aca="false">SUM(F34:Q34)</f>
        <v>12889</v>
      </c>
    </row>
    <row r="35" customFormat="false" ht="15" hidden="false" customHeight="true" outlineLevel="0" collapsed="false">
      <c r="D35" s="100" t="s">
        <v>78</v>
      </c>
      <c r="F35" s="110" t="n">
        <v>663</v>
      </c>
      <c r="G35" s="110" t="n">
        <v>318</v>
      </c>
      <c r="H35" s="110" t="n">
        <v>1441</v>
      </c>
      <c r="I35" s="110" t="n">
        <v>3664</v>
      </c>
      <c r="J35" s="110" t="n">
        <v>4106</v>
      </c>
      <c r="K35" s="110" t="n">
        <v>2168</v>
      </c>
      <c r="L35" s="110" t="n">
        <v>915</v>
      </c>
      <c r="M35" s="110" t="n">
        <v>282</v>
      </c>
      <c r="N35" s="110" t="n">
        <v>1644</v>
      </c>
      <c r="O35" s="110" t="n">
        <v>1093</v>
      </c>
      <c r="P35" s="110" t="n">
        <v>705</v>
      </c>
      <c r="Q35" s="110" t="n">
        <v>1056</v>
      </c>
      <c r="R35" s="110" t="n">
        <f aca="false">SUM(F35:Q35)</f>
        <v>18055</v>
      </c>
    </row>
    <row r="36" customFormat="false" ht="15" hidden="false" customHeight="true" outlineLevel="0" collapsed="false">
      <c r="D36" s="1" t="s">
        <v>79</v>
      </c>
      <c r="F36" s="110" t="n">
        <v>58318</v>
      </c>
      <c r="G36" s="110" t="n">
        <v>48899</v>
      </c>
      <c r="H36" s="110" t="n">
        <v>55376</v>
      </c>
      <c r="I36" s="110" t="n">
        <v>69777</v>
      </c>
      <c r="J36" s="110" t="n">
        <v>74702</v>
      </c>
      <c r="K36" s="110" t="n">
        <v>60686</v>
      </c>
      <c r="L36" s="110" t="n">
        <v>63736</v>
      </c>
      <c r="M36" s="110" t="n">
        <v>63546</v>
      </c>
      <c r="N36" s="110" t="n">
        <v>68459</v>
      </c>
      <c r="O36" s="110" t="n">
        <v>58404</v>
      </c>
      <c r="P36" s="110" t="n">
        <v>88835</v>
      </c>
      <c r="Q36" s="110" t="n">
        <v>134666</v>
      </c>
      <c r="R36" s="110" t="n">
        <f aca="false">SUM(F36:Q36)</f>
        <v>845404</v>
      </c>
      <c r="T36" s="110"/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13424</v>
      </c>
      <c r="G38" s="112" t="n">
        <f aca="false">+G8-G28</f>
        <v>-21490</v>
      </c>
      <c r="H38" s="112" t="n">
        <f aca="false">+H8-H28</f>
        <v>-18131</v>
      </c>
      <c r="I38" s="112" t="n">
        <f aca="false">+I8-I28</f>
        <v>26258</v>
      </c>
      <c r="J38" s="112" t="n">
        <f aca="false">+J8-J28</f>
        <v>-9601</v>
      </c>
      <c r="K38" s="112" t="n">
        <f aca="false">+K8-K28</f>
        <v>-7691</v>
      </c>
      <c r="L38" s="112" t="n">
        <f aca="false">+L8-L28</f>
        <v>-26482</v>
      </c>
      <c r="M38" s="112" t="n">
        <f aca="false">+M8-M28</f>
        <v>9220</v>
      </c>
      <c r="N38" s="112" t="n">
        <f aca="false">+N8-N28</f>
        <v>-18501</v>
      </c>
      <c r="O38" s="112" t="n">
        <f aca="false">+O8-O28</f>
        <v>-21257</v>
      </c>
      <c r="P38" s="112" t="n">
        <f aca="false">+P8-P28</f>
        <v>-22003</v>
      </c>
      <c r="Q38" s="112" t="n">
        <f aca="false">+Q8-Q28</f>
        <v>-101500</v>
      </c>
      <c r="R38" s="112" t="n">
        <f aca="false">SUM(F38:Q38)</f>
        <v>-197754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23934</v>
      </c>
      <c r="G40" s="108" t="n">
        <v>-71790</v>
      </c>
      <c r="H40" s="108" t="n">
        <v>154063</v>
      </c>
      <c r="I40" s="108" t="n">
        <v>37397</v>
      </c>
      <c r="J40" s="108" t="n">
        <v>47665</v>
      </c>
      <c r="K40" s="108" t="n">
        <v>20280</v>
      </c>
      <c r="L40" s="108" t="n">
        <v>10974</v>
      </c>
      <c r="M40" s="108" t="n">
        <v>26208</v>
      </c>
      <c r="N40" s="108" t="n">
        <v>33686</v>
      </c>
      <c r="O40" s="108" t="n">
        <v>97341</v>
      </c>
      <c r="P40" s="108" t="n">
        <v>9960</v>
      </c>
      <c r="Q40" s="108" t="n">
        <v>24178</v>
      </c>
      <c r="R40" s="108" t="n">
        <v>413896</v>
      </c>
    </row>
    <row r="41" customFormat="false" ht="15" hidden="false" customHeight="true" outlineLevel="0" collapsed="false">
      <c r="C41" s="100" t="s">
        <v>37</v>
      </c>
      <c r="F41" s="109" t="n">
        <v>54449</v>
      </c>
      <c r="G41" s="109" t="n">
        <v>-61362</v>
      </c>
      <c r="H41" s="109" t="n">
        <v>61279</v>
      </c>
      <c r="I41" s="109" t="n">
        <v>658</v>
      </c>
      <c r="J41" s="109" t="n">
        <v>-3178</v>
      </c>
      <c r="K41" s="109" t="n">
        <v>-3262</v>
      </c>
      <c r="L41" s="109" t="n">
        <v>2494</v>
      </c>
      <c r="M41" s="109" t="n">
        <v>5139</v>
      </c>
      <c r="N41" s="109" t="n">
        <v>4133</v>
      </c>
      <c r="O41" s="109" t="n">
        <v>1158</v>
      </c>
      <c r="P41" s="109" t="n">
        <v>-4545</v>
      </c>
      <c r="Q41" s="109" t="n">
        <v>-5803</v>
      </c>
      <c r="R41" s="109" t="n">
        <v>51160</v>
      </c>
    </row>
    <row r="42" customFormat="false" ht="15" hidden="false" customHeight="true" outlineLevel="0" collapsed="false">
      <c r="D42" s="100" t="s">
        <v>38</v>
      </c>
      <c r="F42" s="110" t="n">
        <v>55765</v>
      </c>
      <c r="G42" s="110" t="n">
        <v>1828</v>
      </c>
      <c r="H42" s="110" t="n">
        <v>67583</v>
      </c>
      <c r="I42" s="110" t="n">
        <v>3129</v>
      </c>
      <c r="J42" s="110" t="n">
        <v>2489</v>
      </c>
      <c r="K42" s="110" t="n">
        <v>3156</v>
      </c>
      <c r="L42" s="110" t="n">
        <v>3742</v>
      </c>
      <c r="M42" s="110" t="n">
        <v>13057</v>
      </c>
      <c r="N42" s="110" t="n">
        <v>10729</v>
      </c>
      <c r="O42" s="110" t="n">
        <v>5612</v>
      </c>
      <c r="P42" s="110" t="n">
        <v>1670</v>
      </c>
      <c r="Q42" s="110" t="n">
        <v>27204</v>
      </c>
      <c r="R42" s="110" t="n">
        <v>195964</v>
      </c>
    </row>
    <row r="43" customFormat="false" ht="15" hidden="false" customHeight="true" outlineLevel="0" collapsed="false">
      <c r="D43" s="100" t="s">
        <v>97</v>
      </c>
      <c r="F43" s="110" t="n">
        <v>1316</v>
      </c>
      <c r="G43" s="110" t="n">
        <v>63190</v>
      </c>
      <c r="H43" s="110" t="n">
        <v>6304</v>
      </c>
      <c r="I43" s="110" t="n">
        <v>2471</v>
      </c>
      <c r="J43" s="110" t="n">
        <v>5667</v>
      </c>
      <c r="K43" s="110" t="n">
        <v>6418</v>
      </c>
      <c r="L43" s="110" t="n">
        <v>1248</v>
      </c>
      <c r="M43" s="110" t="n">
        <v>7918</v>
      </c>
      <c r="N43" s="110" t="n">
        <v>6596</v>
      </c>
      <c r="O43" s="110" t="n">
        <v>4454</v>
      </c>
      <c r="P43" s="110" t="n">
        <v>6215</v>
      </c>
      <c r="Q43" s="110" t="n">
        <v>33007</v>
      </c>
      <c r="R43" s="110" t="n">
        <v>144804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-30515</v>
      </c>
      <c r="G45" s="109" t="n">
        <v>-10428</v>
      </c>
      <c r="H45" s="109" t="n">
        <v>92784</v>
      </c>
      <c r="I45" s="109" t="n">
        <v>36739</v>
      </c>
      <c r="J45" s="109" t="n">
        <v>50843</v>
      </c>
      <c r="K45" s="109" t="n">
        <v>23542</v>
      </c>
      <c r="L45" s="109" t="n">
        <v>8480</v>
      </c>
      <c r="M45" s="109" t="n">
        <v>21069</v>
      </c>
      <c r="N45" s="109" t="n">
        <v>29553</v>
      </c>
      <c r="O45" s="109" t="n">
        <v>96183</v>
      </c>
      <c r="P45" s="109" t="n">
        <v>14505</v>
      </c>
      <c r="Q45" s="109" t="n">
        <v>29981</v>
      </c>
      <c r="R45" s="109" t="n">
        <v>362736</v>
      </c>
    </row>
    <row r="46" customFormat="false" ht="15" hidden="false" customHeight="true" outlineLevel="0" collapsed="false">
      <c r="D46" s="100" t="s">
        <v>41</v>
      </c>
      <c r="F46" s="110" t="n">
        <v>-30515</v>
      </c>
      <c r="G46" s="110" t="n">
        <v>-10428</v>
      </c>
      <c r="H46" s="110" t="n">
        <v>93099</v>
      </c>
      <c r="I46" s="110" t="n">
        <v>36949</v>
      </c>
      <c r="J46" s="110" t="n">
        <v>50981</v>
      </c>
      <c r="K46" s="110" t="n">
        <v>23542</v>
      </c>
      <c r="L46" s="110" t="n">
        <v>300953</v>
      </c>
      <c r="M46" s="110" t="n">
        <v>21069</v>
      </c>
      <c r="N46" s="110" t="n">
        <v>30141</v>
      </c>
      <c r="O46" s="110" t="n">
        <v>96183</v>
      </c>
      <c r="P46" s="110" t="n">
        <v>14842</v>
      </c>
      <c r="Q46" s="110" t="n">
        <v>30355</v>
      </c>
      <c r="R46" s="110" t="n">
        <v>657171</v>
      </c>
    </row>
    <row r="47" customFormat="false" ht="15" hidden="false" customHeight="true" outlineLevel="0" collapsed="false">
      <c r="D47" s="100" t="s">
        <v>42</v>
      </c>
      <c r="F47" s="110" t="n">
        <v>0</v>
      </c>
      <c r="G47" s="110" t="n">
        <v>0</v>
      </c>
      <c r="H47" s="110" t="n">
        <v>315</v>
      </c>
      <c r="I47" s="110" t="n">
        <v>210</v>
      </c>
      <c r="J47" s="110" t="n">
        <v>138</v>
      </c>
      <c r="K47" s="110" t="n">
        <v>0</v>
      </c>
      <c r="L47" s="110" t="n">
        <v>292473</v>
      </c>
      <c r="M47" s="110" t="n">
        <v>0</v>
      </c>
      <c r="N47" s="110" t="n">
        <v>588</v>
      </c>
      <c r="O47" s="110" t="n">
        <v>0</v>
      </c>
      <c r="P47" s="110" t="n">
        <v>337</v>
      </c>
      <c r="Q47" s="110" t="n">
        <v>374</v>
      </c>
      <c r="R47" s="110" t="n">
        <v>294435</v>
      </c>
    </row>
    <row r="48" customFormat="false" ht="15" hidden="false" customHeight="true" outlineLevel="0" collapsed="false">
      <c r="E48" s="1" t="s">
        <v>67</v>
      </c>
      <c r="F48" s="110" t="n">
        <v>12933</v>
      </c>
      <c r="G48" s="110" t="n">
        <v>0</v>
      </c>
      <c r="H48" s="110" t="n">
        <v>90920</v>
      </c>
      <c r="I48" s="110" t="n">
        <v>18091</v>
      </c>
      <c r="J48" s="110" t="n">
        <v>3136</v>
      </c>
      <c r="K48" s="110" t="n">
        <v>1415</v>
      </c>
      <c r="L48" s="110" t="n">
        <v>300744</v>
      </c>
      <c r="M48" s="110" t="n">
        <v>23351</v>
      </c>
      <c r="N48" s="110" t="n">
        <v>6931</v>
      </c>
      <c r="O48" s="110" t="n">
        <v>41425</v>
      </c>
      <c r="P48" s="110" t="n">
        <v>337</v>
      </c>
      <c r="Q48" s="110" t="n">
        <v>7486</v>
      </c>
      <c r="R48" s="110" t="n">
        <v>506769</v>
      </c>
    </row>
    <row r="49" customFormat="false" ht="15" hidden="false" customHeight="true" outlineLevel="0" collapsed="false">
      <c r="E49" s="16" t="s">
        <v>80</v>
      </c>
      <c r="F49" s="110" t="n">
        <v>12933</v>
      </c>
      <c r="G49" s="110" t="n">
        <v>0</v>
      </c>
      <c r="H49" s="110" t="n">
        <v>90605</v>
      </c>
      <c r="I49" s="110" t="n">
        <v>17881</v>
      </c>
      <c r="J49" s="110" t="n">
        <v>2998</v>
      </c>
      <c r="K49" s="110" t="n">
        <v>1415</v>
      </c>
      <c r="L49" s="110" t="n">
        <v>8271</v>
      </c>
      <c r="M49" s="110" t="n">
        <v>23351</v>
      </c>
      <c r="N49" s="110" t="n">
        <v>6343</v>
      </c>
      <c r="O49" s="110" t="n">
        <v>41425</v>
      </c>
      <c r="P49" s="110" t="n">
        <v>0</v>
      </c>
      <c r="Q49" s="110" t="n">
        <v>7112</v>
      </c>
      <c r="R49" s="110" t="n">
        <v>212334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78836</v>
      </c>
      <c r="G51" s="108" t="n">
        <v>-79379</v>
      </c>
      <c r="H51" s="108" t="n">
        <v>78119</v>
      </c>
      <c r="I51" s="108" t="n">
        <v>43974</v>
      </c>
      <c r="J51" s="108" t="n">
        <v>181584</v>
      </c>
      <c r="K51" s="108" t="n">
        <v>16019</v>
      </c>
      <c r="L51" s="108" t="n">
        <v>-148369</v>
      </c>
      <c r="M51" s="108" t="n">
        <v>-192547</v>
      </c>
      <c r="N51" s="108" t="n">
        <v>33663</v>
      </c>
      <c r="O51" s="108" t="n">
        <v>-103437</v>
      </c>
      <c r="P51" s="108" t="n">
        <v>-39372</v>
      </c>
      <c r="Q51" s="108" t="n">
        <v>51244</v>
      </c>
      <c r="R51" s="108" t="n">
        <v>-79665</v>
      </c>
    </row>
    <row r="52" customFormat="false" ht="14.25" hidden="false" customHeight="false" outlineLevel="0" collapsed="false">
      <c r="F52" s="110"/>
      <c r="G52" s="110"/>
      <c r="H52" s="110"/>
      <c r="I52" s="110"/>
    </row>
    <row r="53" customFormat="false" ht="15" hidden="false" customHeight="false" outlineLevel="0" collapsed="false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customFormat="false" ht="15" hidden="false" customHeight="false" outlineLevel="0" collapsed="false">
      <c r="B54" s="103" t="s">
        <v>46</v>
      </c>
    </row>
    <row r="55" customFormat="false" ht="14.25" hidden="false" customHeight="true" outlineLevel="0" collapsed="false">
      <c r="B55" s="103"/>
      <c r="C55" s="130" t="s">
        <v>110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</row>
    <row r="56" customFormat="false" ht="15.75" hidden="false" customHeight="true" outlineLevel="0" collapsed="false">
      <c r="B56" s="103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</row>
    <row r="59" customFormat="false" ht="14.25" hidden="false" customHeight="false" outlineLevel="0" collapsed="false">
      <c r="B59" s="31" t="s">
        <v>51</v>
      </c>
    </row>
    <row r="60" customFormat="false" ht="14.25" hidden="false" customHeight="false" outlineLevel="0" collapsed="false">
      <c r="B60" s="31" t="s">
        <v>106</v>
      </c>
    </row>
  </sheetData>
  <mergeCells count="3">
    <mergeCell ref="A4:E4"/>
    <mergeCell ref="A6:E6"/>
    <mergeCell ref="C55:Q56"/>
  </mergeCells>
  <printOptions headings="false" gridLines="false" gridLinesSet="true" horizontalCentered="true" verticalCentered="false"/>
  <pageMargins left="0" right="0" top="0.905555555555556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F8" activeCellId="0" sqref="F8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27.99"/>
    <col collapsed="false" customWidth="false" hidden="false" outlineLevel="0" max="6" min="6" style="100" width="9.14"/>
    <col collapsed="false" customWidth="true" hidden="false" outlineLevel="0" max="7" min="7" style="100" width="9.85"/>
    <col collapsed="false" customWidth="false" hidden="false" outlineLevel="0" max="17" min="8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114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20" t="s">
        <v>95</v>
      </c>
      <c r="B4" s="120"/>
      <c r="C4" s="120"/>
      <c r="D4" s="120"/>
      <c r="E4" s="120"/>
    </row>
    <row r="5" customFormat="false" ht="7.5" hidden="false" customHeight="true" outlineLevel="0" collapsed="false">
      <c r="B5" s="102"/>
    </row>
    <row r="6" customFormat="false" ht="6" hidden="false" customHeight="true" outlineLevel="0" collapsed="false"/>
    <row r="7" customFormat="false" ht="21.75" hidden="false" customHeight="true" outlineLevel="0" collapsed="false">
      <c r="A7" s="126" t="s">
        <v>4</v>
      </c>
      <c r="B7" s="126"/>
      <c r="C7" s="126"/>
      <c r="D7" s="126"/>
      <c r="E7" s="126"/>
      <c r="F7" s="105" t="s">
        <v>5</v>
      </c>
      <c r="G7" s="105" t="s">
        <v>6</v>
      </c>
      <c r="H7" s="105" t="s">
        <v>7</v>
      </c>
      <c r="I7" s="105" t="s">
        <v>8</v>
      </c>
      <c r="J7" s="105" t="s">
        <v>9</v>
      </c>
      <c r="K7" s="105" t="s">
        <v>10</v>
      </c>
      <c r="L7" s="105" t="s">
        <v>53</v>
      </c>
      <c r="M7" s="105" t="s">
        <v>54</v>
      </c>
      <c r="N7" s="105" t="s">
        <v>64</v>
      </c>
      <c r="O7" s="105" t="s">
        <v>56</v>
      </c>
      <c r="P7" s="105" t="s">
        <v>57</v>
      </c>
      <c r="Q7" s="105" t="s">
        <v>58</v>
      </c>
      <c r="R7" s="105" t="s">
        <v>11</v>
      </c>
      <c r="S7" s="129"/>
    </row>
    <row r="8" s="117" customFormat="true" ht="15" hidden="false" customHeight="true" outlineLevel="0" collapsed="false"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</row>
    <row r="9" customFormat="false" ht="15" hidden="false" customHeight="true" outlineLevel="0" collapsed="false">
      <c r="B9" s="107" t="s">
        <v>12</v>
      </c>
      <c r="C9" s="107"/>
      <c r="D9" s="107"/>
      <c r="E9" s="107"/>
      <c r="F9" s="108" t="n">
        <f aca="false">F10+F20+F27</f>
        <v>92265</v>
      </c>
      <c r="G9" s="108" t="n">
        <f aca="false">G10+G20+G27</f>
        <v>76699</v>
      </c>
      <c r="H9" s="108" t="n">
        <f aca="false">H10+H20+H27</f>
        <v>96860</v>
      </c>
      <c r="I9" s="108" t="n">
        <f aca="false">I10+I20+I27</f>
        <v>124468</v>
      </c>
      <c r="J9" s="108" t="n">
        <f aca="false">J10+J20+J27</f>
        <v>109717</v>
      </c>
      <c r="K9" s="108" t="n">
        <f aca="false">K10+K20+K27</f>
        <v>92095</v>
      </c>
      <c r="L9" s="108" t="n">
        <f aca="false">L10+L20+L27</f>
        <v>102908</v>
      </c>
      <c r="M9" s="108" t="n">
        <f aca="false">M10+M20+M27</f>
        <v>107806</v>
      </c>
      <c r="N9" s="108" t="n">
        <f aca="false">N10+N20+N27</f>
        <v>91898</v>
      </c>
      <c r="O9" s="108" t="n">
        <f aca="false">O10+O20+O27</f>
        <v>98503</v>
      </c>
      <c r="P9" s="108" t="n">
        <f aca="false">P10+P20+P27</f>
        <v>111535</v>
      </c>
      <c r="Q9" s="108" t="n">
        <f aca="false">Q10+Q20+Q27</f>
        <v>103172</v>
      </c>
      <c r="R9" s="108" t="n">
        <f aca="false">R10+R20+R27</f>
        <v>1207926</v>
      </c>
    </row>
    <row r="10" customFormat="false" ht="15" hidden="false" customHeight="true" outlineLevel="0" collapsed="false">
      <c r="C10" s="100" t="s">
        <v>13</v>
      </c>
      <c r="F10" s="109" t="n">
        <f aca="false">F11+F15+F18</f>
        <v>82953</v>
      </c>
      <c r="G10" s="109" t="n">
        <f aca="false">G11+G15+G18</f>
        <v>70209</v>
      </c>
      <c r="H10" s="109" t="n">
        <f aca="false">H11+H15+H18</f>
        <v>84227</v>
      </c>
      <c r="I10" s="109" t="n">
        <f aca="false">I11+I15+I18</f>
        <v>114850</v>
      </c>
      <c r="J10" s="109" t="n">
        <f aca="false">J11+J15+J18</f>
        <v>104080</v>
      </c>
      <c r="K10" s="109" t="n">
        <f aca="false">K11+K15+K18</f>
        <v>83942</v>
      </c>
      <c r="L10" s="109" t="n">
        <f aca="false">L11+L15+L18</f>
        <v>87139</v>
      </c>
      <c r="M10" s="109" t="n">
        <f aca="false">M11+M15+M18</f>
        <v>98164</v>
      </c>
      <c r="N10" s="109" t="n">
        <f aca="false">N11+N15+N18</f>
        <v>82224</v>
      </c>
      <c r="O10" s="109" t="n">
        <f aca="false">O11+O15+O18</f>
        <v>87076</v>
      </c>
      <c r="P10" s="109" t="n">
        <f aca="false">P11+P15+P18</f>
        <v>103413</v>
      </c>
      <c r="Q10" s="109" t="n">
        <f aca="false">Q11+Q15+Q18</f>
        <v>95366</v>
      </c>
      <c r="R10" s="109" t="n">
        <f aca="false">R11+R15+R18</f>
        <v>1093643</v>
      </c>
    </row>
    <row r="11" customFormat="false" ht="15" hidden="false" customHeight="true" outlineLevel="0" collapsed="false">
      <c r="D11" s="100" t="s">
        <v>14</v>
      </c>
      <c r="F11" s="110" t="n">
        <v>64606</v>
      </c>
      <c r="G11" s="110" t="n">
        <v>50975</v>
      </c>
      <c r="H11" s="110" t="n">
        <v>58311</v>
      </c>
      <c r="I11" s="110" t="n">
        <v>91162</v>
      </c>
      <c r="J11" s="110" t="n">
        <v>79049</v>
      </c>
      <c r="K11" s="110" t="n">
        <v>59366</v>
      </c>
      <c r="L11" s="110" t="n">
        <v>63813</v>
      </c>
      <c r="M11" s="110" t="n">
        <v>79090</v>
      </c>
      <c r="N11" s="110" t="n">
        <v>60958</v>
      </c>
      <c r="O11" s="110" t="n">
        <v>63565</v>
      </c>
      <c r="P11" s="110" t="n">
        <v>82430</v>
      </c>
      <c r="Q11" s="110" t="n">
        <v>69298</v>
      </c>
      <c r="R11" s="110" t="n">
        <f aca="false">SUM(F11:Q11)</f>
        <v>822623</v>
      </c>
    </row>
    <row r="12" customFormat="false" ht="15" hidden="false" customHeight="true" outlineLevel="0" collapsed="false">
      <c r="E12" s="31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</row>
    <row r="13" customFormat="false" ht="15" hidden="false" customHeight="true" outlineLevel="0" collapsed="false">
      <c r="E13" s="100" t="s">
        <v>16</v>
      </c>
      <c r="F13" s="110" t="n">
        <v>0</v>
      </c>
      <c r="G13" s="110" t="n">
        <v>270</v>
      </c>
      <c r="H13" s="110" t="n">
        <v>730</v>
      </c>
      <c r="I13" s="110" t="n">
        <v>1117</v>
      </c>
      <c r="J13" s="110" t="n">
        <v>1452</v>
      </c>
      <c r="K13" s="110" t="n">
        <v>348</v>
      </c>
      <c r="L13" s="110" t="n">
        <v>274</v>
      </c>
      <c r="M13" s="110" t="n">
        <v>288</v>
      </c>
      <c r="N13" s="110" t="n">
        <v>907</v>
      </c>
      <c r="O13" s="110" t="n">
        <v>538</v>
      </c>
      <c r="P13" s="110" t="n">
        <v>1107</v>
      </c>
      <c r="Q13" s="110" t="n">
        <v>239</v>
      </c>
      <c r="R13" s="110" t="n">
        <f aca="false">SUM(F13:Q13)</f>
        <v>7270</v>
      </c>
    </row>
    <row r="14" customFormat="false" ht="15" hidden="false" customHeight="true" outlineLevel="0" collapsed="false">
      <c r="E14" s="100" t="s">
        <v>17</v>
      </c>
      <c r="F14" s="110" t="n">
        <v>0</v>
      </c>
      <c r="G14" s="110" t="n">
        <v>0</v>
      </c>
      <c r="H14" s="110" t="n">
        <v>0</v>
      </c>
      <c r="I14" s="110" t="n">
        <v>0</v>
      </c>
      <c r="J14" s="110" t="n">
        <v>113</v>
      </c>
      <c r="K14" s="110" t="n">
        <v>1459</v>
      </c>
      <c r="L14" s="110" t="n">
        <v>1139</v>
      </c>
      <c r="M14" s="110" t="n">
        <v>93</v>
      </c>
      <c r="N14" s="110" t="n">
        <v>244</v>
      </c>
      <c r="O14" s="110" t="n">
        <v>1778</v>
      </c>
      <c r="P14" s="110" t="n">
        <v>306</v>
      </c>
      <c r="Q14" s="110" t="n">
        <v>2825</v>
      </c>
      <c r="R14" s="110" t="n">
        <f aca="false">SUM(F14:Q14)</f>
        <v>7957</v>
      </c>
    </row>
    <row r="15" customFormat="false" ht="15" hidden="false" customHeight="true" outlineLevel="0" collapsed="false">
      <c r="D15" s="100" t="s">
        <v>18</v>
      </c>
      <c r="F15" s="110" t="n">
        <v>17605</v>
      </c>
      <c r="G15" s="110" t="n">
        <v>18076</v>
      </c>
      <c r="H15" s="110" t="n">
        <v>24900</v>
      </c>
      <c r="I15" s="110" t="n">
        <v>22773</v>
      </c>
      <c r="J15" s="110" t="n">
        <v>24119</v>
      </c>
      <c r="K15" s="110" t="n">
        <v>23249</v>
      </c>
      <c r="L15" s="110" t="n">
        <v>22238</v>
      </c>
      <c r="M15" s="110" t="n">
        <v>17762</v>
      </c>
      <c r="N15" s="110" t="n">
        <v>20232</v>
      </c>
      <c r="O15" s="110" t="n">
        <v>22577</v>
      </c>
      <c r="P15" s="110" t="n">
        <v>19969</v>
      </c>
      <c r="Q15" s="110" t="n">
        <v>25741</v>
      </c>
      <c r="R15" s="110" t="n">
        <f aca="false">SUM(F15:Q15)</f>
        <v>259241</v>
      </c>
    </row>
    <row r="16" customFormat="false" ht="15" hidden="false" customHeight="true" outlineLevel="0" collapsed="false">
      <c r="E16" s="31" t="s">
        <v>15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</row>
    <row r="17" customFormat="false" ht="15" hidden="false" customHeight="true" outlineLevel="0" collapsed="false">
      <c r="E17" s="100" t="s">
        <v>17</v>
      </c>
      <c r="F17" s="110" t="n">
        <v>1</v>
      </c>
      <c r="G17" s="110" t="n">
        <v>29</v>
      </c>
      <c r="H17" s="110" t="n">
        <v>5845</v>
      </c>
      <c r="I17" s="110" t="n">
        <v>3866</v>
      </c>
      <c r="J17" s="110" t="n">
        <v>5576</v>
      </c>
      <c r="K17" s="110" t="n">
        <v>4234</v>
      </c>
      <c r="L17" s="110" t="n">
        <v>418</v>
      </c>
      <c r="M17" s="110" t="n">
        <v>22</v>
      </c>
      <c r="N17" s="110" t="n">
        <v>751</v>
      </c>
      <c r="O17" s="110" t="n">
        <v>4586</v>
      </c>
      <c r="P17" s="110" t="n">
        <v>825</v>
      </c>
      <c r="Q17" s="110" t="n">
        <v>5583</v>
      </c>
      <c r="R17" s="110" t="n">
        <f aca="false">SUM(F17:Q17)</f>
        <v>31736</v>
      </c>
    </row>
    <row r="18" customFormat="false" ht="15" hidden="false" customHeight="true" outlineLevel="0" collapsed="false">
      <c r="D18" s="100" t="s">
        <v>105</v>
      </c>
      <c r="F18" s="110" t="n">
        <v>742</v>
      </c>
      <c r="G18" s="110" t="n">
        <v>1158</v>
      </c>
      <c r="H18" s="110" t="n">
        <v>1016</v>
      </c>
      <c r="I18" s="110" t="n">
        <v>915</v>
      </c>
      <c r="J18" s="110" t="n">
        <v>912</v>
      </c>
      <c r="K18" s="110" t="n">
        <v>1327</v>
      </c>
      <c r="L18" s="110" t="n">
        <v>1088</v>
      </c>
      <c r="M18" s="110" t="n">
        <v>1312</v>
      </c>
      <c r="N18" s="110" t="n">
        <v>1034</v>
      </c>
      <c r="O18" s="110" t="n">
        <v>934</v>
      </c>
      <c r="P18" s="110" t="n">
        <v>1014</v>
      </c>
      <c r="Q18" s="110" t="n">
        <v>327</v>
      </c>
      <c r="R18" s="110" t="n">
        <f aca="false">SUM(F18:Q18)</f>
        <v>11779</v>
      </c>
    </row>
    <row r="19" customFormat="false" ht="15" hidden="false" customHeight="true" outlineLevel="0" collapsed="false"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U19" s="100" t="s">
        <v>59</v>
      </c>
    </row>
    <row r="20" customFormat="false" ht="15" hidden="false" customHeight="true" outlineLevel="0" collapsed="false">
      <c r="C20" s="100" t="s">
        <v>20</v>
      </c>
      <c r="F20" s="109" t="n">
        <f aca="false">SUM(F21:F25)</f>
        <v>9312</v>
      </c>
      <c r="G20" s="109" t="n">
        <f aca="false">SUM(G21:G25)</f>
        <v>6345</v>
      </c>
      <c r="H20" s="109" t="n">
        <f aca="false">SUM(H21:H25)</f>
        <v>12593</v>
      </c>
      <c r="I20" s="109" t="n">
        <f aca="false">SUM(I21:I25)</f>
        <v>9595</v>
      </c>
      <c r="J20" s="109" t="n">
        <f aca="false">SUM(J21:J25)</f>
        <v>5570</v>
      </c>
      <c r="K20" s="109" t="n">
        <f aca="false">SUM(K21:K25)</f>
        <v>8063</v>
      </c>
      <c r="L20" s="109" t="n">
        <f aca="false">SUM(L21:L25)</f>
        <v>15764</v>
      </c>
      <c r="M20" s="109" t="n">
        <f aca="false">SUM(M21:M25)</f>
        <v>9642</v>
      </c>
      <c r="N20" s="109" t="n">
        <f aca="false">SUM(N21:N25)</f>
        <v>9673</v>
      </c>
      <c r="O20" s="109" t="n">
        <f aca="false">SUM(O21:O25)</f>
        <v>11425</v>
      </c>
      <c r="P20" s="109" t="n">
        <f aca="false">SUM(P21:P25)</f>
        <v>8122</v>
      </c>
      <c r="Q20" s="109" t="n">
        <f aca="false">SUM(Q21:Q25)</f>
        <v>7773</v>
      </c>
      <c r="R20" s="109" t="n">
        <f aca="false">SUM(R21:R25)</f>
        <v>113877</v>
      </c>
    </row>
    <row r="21" customFormat="false" ht="15" hidden="false" customHeight="true" outlineLevel="0" collapsed="false">
      <c r="D21" s="100" t="s">
        <v>21</v>
      </c>
      <c r="F21" s="110" t="n">
        <v>5068</v>
      </c>
      <c r="G21" s="110" t="n">
        <v>2977</v>
      </c>
      <c r="H21" s="110" t="n">
        <v>5777</v>
      </c>
      <c r="I21" s="110" t="n">
        <v>5149</v>
      </c>
      <c r="J21" s="110" t="n">
        <v>2639</v>
      </c>
      <c r="K21" s="110" t="n">
        <v>3495</v>
      </c>
      <c r="L21" s="110" t="n">
        <v>9614</v>
      </c>
      <c r="M21" s="110" t="n">
        <v>4369</v>
      </c>
      <c r="N21" s="110" t="n">
        <v>4357</v>
      </c>
      <c r="O21" s="110" t="n">
        <v>4179</v>
      </c>
      <c r="P21" s="110" t="n">
        <v>2845</v>
      </c>
      <c r="Q21" s="110" t="n">
        <v>3846</v>
      </c>
      <c r="R21" s="110" t="n">
        <f aca="false">SUM(F21:Q21)</f>
        <v>54315</v>
      </c>
    </row>
    <row r="22" customFormat="false" ht="15" hidden="false" customHeight="true" outlineLevel="0" collapsed="false">
      <c r="D22" s="100" t="s">
        <v>23</v>
      </c>
      <c r="F22" s="110" t="n">
        <v>0</v>
      </c>
      <c r="G22" s="110" t="n">
        <v>0</v>
      </c>
      <c r="H22" s="110" t="n">
        <v>0</v>
      </c>
      <c r="I22" s="110" t="n">
        <v>95</v>
      </c>
      <c r="J22" s="110" t="n">
        <v>0</v>
      </c>
      <c r="K22" s="110" t="n">
        <v>51</v>
      </c>
      <c r="L22" s="110" t="n">
        <v>105</v>
      </c>
      <c r="M22" s="110" t="n">
        <v>176</v>
      </c>
      <c r="N22" s="110" t="n">
        <v>14</v>
      </c>
      <c r="O22" s="110" t="n">
        <v>111</v>
      </c>
      <c r="P22" s="110" t="n">
        <v>0</v>
      </c>
      <c r="Q22" s="110" t="n">
        <v>362</v>
      </c>
      <c r="R22" s="110" t="n">
        <f aca="false">SUM(F22:Q22)</f>
        <v>914</v>
      </c>
      <c r="T22" s="110"/>
    </row>
    <row r="23" customFormat="false" ht="15" hidden="false" customHeight="true" outlineLevel="0" collapsed="false">
      <c r="D23" s="100" t="s">
        <v>24</v>
      </c>
      <c r="E23" s="31"/>
      <c r="F23" s="110" t="n">
        <v>1207.025</v>
      </c>
      <c r="G23" s="110" t="n">
        <v>4.851</v>
      </c>
      <c r="H23" s="110" t="n">
        <v>3196.658</v>
      </c>
      <c r="I23" s="110" t="n">
        <v>1101.1</v>
      </c>
      <c r="J23" s="110" t="n">
        <v>0</v>
      </c>
      <c r="K23" s="110" t="n">
        <v>1817.044</v>
      </c>
      <c r="L23" s="110" t="n">
        <v>2504.469</v>
      </c>
      <c r="M23" s="110" t="n">
        <v>1971.639</v>
      </c>
      <c r="N23" s="110" t="n">
        <v>1548.325</v>
      </c>
      <c r="O23" s="110" t="n">
        <v>1981.526</v>
      </c>
      <c r="P23" s="110" t="n">
        <v>2425.493</v>
      </c>
      <c r="Q23" s="110" t="n">
        <v>-473.519</v>
      </c>
      <c r="R23" s="110" t="n">
        <f aca="false">SUM(F23:Q23)</f>
        <v>17284.611</v>
      </c>
      <c r="T23" s="110"/>
    </row>
    <row r="24" customFormat="false" ht="15" hidden="false" customHeight="true" outlineLevel="0" collapsed="false">
      <c r="D24" s="100" t="s">
        <v>112</v>
      </c>
      <c r="F24" s="110" t="n">
        <v>1766</v>
      </c>
      <c r="G24" s="110" t="n">
        <v>2304</v>
      </c>
      <c r="H24" s="110" t="n">
        <v>1631</v>
      </c>
      <c r="I24" s="110" t="n">
        <v>1634</v>
      </c>
      <c r="J24" s="110" t="n">
        <v>1563</v>
      </c>
      <c r="K24" s="110" t="n">
        <v>1579</v>
      </c>
      <c r="L24" s="110" t="n">
        <v>1905</v>
      </c>
      <c r="M24" s="110" t="n">
        <v>1687</v>
      </c>
      <c r="N24" s="110" t="n">
        <v>1746</v>
      </c>
      <c r="O24" s="110" t="n">
        <v>3794</v>
      </c>
      <c r="P24" s="110" t="n">
        <v>1535</v>
      </c>
      <c r="Q24" s="110" t="n">
        <v>1676</v>
      </c>
      <c r="R24" s="110" t="n">
        <f aca="false">SUM(F24:Q24)</f>
        <v>22820</v>
      </c>
    </row>
    <row r="25" customFormat="false" ht="15" hidden="false" customHeight="true" outlineLevel="0" collapsed="false">
      <c r="D25" s="100" t="s">
        <v>105</v>
      </c>
      <c r="F25" s="110" t="n">
        <f aca="false">4244-F23-F24</f>
        <v>1270.975</v>
      </c>
      <c r="G25" s="110" t="n">
        <f aca="false">3368-G23-G24</f>
        <v>1059.149</v>
      </c>
      <c r="H25" s="110" t="n">
        <f aca="false">6816-H23-H24</f>
        <v>1988.342</v>
      </c>
      <c r="I25" s="110" t="n">
        <f aca="false">4351-I23-I24</f>
        <v>1615.9</v>
      </c>
      <c r="J25" s="110" t="n">
        <f aca="false">2931-J23-J24</f>
        <v>1368</v>
      </c>
      <c r="K25" s="110" t="n">
        <f aca="false">4517-K23-K24</f>
        <v>1120.956</v>
      </c>
      <c r="L25" s="110" t="n">
        <f aca="false">6045-L23-L24</f>
        <v>1635.531</v>
      </c>
      <c r="M25" s="110" t="n">
        <f aca="false">5097-M23-M24</f>
        <v>1438.361</v>
      </c>
      <c r="N25" s="110" t="n">
        <f aca="false">5302-N23-N24</f>
        <v>2007.675</v>
      </c>
      <c r="O25" s="110" t="n">
        <f aca="false">7135-O23-O24</f>
        <v>1359.474</v>
      </c>
      <c r="P25" s="110" t="n">
        <f aca="false">5277-P23-P24</f>
        <v>1316.507</v>
      </c>
      <c r="Q25" s="110" t="n">
        <f aca="false">3565-Q23-Q24</f>
        <v>2362.519</v>
      </c>
      <c r="R25" s="110" t="n">
        <f aca="false">SUM(F25:Q25)</f>
        <v>18543.389</v>
      </c>
    </row>
    <row r="26" customFormat="false" ht="15" hidden="false" customHeight="true" outlineLevel="0" collapsed="false"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customFormat="false" ht="15" hidden="false" customHeight="true" outlineLevel="0" collapsed="false">
      <c r="C27" s="100" t="s">
        <v>26</v>
      </c>
      <c r="F27" s="110" t="n">
        <v>0</v>
      </c>
      <c r="G27" s="110" t="n">
        <v>145</v>
      </c>
      <c r="H27" s="110" t="n">
        <v>40</v>
      </c>
      <c r="I27" s="110" t="n">
        <v>23</v>
      </c>
      <c r="J27" s="110" t="n">
        <v>67</v>
      </c>
      <c r="K27" s="110" t="n">
        <v>90</v>
      </c>
      <c r="L27" s="110" t="n">
        <v>5</v>
      </c>
      <c r="M27" s="110" t="n">
        <v>0</v>
      </c>
      <c r="N27" s="110" t="n">
        <v>1</v>
      </c>
      <c r="O27" s="110" t="n">
        <v>2</v>
      </c>
      <c r="P27" s="110" t="n">
        <v>0</v>
      </c>
      <c r="Q27" s="110" t="n">
        <v>33</v>
      </c>
      <c r="R27" s="110" t="n">
        <f aca="false">SUM(F27:Q27)</f>
        <v>406</v>
      </c>
    </row>
    <row r="28" customFormat="false" ht="15" hidden="false" customHeight="true" outlineLevel="0" collapsed="false"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customFormat="false" ht="15" hidden="false" customHeight="true" outlineLevel="0" collapsed="false">
      <c r="B29" s="107" t="s">
        <v>27</v>
      </c>
      <c r="C29" s="107"/>
      <c r="D29" s="107"/>
      <c r="E29" s="107"/>
      <c r="F29" s="108" t="n">
        <f aca="false">SUM(F31:F37)</f>
        <v>129390</v>
      </c>
      <c r="G29" s="108" t="n">
        <f aca="false">SUM(G31:G37)</f>
        <v>109887</v>
      </c>
      <c r="H29" s="108" t="n">
        <f aca="false">SUM(H31:H37)</f>
        <v>160726</v>
      </c>
      <c r="I29" s="108" t="n">
        <f aca="false">SUM(I31:I37)</f>
        <v>121869</v>
      </c>
      <c r="J29" s="108" t="n">
        <f aca="false">SUM(J31:J37)</f>
        <v>140244</v>
      </c>
      <c r="K29" s="108" t="n">
        <f aca="false">SUM(K31:K37)</f>
        <v>126717</v>
      </c>
      <c r="L29" s="108" t="n">
        <f aca="false">SUM(L31:L37)</f>
        <v>135602</v>
      </c>
      <c r="M29" s="108" t="n">
        <f aca="false">SUM(M31:M37)</f>
        <v>106487</v>
      </c>
      <c r="N29" s="108" t="n">
        <f aca="false">SUM(N31:N37)</f>
        <v>123582</v>
      </c>
      <c r="O29" s="108" t="n">
        <f aca="false">SUM(O31:O37)</f>
        <v>109017</v>
      </c>
      <c r="P29" s="108" t="n">
        <f aca="false">SUM(P31:P37)</f>
        <v>111053</v>
      </c>
      <c r="Q29" s="108" t="n">
        <f aca="false">SUM(Q31:Q37)</f>
        <v>147810</v>
      </c>
      <c r="R29" s="108" t="n">
        <f aca="false">SUM(R31:R37)</f>
        <v>1522384</v>
      </c>
      <c r="T29" s="110"/>
    </row>
    <row r="30" customFormat="false" ht="15" hidden="false" customHeight="true" outlineLevel="0" collapsed="false"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</row>
    <row r="31" customFormat="false" ht="15" hidden="false" customHeight="true" outlineLevel="0" collapsed="false">
      <c r="D31" s="100" t="s">
        <v>28</v>
      </c>
      <c r="F31" s="110" t="n">
        <v>22521</v>
      </c>
      <c r="G31" s="110" t="n">
        <v>22193</v>
      </c>
      <c r="H31" s="110" t="n">
        <v>25724</v>
      </c>
      <c r="I31" s="110" t="n">
        <v>22088</v>
      </c>
      <c r="J31" s="110" t="n">
        <v>26413</v>
      </c>
      <c r="K31" s="110" t="n">
        <v>25891</v>
      </c>
      <c r="L31" s="110" t="n">
        <v>23144</v>
      </c>
      <c r="M31" s="110" t="n">
        <v>22149</v>
      </c>
      <c r="N31" s="110" t="n">
        <v>22343</v>
      </c>
      <c r="O31" s="110" t="n">
        <v>22297</v>
      </c>
      <c r="P31" s="110" t="n">
        <v>22443</v>
      </c>
      <c r="Q31" s="110" t="n">
        <v>22346</v>
      </c>
      <c r="R31" s="110" t="n">
        <f aca="false">SUM(F31:Q31)</f>
        <v>279552</v>
      </c>
    </row>
    <row r="32" customFormat="false" ht="15" hidden="false" customHeight="true" outlineLevel="0" collapsed="false">
      <c r="D32" s="100" t="s">
        <v>29</v>
      </c>
      <c r="F32" s="110" t="n">
        <v>37602</v>
      </c>
      <c r="G32" s="110" t="n">
        <v>31399</v>
      </c>
      <c r="H32" s="110" t="n">
        <v>39897</v>
      </c>
      <c r="I32" s="110" t="n">
        <v>15654</v>
      </c>
      <c r="J32" s="110" t="n">
        <v>11817</v>
      </c>
      <c r="K32" s="110" t="n">
        <v>10333</v>
      </c>
      <c r="L32" s="110" t="n">
        <v>42760</v>
      </c>
      <c r="M32" s="110" t="n">
        <v>23264</v>
      </c>
      <c r="N32" s="110" t="n">
        <v>31823</v>
      </c>
      <c r="O32" s="110" t="n">
        <v>13985</v>
      </c>
      <c r="P32" s="110" t="n">
        <v>16441</v>
      </c>
      <c r="Q32" s="110" t="n">
        <v>19269</v>
      </c>
      <c r="R32" s="110" t="n">
        <f aca="false">SUM(F32:Q32)</f>
        <v>294244</v>
      </c>
    </row>
    <row r="33" customFormat="false" ht="15" hidden="false" customHeight="true" outlineLevel="0" collapsed="false">
      <c r="D33" s="100" t="s">
        <v>30</v>
      </c>
      <c r="F33" s="110" t="n">
        <v>1</v>
      </c>
      <c r="G33" s="110" t="n">
        <v>299</v>
      </c>
      <c r="H33" s="110" t="n">
        <v>6575</v>
      </c>
      <c r="I33" s="110" t="n">
        <v>4983</v>
      </c>
      <c r="J33" s="110" t="n">
        <v>7141</v>
      </c>
      <c r="K33" s="110" t="n">
        <v>6041</v>
      </c>
      <c r="L33" s="110" t="n">
        <v>1831</v>
      </c>
      <c r="M33" s="110" t="n">
        <v>403</v>
      </c>
      <c r="N33" s="110" t="n">
        <v>1902</v>
      </c>
      <c r="O33" s="110" t="n">
        <v>6902</v>
      </c>
      <c r="P33" s="110" t="n">
        <v>2238</v>
      </c>
      <c r="Q33" s="110" t="n">
        <v>8647</v>
      </c>
      <c r="R33" s="110" t="n">
        <f aca="false">SUM(F33:Q33)</f>
        <v>46963</v>
      </c>
    </row>
    <row r="34" customFormat="false" ht="15" hidden="false" customHeight="true" outlineLevel="0" collapsed="false">
      <c r="D34" s="100" t="s">
        <v>77</v>
      </c>
      <c r="F34" s="110" t="n">
        <v>800</v>
      </c>
      <c r="G34" s="110" t="n">
        <v>34</v>
      </c>
      <c r="H34" s="110" t="n">
        <v>2490</v>
      </c>
      <c r="I34" s="110" t="n">
        <v>1110</v>
      </c>
      <c r="J34" s="110" t="n">
        <v>2846</v>
      </c>
      <c r="K34" s="110" t="n">
        <v>183</v>
      </c>
      <c r="L34" s="110" t="n">
        <v>1803</v>
      </c>
      <c r="M34" s="110" t="n">
        <v>86</v>
      </c>
      <c r="N34" s="110" t="n">
        <v>319</v>
      </c>
      <c r="O34" s="110" t="n">
        <v>6282</v>
      </c>
      <c r="P34" s="110" t="n">
        <v>367</v>
      </c>
      <c r="Q34" s="110" t="n">
        <v>4685</v>
      </c>
      <c r="R34" s="110" t="n">
        <f aca="false">SUM(F34:Q34)</f>
        <v>21005</v>
      </c>
    </row>
    <row r="35" customFormat="false" ht="15" hidden="false" customHeight="true" outlineLevel="0" collapsed="false">
      <c r="D35" s="100" t="s">
        <v>32</v>
      </c>
      <c r="F35" s="110" t="n">
        <v>0</v>
      </c>
      <c r="G35" s="110" t="n">
        <v>0</v>
      </c>
      <c r="H35" s="110" t="n">
        <v>449</v>
      </c>
      <c r="I35" s="110" t="n">
        <v>0</v>
      </c>
      <c r="J35" s="110" t="n">
        <v>20</v>
      </c>
      <c r="K35" s="110" t="n">
        <v>357</v>
      </c>
      <c r="L35" s="110" t="n">
        <v>70</v>
      </c>
      <c r="M35" s="110" t="n">
        <v>1</v>
      </c>
      <c r="N35" s="110" t="n">
        <v>1</v>
      </c>
      <c r="O35" s="110" t="n">
        <v>1</v>
      </c>
      <c r="P35" s="110" t="n">
        <v>281</v>
      </c>
      <c r="Q35" s="110" t="n">
        <v>969</v>
      </c>
      <c r="R35" s="110" t="n">
        <f aca="false">SUM(F35:Q35)</f>
        <v>2149</v>
      </c>
    </row>
    <row r="36" customFormat="false" ht="15" hidden="false" customHeight="true" outlineLevel="0" collapsed="false">
      <c r="D36" s="100" t="s">
        <v>78</v>
      </c>
      <c r="F36" s="110" t="n">
        <v>401</v>
      </c>
      <c r="G36" s="110" t="n">
        <v>840</v>
      </c>
      <c r="H36" s="110" t="n">
        <v>1447</v>
      </c>
      <c r="I36" s="110" t="n">
        <v>610</v>
      </c>
      <c r="J36" s="110" t="n">
        <v>375</v>
      </c>
      <c r="K36" s="110" t="n">
        <v>786</v>
      </c>
      <c r="L36" s="110" t="n">
        <v>428</v>
      </c>
      <c r="M36" s="110" t="n">
        <v>310</v>
      </c>
      <c r="N36" s="110" t="n">
        <v>1334</v>
      </c>
      <c r="O36" s="110" t="n">
        <v>962</v>
      </c>
      <c r="P36" s="110" t="n">
        <v>699</v>
      </c>
      <c r="Q36" s="110" t="n">
        <v>1066</v>
      </c>
      <c r="R36" s="110" t="n">
        <f aca="false">SUM(F36:Q36)</f>
        <v>9258</v>
      </c>
    </row>
    <row r="37" customFormat="false" ht="15" hidden="false" customHeight="true" outlineLevel="0" collapsed="false">
      <c r="D37" s="1" t="s">
        <v>79</v>
      </c>
      <c r="F37" s="110" t="n">
        <v>68065</v>
      </c>
      <c r="G37" s="110" t="n">
        <v>55122</v>
      </c>
      <c r="H37" s="110" t="n">
        <v>84144</v>
      </c>
      <c r="I37" s="110" t="n">
        <v>77424</v>
      </c>
      <c r="J37" s="110" t="n">
        <v>91632</v>
      </c>
      <c r="K37" s="110" t="n">
        <v>83126</v>
      </c>
      <c r="L37" s="110" t="n">
        <v>65566</v>
      </c>
      <c r="M37" s="110" t="n">
        <v>60274</v>
      </c>
      <c r="N37" s="110" t="n">
        <v>65860</v>
      </c>
      <c r="O37" s="110" t="n">
        <v>58588</v>
      </c>
      <c r="P37" s="110" t="n">
        <v>68584</v>
      </c>
      <c r="Q37" s="110" t="n">
        <v>90828</v>
      </c>
      <c r="R37" s="110" t="n">
        <f aca="false">SUM(F37:Q37)</f>
        <v>869213</v>
      </c>
    </row>
    <row r="38" customFormat="false" ht="15" hidden="false" customHeight="true" outlineLevel="0" collapsed="false"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</row>
    <row r="39" customFormat="false" ht="15" hidden="false" customHeight="true" outlineLevel="0" collapsed="false">
      <c r="B39" s="107" t="s">
        <v>35</v>
      </c>
      <c r="C39" s="107"/>
      <c r="D39" s="107"/>
      <c r="E39" s="107"/>
      <c r="F39" s="112" t="n">
        <f aca="false">F9-F29</f>
        <v>-37125</v>
      </c>
      <c r="G39" s="112" t="n">
        <f aca="false">G9-G29</f>
        <v>-33188</v>
      </c>
      <c r="H39" s="112" t="n">
        <f aca="false">H9-H29</f>
        <v>-63866</v>
      </c>
      <c r="I39" s="112" t="n">
        <f aca="false">I9-I29</f>
        <v>2599</v>
      </c>
      <c r="J39" s="112" t="n">
        <f aca="false">J9-J29</f>
        <v>-30527</v>
      </c>
      <c r="K39" s="112" t="n">
        <f aca="false">K9-K29</f>
        <v>-34622</v>
      </c>
      <c r="L39" s="112" t="n">
        <f aca="false">L9-L29</f>
        <v>-32694</v>
      </c>
      <c r="M39" s="112" t="n">
        <f aca="false">M9-M29</f>
        <v>1319</v>
      </c>
      <c r="N39" s="112" t="n">
        <f aca="false">N9-N29</f>
        <v>-31684</v>
      </c>
      <c r="O39" s="112" t="n">
        <f aca="false">O9-O29</f>
        <v>-10514</v>
      </c>
      <c r="P39" s="112" t="n">
        <f aca="false">P9-P29</f>
        <v>482</v>
      </c>
      <c r="Q39" s="112" t="n">
        <f aca="false">Q9-Q29</f>
        <v>-44638</v>
      </c>
      <c r="R39" s="112" t="n">
        <f aca="false">SUM(F39:Q39)</f>
        <v>-314458</v>
      </c>
    </row>
    <row r="40" customFormat="false" ht="15" hidden="false" customHeight="true" outlineLevel="0" collapsed="false"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</row>
    <row r="41" customFormat="false" ht="15" hidden="false" customHeight="true" outlineLevel="0" collapsed="false">
      <c r="B41" s="107" t="s">
        <v>36</v>
      </c>
      <c r="C41" s="107"/>
      <c r="D41" s="107"/>
      <c r="E41" s="107"/>
      <c r="F41" s="108" t="n">
        <v>-10751</v>
      </c>
      <c r="G41" s="108" t="n">
        <v>-58608</v>
      </c>
      <c r="H41" s="108" t="n">
        <v>123777</v>
      </c>
      <c r="I41" s="108" t="n">
        <v>27887</v>
      </c>
      <c r="J41" s="108" t="n">
        <v>41790</v>
      </c>
      <c r="K41" s="108" t="n">
        <v>17420</v>
      </c>
      <c r="L41" s="108" t="n">
        <v>34388</v>
      </c>
      <c r="M41" s="108" t="n">
        <v>98899</v>
      </c>
      <c r="N41" s="108" t="n">
        <v>34705</v>
      </c>
      <c r="O41" s="108" t="n">
        <v>17300</v>
      </c>
      <c r="P41" s="108" t="n">
        <v>9707</v>
      </c>
      <c r="Q41" s="108" t="n">
        <v>15132</v>
      </c>
      <c r="R41" s="108" t="n">
        <v>351646</v>
      </c>
    </row>
    <row r="42" customFormat="false" ht="15" hidden="false" customHeight="true" outlineLevel="0" collapsed="false">
      <c r="C42" s="100" t="s">
        <v>37</v>
      </c>
      <c r="F42" s="109" t="n">
        <v>70658</v>
      </c>
      <c r="G42" s="109" t="n">
        <v>-47614</v>
      </c>
      <c r="H42" s="109" t="n">
        <v>31854</v>
      </c>
      <c r="I42" s="109" t="n">
        <v>1334</v>
      </c>
      <c r="J42" s="109" t="n">
        <v>4865</v>
      </c>
      <c r="K42" s="109" t="n">
        <v>-3157</v>
      </c>
      <c r="L42" s="109" t="n">
        <v>357</v>
      </c>
      <c r="M42" s="109" t="n">
        <v>-3982</v>
      </c>
      <c r="N42" s="109" t="n">
        <v>48861</v>
      </c>
      <c r="O42" s="109" t="n">
        <v>27402</v>
      </c>
      <c r="P42" s="109" t="n">
        <v>-4264</v>
      </c>
      <c r="Q42" s="109" t="n">
        <v>6734</v>
      </c>
      <c r="R42" s="109" t="n">
        <v>133048</v>
      </c>
    </row>
    <row r="43" customFormat="false" ht="15" hidden="false" customHeight="true" outlineLevel="0" collapsed="false">
      <c r="D43" s="100" t="s">
        <v>38</v>
      </c>
      <c r="F43" s="110" t="n">
        <v>72955</v>
      </c>
      <c r="G43" s="110" t="n">
        <v>380</v>
      </c>
      <c r="H43" s="110" t="n">
        <v>64642</v>
      </c>
      <c r="I43" s="110" t="n">
        <v>2693</v>
      </c>
      <c r="J43" s="110" t="n">
        <v>9760</v>
      </c>
      <c r="K43" s="110" t="n">
        <v>2550</v>
      </c>
      <c r="L43" s="110" t="n">
        <v>1793</v>
      </c>
      <c r="M43" s="110" t="n">
        <v>3334</v>
      </c>
      <c r="N43" s="110" t="n">
        <v>55731</v>
      </c>
      <c r="O43" s="110" t="n">
        <v>30131</v>
      </c>
      <c r="P43" s="110" t="n">
        <v>285</v>
      </c>
      <c r="Q43" s="110" t="n">
        <v>13103</v>
      </c>
      <c r="R43" s="110" t="n">
        <v>257357</v>
      </c>
    </row>
    <row r="44" customFormat="false" ht="15" hidden="false" customHeight="true" outlineLevel="0" collapsed="false">
      <c r="D44" s="100" t="s">
        <v>97</v>
      </c>
      <c r="F44" s="110" t="n">
        <v>2297</v>
      </c>
      <c r="G44" s="110" t="n">
        <v>47994</v>
      </c>
      <c r="H44" s="110" t="n">
        <v>32788</v>
      </c>
      <c r="I44" s="110" t="n">
        <v>1359</v>
      </c>
      <c r="J44" s="110" t="n">
        <v>4895</v>
      </c>
      <c r="K44" s="110" t="n">
        <v>5707</v>
      </c>
      <c r="L44" s="110" t="n">
        <v>1436</v>
      </c>
      <c r="M44" s="110" t="n">
        <v>7316</v>
      </c>
      <c r="N44" s="110" t="n">
        <v>6870</v>
      </c>
      <c r="O44" s="110" t="n">
        <v>2729</v>
      </c>
      <c r="P44" s="110" t="n">
        <v>4549</v>
      </c>
      <c r="Q44" s="110" t="n">
        <v>6369</v>
      </c>
      <c r="R44" s="110" t="n">
        <v>124309</v>
      </c>
    </row>
    <row r="45" customFormat="false" ht="15" hidden="false" customHeight="true" outlineLevel="0" collapsed="false"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</row>
    <row r="46" customFormat="false" ht="15" hidden="false" customHeight="true" outlineLevel="0" collapsed="false">
      <c r="C46" s="100" t="s">
        <v>40</v>
      </c>
      <c r="F46" s="109" t="n">
        <v>-81409</v>
      </c>
      <c r="G46" s="109" t="n">
        <v>-10994</v>
      </c>
      <c r="H46" s="109" t="n">
        <v>91923</v>
      </c>
      <c r="I46" s="109" t="n">
        <v>26553</v>
      </c>
      <c r="J46" s="109" t="n">
        <v>36925</v>
      </c>
      <c r="K46" s="109" t="n">
        <v>20577</v>
      </c>
      <c r="L46" s="109" t="n">
        <v>34031</v>
      </c>
      <c r="M46" s="109" t="n">
        <v>102881</v>
      </c>
      <c r="N46" s="109" t="n">
        <v>-14156</v>
      </c>
      <c r="O46" s="109" t="n">
        <v>-10102</v>
      </c>
      <c r="P46" s="109" t="n">
        <v>13971</v>
      </c>
      <c r="Q46" s="109" t="n">
        <v>8398</v>
      </c>
      <c r="R46" s="109" t="n">
        <v>218598</v>
      </c>
    </row>
    <row r="47" customFormat="false" ht="15" hidden="false" customHeight="true" outlineLevel="0" collapsed="false">
      <c r="D47" s="100" t="s">
        <v>41</v>
      </c>
      <c r="F47" s="110" t="n">
        <v>-27200</v>
      </c>
      <c r="G47" s="110" t="n">
        <v>37096</v>
      </c>
      <c r="H47" s="110" t="n">
        <v>136987</v>
      </c>
      <c r="I47" s="110" t="n">
        <v>35307</v>
      </c>
      <c r="J47" s="110" t="n">
        <v>44370</v>
      </c>
      <c r="K47" s="110" t="n">
        <v>21415</v>
      </c>
      <c r="L47" s="110" t="n">
        <v>37193</v>
      </c>
      <c r="M47" s="110" t="n">
        <v>141389</v>
      </c>
      <c r="N47" s="110" t="n">
        <v>31844</v>
      </c>
      <c r="O47" s="110" t="n">
        <v>-668</v>
      </c>
      <c r="P47" s="110" t="n">
        <v>19927</v>
      </c>
      <c r="Q47" s="110" t="n">
        <v>12184</v>
      </c>
      <c r="R47" s="110" t="n">
        <v>489844</v>
      </c>
    </row>
    <row r="48" customFormat="false" ht="15" hidden="false" customHeight="true" outlineLevel="0" collapsed="false">
      <c r="D48" s="100" t="s">
        <v>97</v>
      </c>
      <c r="F48" s="110" t="n">
        <v>54209</v>
      </c>
      <c r="G48" s="110" t="n">
        <v>48090</v>
      </c>
      <c r="H48" s="110" t="n">
        <v>45064</v>
      </c>
      <c r="I48" s="110" t="n">
        <v>8754</v>
      </c>
      <c r="J48" s="110" t="n">
        <v>7445</v>
      </c>
      <c r="K48" s="110" t="n">
        <v>838</v>
      </c>
      <c r="L48" s="110" t="n">
        <v>3162</v>
      </c>
      <c r="M48" s="110" t="n">
        <v>38508</v>
      </c>
      <c r="N48" s="110" t="n">
        <v>46000</v>
      </c>
      <c r="O48" s="110" t="n">
        <v>9434</v>
      </c>
      <c r="P48" s="110" t="n">
        <v>5956</v>
      </c>
      <c r="Q48" s="110" t="n">
        <v>3786</v>
      </c>
      <c r="R48" s="110" t="n">
        <v>271246</v>
      </c>
    </row>
    <row r="49" customFormat="false" ht="15" hidden="false" customHeight="true" outlineLevel="0" collapsed="false"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</row>
    <row r="50" customFormat="false" ht="15" hidden="false" customHeight="true" outlineLevel="0" collapsed="false">
      <c r="B50" s="107" t="s">
        <v>45</v>
      </c>
      <c r="C50" s="107"/>
      <c r="D50" s="107"/>
      <c r="E50" s="107"/>
      <c r="F50" s="108" t="n">
        <v>44608</v>
      </c>
      <c r="G50" s="108" t="n">
        <v>-106554</v>
      </c>
      <c r="H50" s="108" t="n">
        <v>13533</v>
      </c>
      <c r="I50" s="108" t="n">
        <v>21642</v>
      </c>
      <c r="J50" s="108" t="n">
        <v>-4878</v>
      </c>
      <c r="K50" s="108" t="n">
        <v>-1313</v>
      </c>
      <c r="L50" s="108" t="n">
        <v>42579</v>
      </c>
      <c r="M50" s="108" t="n">
        <v>66291</v>
      </c>
      <c r="N50" s="108" t="n">
        <v>-7280</v>
      </c>
      <c r="O50" s="108" t="n">
        <v>16567</v>
      </c>
      <c r="P50" s="108" t="n">
        <v>-2644</v>
      </c>
      <c r="Q50" s="108" t="n">
        <v>-45385</v>
      </c>
      <c r="R50" s="108" t="n">
        <v>37166</v>
      </c>
    </row>
    <row r="51" customFormat="false" ht="14.25" hidden="false" customHeight="false" outlineLevel="0" collapsed="false">
      <c r="F51" s="110"/>
      <c r="G51" s="110"/>
      <c r="H51" s="110"/>
      <c r="I51" s="110"/>
    </row>
    <row r="52" customFormat="false" ht="15" hidden="false" customHeight="false" outlineLevel="0" collapsed="false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customFormat="false" ht="15" hidden="false" customHeight="false" outlineLevel="0" collapsed="false">
      <c r="B53" s="103" t="s">
        <v>46</v>
      </c>
    </row>
    <row r="54" customFormat="false" ht="14.25" hidden="false" customHeight="false" outlineLevel="0" collapsed="false">
      <c r="B54" s="134"/>
      <c r="C54" s="31" t="s">
        <v>98</v>
      </c>
    </row>
    <row r="55" customFormat="false" ht="14.25" hidden="false" customHeight="false" outlineLevel="0" collapsed="false">
      <c r="B55" s="31"/>
      <c r="C55" s="31" t="s">
        <v>99</v>
      </c>
    </row>
    <row r="58" customFormat="false" ht="14.25" hidden="false" customHeight="false" outlineLevel="0" collapsed="false">
      <c r="B58" s="31" t="s">
        <v>51</v>
      </c>
    </row>
    <row r="59" customFormat="false" ht="14.25" hidden="false" customHeight="false" outlineLevel="0" collapsed="false">
      <c r="B59" s="31" t="s">
        <v>106</v>
      </c>
    </row>
  </sheetData>
  <mergeCells count="2">
    <mergeCell ref="A4:E4"/>
    <mergeCell ref="A7:E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33.42"/>
    <col collapsed="false" customWidth="false" hidden="false" outlineLevel="0" max="6" min="6" style="100" width="9.14"/>
    <col collapsed="false" customWidth="true" hidden="false" outlineLevel="0" max="7" min="7" style="100" width="9.85"/>
    <col collapsed="false" customWidth="false" hidden="false" outlineLevel="0" max="17" min="8" style="100" width="9.14"/>
    <col collapsed="false" customWidth="true" hidden="false" outlineLevel="0" max="18" min="18" style="100" width="10.85"/>
    <col collapsed="false" customWidth="true" hidden="false" outlineLevel="0" max="20" min="19" style="100" width="9.71"/>
    <col collapsed="false" customWidth="false" hidden="false" outlineLevel="0" max="1024" min="21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114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3</v>
      </c>
      <c r="B4" s="102"/>
    </row>
    <row r="5" customFormat="false" ht="6" hidden="false" customHeight="true" outlineLevel="0" collapsed="false"/>
    <row r="6" customFormat="false" ht="21" hidden="false" customHeight="true" outlineLevel="0" collapsed="false">
      <c r="A6" s="126" t="s">
        <v>4</v>
      </c>
      <c r="B6" s="126"/>
      <c r="C6" s="126"/>
      <c r="D6" s="126"/>
      <c r="E6" s="126"/>
      <c r="F6" s="135" t="s">
        <v>115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6" t="s">
        <v>11</v>
      </c>
    </row>
    <row r="7" customFormat="false" ht="15" hidden="false" customHeight="true" outlineLevel="0" collapsed="false">
      <c r="O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92265</v>
      </c>
      <c r="G8" s="108" t="n">
        <f aca="false">G9+G19+G26</f>
        <v>76699</v>
      </c>
      <c r="H8" s="108" t="n">
        <f aca="false">H9+H19+H26</f>
        <v>96860</v>
      </c>
      <c r="I8" s="108" t="n">
        <f aca="false">I9+I19+I26</f>
        <v>124468</v>
      </c>
      <c r="J8" s="108" t="n">
        <f aca="false">J9+J19+J26</f>
        <v>109717</v>
      </c>
      <c r="K8" s="108" t="n">
        <f aca="false">K9+K19+K26</f>
        <v>92095</v>
      </c>
      <c r="L8" s="108" t="n">
        <f aca="false">L9+L19+L26</f>
        <v>102908</v>
      </c>
      <c r="M8" s="108" t="n">
        <f aca="false">M9+M19+M26</f>
        <v>107806</v>
      </c>
      <c r="N8" s="108" t="n">
        <f aca="false">N9+N19+N26</f>
        <v>91898</v>
      </c>
      <c r="O8" s="108" t="n">
        <f aca="false">O9+O19+O26</f>
        <v>98503</v>
      </c>
      <c r="P8" s="108" t="n">
        <f aca="false">P9+P19+P26</f>
        <v>111535</v>
      </c>
      <c r="Q8" s="108" t="n">
        <f aca="false">Q9+Q19+Q26</f>
        <v>103172</v>
      </c>
      <c r="R8" s="108" t="n">
        <f aca="false">R9+R19+R26</f>
        <v>1207926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82953</v>
      </c>
      <c r="G9" s="109" t="n">
        <f aca="false">G10+G14+G17</f>
        <v>70209</v>
      </c>
      <c r="H9" s="109" t="n">
        <f aca="false">H10+H14+H17</f>
        <v>84227</v>
      </c>
      <c r="I9" s="109" t="n">
        <f aca="false">I10+I14+I17</f>
        <v>114850</v>
      </c>
      <c r="J9" s="109" t="n">
        <f aca="false">J10+J14+J17</f>
        <v>104080</v>
      </c>
      <c r="K9" s="109" t="n">
        <f aca="false">K10+K14+K17</f>
        <v>83942</v>
      </c>
      <c r="L9" s="109" t="n">
        <f aca="false">L10+L14+L17</f>
        <v>87139</v>
      </c>
      <c r="M9" s="109" t="n">
        <f aca="false">M10+M14+M17</f>
        <v>98164</v>
      </c>
      <c r="N9" s="109" t="n">
        <f aca="false">N10+N14+N17</f>
        <v>82224</v>
      </c>
      <c r="O9" s="109" t="n">
        <f aca="false">O10+O14+O17</f>
        <v>87076</v>
      </c>
      <c r="P9" s="109" t="n">
        <f aca="false">P10+P14+P17</f>
        <v>103413</v>
      </c>
      <c r="Q9" s="109" t="n">
        <f aca="false">Q10+Q14+Q17</f>
        <v>95366</v>
      </c>
      <c r="R9" s="109" t="n">
        <f aca="false">R10+R14+R17</f>
        <v>1093643</v>
      </c>
    </row>
    <row r="10" customFormat="false" ht="15" hidden="false" customHeight="true" outlineLevel="0" collapsed="false">
      <c r="D10" s="100" t="s">
        <v>14</v>
      </c>
      <c r="F10" s="110" t="n">
        <v>64606</v>
      </c>
      <c r="G10" s="110" t="n">
        <v>50975</v>
      </c>
      <c r="H10" s="110" t="n">
        <v>58311</v>
      </c>
      <c r="I10" s="110" t="n">
        <v>91162</v>
      </c>
      <c r="J10" s="110" t="n">
        <v>79049</v>
      </c>
      <c r="K10" s="110" t="n">
        <v>59366</v>
      </c>
      <c r="L10" s="110" t="n">
        <v>63813</v>
      </c>
      <c r="M10" s="110" t="n">
        <v>79090</v>
      </c>
      <c r="N10" s="110" t="n">
        <v>60958</v>
      </c>
      <c r="O10" s="110" t="n">
        <v>63565</v>
      </c>
      <c r="P10" s="110" t="n">
        <v>82430</v>
      </c>
      <c r="Q10" s="110" t="n">
        <v>69298</v>
      </c>
      <c r="R10" s="110" t="n">
        <f aca="false">SUM(F10:Q10)</f>
        <v>822623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270</v>
      </c>
      <c r="H12" s="110" t="n">
        <v>730</v>
      </c>
      <c r="I12" s="110" t="n">
        <v>1117</v>
      </c>
      <c r="J12" s="110" t="n">
        <v>1452</v>
      </c>
      <c r="K12" s="110" t="n">
        <v>348</v>
      </c>
      <c r="L12" s="110" t="n">
        <v>274</v>
      </c>
      <c r="M12" s="110" t="n">
        <v>288</v>
      </c>
      <c r="N12" s="110" t="n">
        <v>907</v>
      </c>
      <c r="O12" s="110" t="n">
        <v>538</v>
      </c>
      <c r="P12" s="110" t="n">
        <v>1107</v>
      </c>
      <c r="Q12" s="110" t="n">
        <v>239</v>
      </c>
      <c r="R12" s="110" t="n">
        <f aca="false">SUM(F12:Q12)</f>
        <v>7270</v>
      </c>
    </row>
    <row r="13" customFormat="false" ht="15" hidden="false" customHeight="true" outlineLevel="0" collapsed="false">
      <c r="E13" s="100" t="s">
        <v>17</v>
      </c>
      <c r="F13" s="110" t="n">
        <v>0</v>
      </c>
      <c r="G13" s="110" t="n">
        <v>0</v>
      </c>
      <c r="H13" s="110" t="n">
        <v>0</v>
      </c>
      <c r="I13" s="110" t="n">
        <v>0</v>
      </c>
      <c r="J13" s="110" t="n">
        <v>113</v>
      </c>
      <c r="K13" s="110" t="n">
        <v>1459</v>
      </c>
      <c r="L13" s="110" t="n">
        <v>1139</v>
      </c>
      <c r="M13" s="110" t="n">
        <v>93</v>
      </c>
      <c r="N13" s="110" t="n">
        <v>244</v>
      </c>
      <c r="O13" s="110" t="n">
        <v>1778</v>
      </c>
      <c r="P13" s="110" t="n">
        <v>306</v>
      </c>
      <c r="Q13" s="110" t="n">
        <v>2825</v>
      </c>
      <c r="R13" s="110" t="n">
        <f aca="false">SUM(F13:Q13)</f>
        <v>7957</v>
      </c>
    </row>
    <row r="14" customFormat="false" ht="15" hidden="false" customHeight="true" outlineLevel="0" collapsed="false">
      <c r="D14" s="100" t="s">
        <v>18</v>
      </c>
      <c r="F14" s="110" t="n">
        <v>17605</v>
      </c>
      <c r="G14" s="110" t="n">
        <v>18076</v>
      </c>
      <c r="H14" s="110" t="n">
        <v>24900</v>
      </c>
      <c r="I14" s="110" t="n">
        <v>22773</v>
      </c>
      <c r="J14" s="110" t="n">
        <v>24119</v>
      </c>
      <c r="K14" s="110" t="n">
        <v>23249</v>
      </c>
      <c r="L14" s="110" t="n">
        <v>22238</v>
      </c>
      <c r="M14" s="110" t="n">
        <v>17762</v>
      </c>
      <c r="N14" s="110" t="n">
        <v>20232</v>
      </c>
      <c r="O14" s="110" t="n">
        <v>22577</v>
      </c>
      <c r="P14" s="110" t="n">
        <v>19969</v>
      </c>
      <c r="Q14" s="110" t="n">
        <v>25741</v>
      </c>
      <c r="R14" s="110" t="n">
        <f aca="false">SUM(F14:Q14)</f>
        <v>259241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1</v>
      </c>
      <c r="G16" s="110" t="n">
        <v>29</v>
      </c>
      <c r="H16" s="110" t="n">
        <v>5845</v>
      </c>
      <c r="I16" s="110" t="n">
        <v>3866</v>
      </c>
      <c r="J16" s="110" t="n">
        <v>5576</v>
      </c>
      <c r="K16" s="110" t="n">
        <v>4234</v>
      </c>
      <c r="L16" s="110" t="n">
        <v>418</v>
      </c>
      <c r="M16" s="110" t="n">
        <v>22</v>
      </c>
      <c r="N16" s="110" t="n">
        <v>751</v>
      </c>
      <c r="O16" s="110" t="n">
        <v>4586</v>
      </c>
      <c r="P16" s="110" t="n">
        <v>825</v>
      </c>
      <c r="Q16" s="110" t="n">
        <v>5583</v>
      </c>
      <c r="R16" s="110" t="n">
        <f aca="false">SUM(F16:Q16)</f>
        <v>31736</v>
      </c>
    </row>
    <row r="17" customFormat="false" ht="15" hidden="false" customHeight="true" outlineLevel="0" collapsed="false">
      <c r="D17" s="100" t="s">
        <v>105</v>
      </c>
      <c r="F17" s="110" t="n">
        <v>742</v>
      </c>
      <c r="G17" s="110" t="n">
        <v>1158</v>
      </c>
      <c r="H17" s="110" t="n">
        <v>1016</v>
      </c>
      <c r="I17" s="110" t="n">
        <v>915</v>
      </c>
      <c r="J17" s="110" t="n">
        <v>912</v>
      </c>
      <c r="K17" s="110" t="n">
        <v>1327</v>
      </c>
      <c r="L17" s="110" t="n">
        <v>1088</v>
      </c>
      <c r="M17" s="110" t="n">
        <v>1312</v>
      </c>
      <c r="N17" s="110" t="n">
        <v>1034</v>
      </c>
      <c r="O17" s="110" t="n">
        <v>934</v>
      </c>
      <c r="P17" s="110" t="n">
        <v>1014</v>
      </c>
      <c r="Q17" s="110" t="n">
        <v>327</v>
      </c>
      <c r="R17" s="110" t="n">
        <f aca="false">SUM(F17:Q17)</f>
        <v>11779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T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9312</v>
      </c>
      <c r="G19" s="109" t="n">
        <f aca="false">SUM(G20:G24)</f>
        <v>6345</v>
      </c>
      <c r="H19" s="109" t="n">
        <f aca="false">SUM(H20:H24)</f>
        <v>12593</v>
      </c>
      <c r="I19" s="109" t="n">
        <f aca="false">SUM(I20:I24)</f>
        <v>9595</v>
      </c>
      <c r="J19" s="109" t="n">
        <f aca="false">SUM(J20:J24)</f>
        <v>5570</v>
      </c>
      <c r="K19" s="109" t="n">
        <f aca="false">SUM(K20:K24)</f>
        <v>8063</v>
      </c>
      <c r="L19" s="109" t="n">
        <f aca="false">SUM(L20:L24)</f>
        <v>15764</v>
      </c>
      <c r="M19" s="109" t="n">
        <f aca="false">SUM(M20:M24)</f>
        <v>9642</v>
      </c>
      <c r="N19" s="109" t="n">
        <f aca="false">SUM(N20:N24)</f>
        <v>9673</v>
      </c>
      <c r="O19" s="109" t="n">
        <f aca="false">SUM(O20:O24)</f>
        <v>11425</v>
      </c>
      <c r="P19" s="109" t="n">
        <f aca="false">SUM(P20:P24)</f>
        <v>8122</v>
      </c>
      <c r="Q19" s="109" t="n">
        <f aca="false">SUM(Q20:Q24)</f>
        <v>7773</v>
      </c>
      <c r="R19" s="109" t="n">
        <f aca="false">SUM(R20:R24)</f>
        <v>113877</v>
      </c>
    </row>
    <row r="20" customFormat="false" ht="15" hidden="false" customHeight="true" outlineLevel="0" collapsed="false">
      <c r="D20" s="100" t="s">
        <v>21</v>
      </c>
      <c r="F20" s="110" t="n">
        <v>5068</v>
      </c>
      <c r="G20" s="110" t="n">
        <v>2977</v>
      </c>
      <c r="H20" s="110" t="n">
        <v>5777</v>
      </c>
      <c r="I20" s="110" t="n">
        <v>5149</v>
      </c>
      <c r="J20" s="110" t="n">
        <v>2639</v>
      </c>
      <c r="K20" s="110" t="n">
        <v>3495</v>
      </c>
      <c r="L20" s="110" t="n">
        <v>9614</v>
      </c>
      <c r="M20" s="110" t="n">
        <v>4369</v>
      </c>
      <c r="N20" s="110" t="n">
        <v>4357</v>
      </c>
      <c r="O20" s="110" t="n">
        <v>4179</v>
      </c>
      <c r="P20" s="110" t="n">
        <v>2845</v>
      </c>
      <c r="Q20" s="110" t="n">
        <v>3846</v>
      </c>
      <c r="R20" s="110" t="n">
        <f aca="false">SUM(F20:Q20)</f>
        <v>54315</v>
      </c>
    </row>
    <row r="21" customFormat="false" ht="15" hidden="false" customHeight="true" outlineLevel="0" collapsed="false">
      <c r="D21" s="100" t="s">
        <v>23</v>
      </c>
      <c r="F21" s="110" t="n">
        <v>0</v>
      </c>
      <c r="G21" s="110" t="n">
        <v>0</v>
      </c>
      <c r="H21" s="110" t="n">
        <v>0</v>
      </c>
      <c r="I21" s="110" t="n">
        <v>95</v>
      </c>
      <c r="J21" s="110" t="n">
        <v>0</v>
      </c>
      <c r="K21" s="110" t="n">
        <v>51</v>
      </c>
      <c r="L21" s="110" t="n">
        <v>105</v>
      </c>
      <c r="M21" s="110" t="n">
        <v>176</v>
      </c>
      <c r="N21" s="110" t="n">
        <v>14</v>
      </c>
      <c r="O21" s="110" t="n">
        <v>111</v>
      </c>
      <c r="P21" s="110" t="n">
        <v>0</v>
      </c>
      <c r="Q21" s="110" t="n">
        <v>362</v>
      </c>
      <c r="R21" s="110" t="n">
        <f aca="false">SUM(F21:Q21)</f>
        <v>914</v>
      </c>
      <c r="S21" s="110"/>
    </row>
    <row r="22" customFormat="false" ht="15" hidden="false" customHeight="true" outlineLevel="0" collapsed="false">
      <c r="D22" s="100" t="s">
        <v>24</v>
      </c>
      <c r="E22" s="31"/>
      <c r="F22" s="110" t="n">
        <v>1207.025</v>
      </c>
      <c r="G22" s="110" t="n">
        <v>4.851</v>
      </c>
      <c r="H22" s="110" t="n">
        <v>3196.658</v>
      </c>
      <c r="I22" s="110" t="n">
        <v>1101.1</v>
      </c>
      <c r="J22" s="110" t="n">
        <v>0</v>
      </c>
      <c r="K22" s="110" t="n">
        <v>1817.044</v>
      </c>
      <c r="L22" s="110" t="n">
        <v>2504.469</v>
      </c>
      <c r="M22" s="110" t="n">
        <v>1971.639</v>
      </c>
      <c r="N22" s="110" t="n">
        <v>1548.325</v>
      </c>
      <c r="O22" s="110" t="n">
        <v>1981.526</v>
      </c>
      <c r="P22" s="110" t="n">
        <v>2425.493</v>
      </c>
      <c r="Q22" s="110" t="n">
        <v>-473.519</v>
      </c>
      <c r="R22" s="110" t="n">
        <f aca="false">SUM(F22:Q22)</f>
        <v>17284.611</v>
      </c>
      <c r="S22" s="110"/>
    </row>
    <row r="23" customFormat="false" ht="15" hidden="false" customHeight="true" outlineLevel="0" collapsed="false">
      <c r="D23" s="100" t="s">
        <v>112</v>
      </c>
      <c r="F23" s="110" t="n">
        <v>1766</v>
      </c>
      <c r="G23" s="110" t="n">
        <v>2304</v>
      </c>
      <c r="H23" s="110" t="n">
        <v>1631</v>
      </c>
      <c r="I23" s="110" t="n">
        <v>1634</v>
      </c>
      <c r="J23" s="110" t="n">
        <v>1563</v>
      </c>
      <c r="K23" s="110" t="n">
        <v>1579</v>
      </c>
      <c r="L23" s="110" t="n">
        <v>1905</v>
      </c>
      <c r="M23" s="110" t="n">
        <v>1687</v>
      </c>
      <c r="N23" s="110" t="n">
        <v>1746</v>
      </c>
      <c r="O23" s="110" t="n">
        <v>3794</v>
      </c>
      <c r="P23" s="110" t="n">
        <v>1535</v>
      </c>
      <c r="Q23" s="110" t="n">
        <v>1676</v>
      </c>
      <c r="R23" s="110" t="n">
        <f aca="false">SUM(F23:Q23)</f>
        <v>22820</v>
      </c>
    </row>
    <row r="24" customFormat="false" ht="15" hidden="false" customHeight="true" outlineLevel="0" collapsed="false">
      <c r="D24" s="100" t="s">
        <v>105</v>
      </c>
      <c r="F24" s="110" t="n">
        <f aca="false">4244-F22-F23</f>
        <v>1270.975</v>
      </c>
      <c r="G24" s="110" t="n">
        <f aca="false">3368-G22-G23</f>
        <v>1059.149</v>
      </c>
      <c r="H24" s="110" t="n">
        <f aca="false">6816-H22-H23</f>
        <v>1988.342</v>
      </c>
      <c r="I24" s="110" t="n">
        <f aca="false">4351-I22-I23</f>
        <v>1615.9</v>
      </c>
      <c r="J24" s="110" t="n">
        <f aca="false">2931-J22-J23</f>
        <v>1368</v>
      </c>
      <c r="K24" s="110" t="n">
        <f aca="false">4517-K22-K23</f>
        <v>1120.956</v>
      </c>
      <c r="L24" s="110" t="n">
        <f aca="false">6045-L22-L23</f>
        <v>1635.531</v>
      </c>
      <c r="M24" s="110" t="n">
        <f aca="false">5097-M22-M23</f>
        <v>1438.361</v>
      </c>
      <c r="N24" s="110" t="n">
        <f aca="false">5302-N22-N23</f>
        <v>2007.675</v>
      </c>
      <c r="O24" s="110" t="n">
        <f aca="false">7135-O22-O23</f>
        <v>1359.474</v>
      </c>
      <c r="P24" s="110" t="n">
        <f aca="false">5277-P22-P23</f>
        <v>1316.507</v>
      </c>
      <c r="Q24" s="110" t="n">
        <f aca="false">3565-Q22-Q23</f>
        <v>2362.519</v>
      </c>
      <c r="R24" s="110" t="n">
        <f aca="false">SUM(F24:Q24)</f>
        <v>18543.389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0</v>
      </c>
      <c r="G26" s="110" t="n">
        <v>145</v>
      </c>
      <c r="H26" s="110" t="n">
        <v>40</v>
      </c>
      <c r="I26" s="110" t="n">
        <v>23</v>
      </c>
      <c r="J26" s="110" t="n">
        <v>67</v>
      </c>
      <c r="K26" s="110" t="n">
        <v>90</v>
      </c>
      <c r="L26" s="110" t="n">
        <v>5</v>
      </c>
      <c r="M26" s="110" t="n">
        <v>0</v>
      </c>
      <c r="N26" s="110" t="n">
        <v>1</v>
      </c>
      <c r="O26" s="110" t="n">
        <v>2</v>
      </c>
      <c r="P26" s="110" t="n">
        <v>0</v>
      </c>
      <c r="Q26" s="110" t="n">
        <v>33</v>
      </c>
      <c r="R26" s="110" t="n">
        <v>406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129390</v>
      </c>
      <c r="G28" s="108" t="n">
        <f aca="false">SUM(G30:G36)</f>
        <v>109887</v>
      </c>
      <c r="H28" s="108" t="n">
        <f aca="false">SUM(H30:H36)</f>
        <v>160726</v>
      </c>
      <c r="I28" s="108" t="n">
        <f aca="false">SUM(I30:I36)</f>
        <v>121869</v>
      </c>
      <c r="J28" s="108" t="n">
        <f aca="false">SUM(J30:J36)</f>
        <v>140244</v>
      </c>
      <c r="K28" s="108" t="n">
        <f aca="false">SUM(K30:K36)</f>
        <v>126717</v>
      </c>
      <c r="L28" s="108" t="n">
        <f aca="false">SUM(L30:L36)</f>
        <v>135602</v>
      </c>
      <c r="M28" s="108" t="n">
        <f aca="false">SUM(M30:M36)</f>
        <v>106487</v>
      </c>
      <c r="N28" s="108" t="n">
        <f aca="false">SUM(N30:N36)</f>
        <v>123582</v>
      </c>
      <c r="O28" s="108" t="n">
        <f aca="false">SUM(O30:O36)</f>
        <v>109017</v>
      </c>
      <c r="P28" s="108" t="n">
        <f aca="false">SUM(P30:P36)</f>
        <v>111053</v>
      </c>
      <c r="Q28" s="108" t="n">
        <f aca="false">SUM(Q30:Q36)</f>
        <v>147810</v>
      </c>
      <c r="R28" s="108" t="n">
        <f aca="false">SUM(R30:R36)</f>
        <v>1522384</v>
      </c>
      <c r="S28" s="110"/>
    </row>
    <row r="29" customFormat="false" ht="15" hidden="false" customHeight="true" outlineLevel="0" collapsed="false">
      <c r="C29" s="100" t="s">
        <v>15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22521</v>
      </c>
      <c r="G30" s="110" t="n">
        <v>22193</v>
      </c>
      <c r="H30" s="110" t="n">
        <v>25724</v>
      </c>
      <c r="I30" s="110" t="n">
        <v>22088</v>
      </c>
      <c r="J30" s="110" t="n">
        <v>26413</v>
      </c>
      <c r="K30" s="110" t="n">
        <v>25891</v>
      </c>
      <c r="L30" s="110" t="n">
        <v>23144</v>
      </c>
      <c r="M30" s="110" t="n">
        <v>22149</v>
      </c>
      <c r="N30" s="110" t="n">
        <v>22343</v>
      </c>
      <c r="O30" s="110" t="n">
        <v>22297</v>
      </c>
      <c r="P30" s="110" t="n">
        <v>22443</v>
      </c>
      <c r="Q30" s="110" t="n">
        <v>22346</v>
      </c>
      <c r="R30" s="110" t="n">
        <f aca="false">SUM(F30:Q30)</f>
        <v>279552</v>
      </c>
    </row>
    <row r="31" customFormat="false" ht="15" hidden="false" customHeight="true" outlineLevel="0" collapsed="false">
      <c r="D31" s="100" t="s">
        <v>29</v>
      </c>
      <c r="F31" s="110" t="n">
        <v>37602</v>
      </c>
      <c r="G31" s="110" t="n">
        <v>31399</v>
      </c>
      <c r="H31" s="110" t="n">
        <v>39897</v>
      </c>
      <c r="I31" s="110" t="n">
        <v>15654</v>
      </c>
      <c r="J31" s="110" t="n">
        <v>11817</v>
      </c>
      <c r="K31" s="110" t="n">
        <v>10333</v>
      </c>
      <c r="L31" s="110" t="n">
        <v>42760</v>
      </c>
      <c r="M31" s="110" t="n">
        <v>23264</v>
      </c>
      <c r="N31" s="110" t="n">
        <v>31823</v>
      </c>
      <c r="O31" s="110" t="n">
        <v>13985</v>
      </c>
      <c r="P31" s="110" t="n">
        <v>16441</v>
      </c>
      <c r="Q31" s="110" t="n">
        <v>19269</v>
      </c>
      <c r="R31" s="110" t="n">
        <f aca="false">SUM(F31:Q31)</f>
        <v>294244</v>
      </c>
    </row>
    <row r="32" customFormat="false" ht="15" hidden="false" customHeight="true" outlineLevel="0" collapsed="false">
      <c r="D32" s="100" t="s">
        <v>30</v>
      </c>
      <c r="F32" s="110" t="n">
        <v>1</v>
      </c>
      <c r="G32" s="110" t="n">
        <v>299</v>
      </c>
      <c r="H32" s="110" t="n">
        <v>6575</v>
      </c>
      <c r="I32" s="110" t="n">
        <v>4983</v>
      </c>
      <c r="J32" s="110" t="n">
        <v>7141</v>
      </c>
      <c r="K32" s="110" t="n">
        <v>6041</v>
      </c>
      <c r="L32" s="110" t="n">
        <v>1831</v>
      </c>
      <c r="M32" s="110" t="n">
        <v>403</v>
      </c>
      <c r="N32" s="110" t="n">
        <v>1902</v>
      </c>
      <c r="O32" s="110" t="n">
        <v>6902</v>
      </c>
      <c r="P32" s="110" t="n">
        <v>2238</v>
      </c>
      <c r="Q32" s="110" t="n">
        <v>8647</v>
      </c>
      <c r="R32" s="110" t="n">
        <f aca="false">SUM(F32:Q32)</f>
        <v>46963</v>
      </c>
    </row>
    <row r="33" customFormat="false" ht="15" hidden="false" customHeight="true" outlineLevel="0" collapsed="false">
      <c r="D33" s="100" t="s">
        <v>77</v>
      </c>
      <c r="F33" s="110" t="n">
        <v>800</v>
      </c>
      <c r="G33" s="110" t="n">
        <v>34</v>
      </c>
      <c r="H33" s="110" t="n">
        <v>2490</v>
      </c>
      <c r="I33" s="110" t="n">
        <v>1110</v>
      </c>
      <c r="J33" s="110" t="n">
        <v>2846</v>
      </c>
      <c r="K33" s="110" t="n">
        <v>183</v>
      </c>
      <c r="L33" s="110" t="n">
        <v>1803</v>
      </c>
      <c r="M33" s="110" t="n">
        <v>86</v>
      </c>
      <c r="N33" s="110" t="n">
        <v>319</v>
      </c>
      <c r="O33" s="110" t="n">
        <v>6282</v>
      </c>
      <c r="P33" s="110" t="n">
        <v>367</v>
      </c>
      <c r="Q33" s="110" t="n">
        <v>4685</v>
      </c>
      <c r="R33" s="110" t="n">
        <f aca="false">SUM(F33:Q33)</f>
        <v>21005</v>
      </c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0</v>
      </c>
      <c r="H34" s="110" t="n">
        <v>449</v>
      </c>
      <c r="I34" s="110" t="n">
        <v>0</v>
      </c>
      <c r="J34" s="110" t="n">
        <v>20</v>
      </c>
      <c r="K34" s="110" t="n">
        <v>357</v>
      </c>
      <c r="L34" s="110" t="n">
        <v>70</v>
      </c>
      <c r="M34" s="110" t="n">
        <v>1</v>
      </c>
      <c r="N34" s="110" t="n">
        <v>1</v>
      </c>
      <c r="O34" s="110" t="n">
        <v>1</v>
      </c>
      <c r="P34" s="110" t="n">
        <v>281</v>
      </c>
      <c r="Q34" s="110" t="n">
        <v>969</v>
      </c>
      <c r="R34" s="110" t="n">
        <f aca="false">SUM(F34:Q34)</f>
        <v>2149</v>
      </c>
    </row>
    <row r="35" customFormat="false" ht="15" hidden="false" customHeight="true" outlineLevel="0" collapsed="false">
      <c r="D35" s="100" t="s">
        <v>78</v>
      </c>
      <c r="F35" s="110" t="n">
        <v>401</v>
      </c>
      <c r="G35" s="110" t="n">
        <v>840</v>
      </c>
      <c r="H35" s="110" t="n">
        <v>1447</v>
      </c>
      <c r="I35" s="110" t="n">
        <v>610</v>
      </c>
      <c r="J35" s="110" t="n">
        <v>375</v>
      </c>
      <c r="K35" s="110" t="n">
        <v>786</v>
      </c>
      <c r="L35" s="110" t="n">
        <v>428</v>
      </c>
      <c r="M35" s="110" t="n">
        <v>310</v>
      </c>
      <c r="N35" s="110" t="n">
        <v>1334</v>
      </c>
      <c r="O35" s="110" t="n">
        <v>962</v>
      </c>
      <c r="P35" s="110" t="n">
        <v>699</v>
      </c>
      <c r="Q35" s="110" t="n">
        <v>1066</v>
      </c>
      <c r="R35" s="110" t="n">
        <f aca="false">SUM(F35:Q35)</f>
        <v>9258</v>
      </c>
    </row>
    <row r="36" customFormat="false" ht="15" hidden="false" customHeight="true" outlineLevel="0" collapsed="false">
      <c r="D36" s="1" t="s">
        <v>79</v>
      </c>
      <c r="F36" s="110" t="n">
        <v>68065</v>
      </c>
      <c r="G36" s="110" t="n">
        <v>55122</v>
      </c>
      <c r="H36" s="110" t="n">
        <v>84144</v>
      </c>
      <c r="I36" s="110" t="n">
        <v>77424</v>
      </c>
      <c r="J36" s="110" t="n">
        <v>91632</v>
      </c>
      <c r="K36" s="110" t="n">
        <v>83126</v>
      </c>
      <c r="L36" s="110" t="n">
        <v>65566</v>
      </c>
      <c r="M36" s="110" t="n">
        <v>60274</v>
      </c>
      <c r="N36" s="110" t="n">
        <v>65860</v>
      </c>
      <c r="O36" s="110" t="n">
        <v>58588</v>
      </c>
      <c r="P36" s="110" t="n">
        <v>68584</v>
      </c>
      <c r="Q36" s="110" t="n">
        <v>90828</v>
      </c>
      <c r="R36" s="110" t="n">
        <f aca="false">SUM(F36:Q36)</f>
        <v>869213</v>
      </c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F8-F28</f>
        <v>-37125</v>
      </c>
      <c r="G38" s="112" t="n">
        <f aca="false">G8-G28</f>
        <v>-33188</v>
      </c>
      <c r="H38" s="112" t="n">
        <f aca="false">H8-H28</f>
        <v>-63866</v>
      </c>
      <c r="I38" s="112" t="n">
        <f aca="false">I8-I28</f>
        <v>2599</v>
      </c>
      <c r="J38" s="112" t="n">
        <f aca="false">J8-J28</f>
        <v>-30527</v>
      </c>
      <c r="K38" s="112" t="n">
        <f aca="false">K8-K28</f>
        <v>-34622</v>
      </c>
      <c r="L38" s="112" t="n">
        <f aca="false">L8-L28</f>
        <v>-32694</v>
      </c>
      <c r="M38" s="112" t="n">
        <f aca="false">M8-M28</f>
        <v>1319</v>
      </c>
      <c r="N38" s="112" t="n">
        <f aca="false">N8-N28</f>
        <v>-31684</v>
      </c>
      <c r="O38" s="112" t="n">
        <f aca="false">O8-O28</f>
        <v>-10514</v>
      </c>
      <c r="P38" s="112" t="n">
        <f aca="false">P8-P28</f>
        <v>482</v>
      </c>
      <c r="Q38" s="112" t="n">
        <f aca="false">Q8-Q28</f>
        <v>-44638</v>
      </c>
      <c r="R38" s="112" t="n">
        <f aca="false">SUM(F38:Q38)</f>
        <v>-314458</v>
      </c>
    </row>
    <row r="39" customFormat="false" ht="15" hidden="false" customHeight="true" outlineLevel="0" collapsed="false"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43458</v>
      </c>
      <c r="G40" s="108" t="n">
        <v>-10518</v>
      </c>
      <c r="H40" s="108" t="n">
        <v>168543</v>
      </c>
      <c r="I40" s="108" t="n">
        <v>36641</v>
      </c>
      <c r="J40" s="108" t="n">
        <v>48904</v>
      </c>
      <c r="K40" s="108" t="n">
        <v>18135</v>
      </c>
      <c r="L40" s="108" t="n">
        <v>37460</v>
      </c>
      <c r="M40" s="108" t="n">
        <v>137407</v>
      </c>
      <c r="N40" s="108" t="n">
        <v>80537</v>
      </c>
      <c r="O40" s="108" t="n">
        <v>26734</v>
      </c>
      <c r="P40" s="108" t="n">
        <v>15392</v>
      </c>
      <c r="Q40" s="108" t="n">
        <v>18695</v>
      </c>
      <c r="R40" s="108" t="n">
        <v>621388</v>
      </c>
    </row>
    <row r="41" customFormat="false" ht="15" hidden="false" customHeight="true" outlineLevel="0" collapsed="false">
      <c r="C41" s="100" t="s">
        <v>37</v>
      </c>
      <c r="F41" s="109" t="n">
        <v>70658</v>
      </c>
      <c r="G41" s="109" t="n">
        <v>-47614</v>
      </c>
      <c r="H41" s="109" t="n">
        <v>31854</v>
      </c>
      <c r="I41" s="109" t="n">
        <v>1334</v>
      </c>
      <c r="J41" s="109" t="n">
        <v>4865</v>
      </c>
      <c r="K41" s="109" t="n">
        <v>-3157</v>
      </c>
      <c r="L41" s="109" t="n">
        <v>357</v>
      </c>
      <c r="M41" s="109" t="n">
        <v>-3982</v>
      </c>
      <c r="N41" s="109" t="n">
        <v>48861</v>
      </c>
      <c r="O41" s="109" t="n">
        <v>27402</v>
      </c>
      <c r="P41" s="109" t="n">
        <v>-4264</v>
      </c>
      <c r="Q41" s="109" t="n">
        <v>6734</v>
      </c>
      <c r="R41" s="109" t="n">
        <v>133048</v>
      </c>
    </row>
    <row r="42" customFormat="false" ht="15" hidden="false" customHeight="true" outlineLevel="0" collapsed="false">
      <c r="D42" s="100" t="s">
        <v>38</v>
      </c>
      <c r="F42" s="110" t="n">
        <v>72955</v>
      </c>
      <c r="G42" s="110" t="n">
        <v>380</v>
      </c>
      <c r="H42" s="110" t="n">
        <v>64642</v>
      </c>
      <c r="I42" s="110" t="n">
        <v>2693</v>
      </c>
      <c r="J42" s="110" t="n">
        <v>9760</v>
      </c>
      <c r="K42" s="110" t="n">
        <v>2550</v>
      </c>
      <c r="L42" s="110" t="n">
        <v>1793</v>
      </c>
      <c r="M42" s="110" t="n">
        <v>3334</v>
      </c>
      <c r="N42" s="110" t="n">
        <v>55731</v>
      </c>
      <c r="O42" s="110" t="n">
        <v>135913</v>
      </c>
      <c r="P42" s="110" t="n">
        <v>285</v>
      </c>
      <c r="Q42" s="110" t="n">
        <v>7374</v>
      </c>
      <c r="R42" s="110" t="n">
        <v>357410</v>
      </c>
      <c r="S42" s="110"/>
    </row>
    <row r="43" customFormat="false" ht="15" hidden="false" customHeight="true" outlineLevel="0" collapsed="false">
      <c r="D43" s="100" t="s">
        <v>97</v>
      </c>
      <c r="F43" s="110" t="n">
        <v>2297</v>
      </c>
      <c r="G43" s="110" t="n">
        <v>47994</v>
      </c>
      <c r="H43" s="110" t="n">
        <v>32788</v>
      </c>
      <c r="I43" s="110" t="n">
        <v>1359</v>
      </c>
      <c r="J43" s="110" t="n">
        <v>4895</v>
      </c>
      <c r="K43" s="110" t="n">
        <v>5707</v>
      </c>
      <c r="L43" s="110" t="n">
        <v>1436</v>
      </c>
      <c r="M43" s="110" t="n">
        <v>7316</v>
      </c>
      <c r="N43" s="110" t="n">
        <v>6870</v>
      </c>
      <c r="O43" s="110" t="n">
        <v>108511</v>
      </c>
      <c r="P43" s="110" t="n">
        <v>4549</v>
      </c>
      <c r="Q43" s="110" t="n">
        <v>640</v>
      </c>
      <c r="R43" s="110" t="n">
        <v>224362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-27200</v>
      </c>
      <c r="G45" s="109" t="n">
        <v>37096</v>
      </c>
      <c r="H45" s="109" t="n">
        <v>136689</v>
      </c>
      <c r="I45" s="109" t="n">
        <v>35307</v>
      </c>
      <c r="J45" s="109" t="n">
        <v>44039</v>
      </c>
      <c r="K45" s="109" t="n">
        <v>21292</v>
      </c>
      <c r="L45" s="109" t="n">
        <v>37103</v>
      </c>
      <c r="M45" s="109" t="n">
        <v>141389</v>
      </c>
      <c r="N45" s="109" t="n">
        <v>31676</v>
      </c>
      <c r="O45" s="109" t="n">
        <v>-668</v>
      </c>
      <c r="P45" s="109" t="n">
        <v>19656</v>
      </c>
      <c r="Q45" s="109" t="n">
        <v>11961</v>
      </c>
      <c r="R45" s="109" t="n">
        <v>488340</v>
      </c>
    </row>
    <row r="46" customFormat="false" ht="15" hidden="false" customHeight="true" outlineLevel="0" collapsed="false">
      <c r="D46" s="100" t="s">
        <v>41</v>
      </c>
      <c r="F46" s="110" t="n">
        <v>-27200</v>
      </c>
      <c r="G46" s="110" t="n">
        <v>37096</v>
      </c>
      <c r="H46" s="110" t="n">
        <v>136987</v>
      </c>
      <c r="I46" s="110" t="n">
        <v>35307</v>
      </c>
      <c r="J46" s="110" t="n">
        <v>44370</v>
      </c>
      <c r="K46" s="110" t="n">
        <v>21415</v>
      </c>
      <c r="L46" s="110" t="n">
        <v>37193</v>
      </c>
      <c r="M46" s="110" t="n">
        <v>141389</v>
      </c>
      <c r="N46" s="110" t="n">
        <v>31844</v>
      </c>
      <c r="O46" s="110" t="n">
        <v>-668</v>
      </c>
      <c r="P46" s="110" t="n">
        <v>19927</v>
      </c>
      <c r="Q46" s="110" t="n">
        <v>184097</v>
      </c>
      <c r="R46" s="110" t="n">
        <v>661757</v>
      </c>
    </row>
    <row r="47" customFormat="false" ht="15" hidden="false" customHeight="true" outlineLevel="0" collapsed="false">
      <c r="D47" s="100" t="s">
        <v>42</v>
      </c>
      <c r="F47" s="110" t="n">
        <v>0</v>
      </c>
      <c r="G47" s="110" t="n">
        <v>0</v>
      </c>
      <c r="H47" s="110" t="n">
        <v>298</v>
      </c>
      <c r="I47" s="110" t="n">
        <v>0</v>
      </c>
      <c r="J47" s="110" t="n">
        <v>331</v>
      </c>
      <c r="K47" s="110" t="n">
        <v>123</v>
      </c>
      <c r="L47" s="110" t="n">
        <v>90</v>
      </c>
      <c r="M47" s="110" t="n">
        <v>0</v>
      </c>
      <c r="N47" s="110" t="n">
        <v>168</v>
      </c>
      <c r="O47" s="110" t="n">
        <v>0</v>
      </c>
      <c r="P47" s="110" t="n">
        <v>271</v>
      </c>
      <c r="Q47" s="110" t="n">
        <v>172136</v>
      </c>
      <c r="R47" s="110" t="n">
        <v>173417</v>
      </c>
    </row>
    <row r="48" customFormat="false" ht="15" hidden="false" customHeight="true" outlineLevel="0" collapsed="false">
      <c r="E48" s="1" t="s">
        <v>67</v>
      </c>
      <c r="F48" s="110" t="n">
        <v>12306</v>
      </c>
      <c r="G48" s="110" t="n">
        <v>63839</v>
      </c>
      <c r="H48" s="110" t="n">
        <v>3964</v>
      </c>
      <c r="I48" s="110" t="n">
        <v>23768</v>
      </c>
      <c r="J48" s="110" t="n">
        <v>16534</v>
      </c>
      <c r="K48" s="110" t="n">
        <v>2493</v>
      </c>
      <c r="L48" s="110" t="n">
        <v>12693</v>
      </c>
      <c r="M48" s="110" t="n">
        <v>38201</v>
      </c>
      <c r="N48" s="110" t="n">
        <v>63237</v>
      </c>
      <c r="O48" s="110" t="n">
        <v>0</v>
      </c>
      <c r="P48" s="110" t="n">
        <v>271</v>
      </c>
      <c r="Q48" s="110" t="n">
        <v>183310</v>
      </c>
      <c r="R48" s="110" t="n">
        <v>420616</v>
      </c>
    </row>
    <row r="49" customFormat="false" ht="15" hidden="false" customHeight="true" outlineLevel="0" collapsed="false">
      <c r="E49" s="16" t="s">
        <v>80</v>
      </c>
      <c r="F49" s="110" t="n">
        <v>12306</v>
      </c>
      <c r="G49" s="110" t="n">
        <v>63839</v>
      </c>
      <c r="H49" s="110" t="n">
        <v>3666</v>
      </c>
      <c r="I49" s="110" t="n">
        <v>23768</v>
      </c>
      <c r="J49" s="110" t="n">
        <v>16203</v>
      </c>
      <c r="K49" s="110" t="n">
        <v>2370</v>
      </c>
      <c r="L49" s="110" t="n">
        <v>12603</v>
      </c>
      <c r="M49" s="110" t="n">
        <v>38201</v>
      </c>
      <c r="N49" s="110" t="n">
        <v>63069</v>
      </c>
      <c r="O49" s="110" t="n">
        <v>0</v>
      </c>
      <c r="P49" s="110" t="n">
        <v>0</v>
      </c>
      <c r="Q49" s="110" t="n">
        <v>11174</v>
      </c>
      <c r="R49" s="110" t="n">
        <v>247199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44608</v>
      </c>
      <c r="G51" s="108" t="n">
        <v>-106554</v>
      </c>
      <c r="H51" s="108" t="n">
        <v>13533</v>
      </c>
      <c r="I51" s="108" t="n">
        <v>21642</v>
      </c>
      <c r="J51" s="108" t="n">
        <v>-4878</v>
      </c>
      <c r="K51" s="108" t="n">
        <v>-1313</v>
      </c>
      <c r="L51" s="108" t="n">
        <v>42579</v>
      </c>
      <c r="M51" s="108" t="n">
        <v>66291</v>
      </c>
      <c r="N51" s="108" t="n">
        <v>-7280</v>
      </c>
      <c r="O51" s="108" t="n">
        <v>16567</v>
      </c>
      <c r="P51" s="108" t="n">
        <v>-2644</v>
      </c>
      <c r="Q51" s="108" t="n">
        <v>-45385</v>
      </c>
      <c r="R51" s="108" t="n">
        <v>37166</v>
      </c>
    </row>
    <row r="52" customFormat="false" ht="15" hidden="false" customHeight="false" outlineLevel="0" collapsed="false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customFormat="false" ht="15" hidden="false" customHeight="false" outlineLevel="0" collapsed="false">
      <c r="B53" s="103" t="s">
        <v>46</v>
      </c>
    </row>
    <row r="54" customFormat="false" ht="16.5" hidden="false" customHeight="true" outlineLevel="0" collapsed="false">
      <c r="B54" s="103"/>
      <c r="C54" s="130" t="s">
        <v>110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</row>
    <row r="55" customFormat="false" ht="14.25" hidden="false" customHeight="true" outlineLevel="0" collapsed="false">
      <c r="B55" s="103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</row>
    <row r="58" customFormat="false" ht="14.25" hidden="false" customHeight="false" outlineLevel="0" collapsed="false">
      <c r="B58" s="31" t="s">
        <v>51</v>
      </c>
    </row>
    <row r="59" customFormat="false" ht="14.25" hidden="false" customHeight="false" outlineLevel="0" collapsed="false">
      <c r="B59" s="31" t="s">
        <v>106</v>
      </c>
    </row>
  </sheetData>
  <mergeCells count="2">
    <mergeCell ref="A6:E6"/>
    <mergeCell ref="C54:Q55"/>
  </mergeCells>
  <printOptions headings="false" gridLines="false" gridLinesSet="true" horizontalCentered="true" verticalCentered="false"/>
  <pageMargins left="0" right="0" top="1.14166666666667" bottom="0.7875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E16" activeCellId="0" sqref="E16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27.99"/>
    <col collapsed="false" customWidth="false" hidden="false" outlineLevel="0" max="6" min="6" style="100" width="9.14"/>
    <col collapsed="false" customWidth="true" hidden="false" outlineLevel="0" max="7" min="7" style="100" width="9.85"/>
    <col collapsed="false" customWidth="false" hidden="false" outlineLevel="0" max="17" min="8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116</v>
      </c>
      <c r="C2" s="101"/>
      <c r="D2" s="101"/>
      <c r="E2" s="101"/>
      <c r="F2" s="101"/>
      <c r="G2" s="101"/>
      <c r="H2" s="136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95</v>
      </c>
      <c r="B4" s="102"/>
    </row>
    <row r="5" customFormat="false" ht="7.5" hidden="false" customHeight="true" outlineLevel="0" collapsed="false">
      <c r="B5" s="102"/>
    </row>
    <row r="6" customFormat="false" ht="6" hidden="false" customHeight="true" outlineLevel="0" collapsed="false"/>
    <row r="7" customFormat="false" ht="20.25" hidden="false" customHeight="true" outlineLevel="0" collapsed="false">
      <c r="A7" s="126" t="s">
        <v>4</v>
      </c>
      <c r="B7" s="126"/>
      <c r="C7" s="126"/>
      <c r="D7" s="126"/>
      <c r="E7" s="126"/>
      <c r="F7" s="105" t="s">
        <v>5</v>
      </c>
      <c r="G7" s="105" t="s">
        <v>6</v>
      </c>
      <c r="H7" s="105" t="s">
        <v>7</v>
      </c>
      <c r="I7" s="105" t="s">
        <v>8</v>
      </c>
      <c r="J7" s="105" t="s">
        <v>9</v>
      </c>
      <c r="K7" s="105" t="s">
        <v>10</v>
      </c>
      <c r="L7" s="105" t="s">
        <v>53</v>
      </c>
      <c r="M7" s="105" t="s">
        <v>54</v>
      </c>
      <c r="N7" s="105" t="s">
        <v>55</v>
      </c>
      <c r="O7" s="105" t="s">
        <v>56</v>
      </c>
      <c r="P7" s="105" t="s">
        <v>57</v>
      </c>
      <c r="Q7" s="105" t="s">
        <v>58</v>
      </c>
      <c r="R7" s="105" t="s">
        <v>11</v>
      </c>
      <c r="S7" s="129"/>
    </row>
    <row r="8" customFormat="false" ht="15" hidden="false" customHeight="true" outlineLevel="0" collapsed="false">
      <c r="O8" s="110"/>
    </row>
    <row r="9" customFormat="false" ht="15" hidden="false" customHeight="true" outlineLevel="0" collapsed="false">
      <c r="B9" s="107" t="s">
        <v>12</v>
      </c>
      <c r="C9" s="107"/>
      <c r="D9" s="107"/>
      <c r="E9" s="107"/>
      <c r="F9" s="108" t="n">
        <f aca="false">F10+F20+F27</f>
        <v>78466</v>
      </c>
      <c r="G9" s="108" t="n">
        <f aca="false">G10+G20+G27</f>
        <v>80965</v>
      </c>
      <c r="H9" s="108" t="n">
        <f aca="false">H10+H20+H27</f>
        <v>75928</v>
      </c>
      <c r="I9" s="108" t="n">
        <f aca="false">I10+I20+I27</f>
        <v>116581</v>
      </c>
      <c r="J9" s="108" t="n">
        <f aca="false">J10+J20+J27</f>
        <v>104212</v>
      </c>
      <c r="K9" s="108" t="n">
        <f aca="false">K10+K20+K27</f>
        <v>89550</v>
      </c>
      <c r="L9" s="108" t="n">
        <f aca="false">L10+L20+L27</f>
        <v>98398</v>
      </c>
      <c r="M9" s="108" t="n">
        <f aca="false">M10+M20+M27</f>
        <v>95012</v>
      </c>
      <c r="N9" s="108" t="n">
        <f aca="false">N10+N20+N27</f>
        <v>100695</v>
      </c>
      <c r="O9" s="108" t="n">
        <f aca="false">O10+O20+O27</f>
        <v>85581</v>
      </c>
      <c r="P9" s="108" t="n">
        <f aca="false">P10+P20+P27</f>
        <v>96282</v>
      </c>
      <c r="Q9" s="108" t="n">
        <f aca="false">Q10+Q20+Q27</f>
        <v>101541</v>
      </c>
      <c r="R9" s="108" t="n">
        <f aca="false">R10+R20+R27</f>
        <v>1123211</v>
      </c>
    </row>
    <row r="10" customFormat="false" ht="15" hidden="false" customHeight="true" outlineLevel="0" collapsed="false">
      <c r="C10" s="100" t="s">
        <v>13</v>
      </c>
      <c r="F10" s="109" t="n">
        <v>70259</v>
      </c>
      <c r="G10" s="109" t="n">
        <v>62328</v>
      </c>
      <c r="H10" s="109" t="n">
        <v>68157</v>
      </c>
      <c r="I10" s="109" t="n">
        <v>109544</v>
      </c>
      <c r="J10" s="109" t="n">
        <v>94462</v>
      </c>
      <c r="K10" s="109" t="n">
        <v>81649</v>
      </c>
      <c r="L10" s="109" t="n">
        <v>82771</v>
      </c>
      <c r="M10" s="109" t="n">
        <v>86963</v>
      </c>
      <c r="N10" s="109" t="n">
        <v>75440</v>
      </c>
      <c r="O10" s="109" t="n">
        <v>74369</v>
      </c>
      <c r="P10" s="109" t="n">
        <v>87880</v>
      </c>
      <c r="Q10" s="109" t="n">
        <v>87809</v>
      </c>
      <c r="R10" s="109" t="n">
        <v>981631</v>
      </c>
    </row>
    <row r="11" customFormat="false" ht="15" hidden="false" customHeight="true" outlineLevel="0" collapsed="false">
      <c r="D11" s="100" t="s">
        <v>14</v>
      </c>
      <c r="F11" s="110" t="n">
        <v>55230</v>
      </c>
      <c r="G11" s="110" t="n">
        <v>47405</v>
      </c>
      <c r="H11" s="110" t="n">
        <v>52136</v>
      </c>
      <c r="I11" s="110" t="n">
        <v>87076</v>
      </c>
      <c r="J11" s="110" t="n">
        <v>73338</v>
      </c>
      <c r="K11" s="110" t="n">
        <v>60427</v>
      </c>
      <c r="L11" s="110" t="n">
        <v>57606</v>
      </c>
      <c r="M11" s="110" t="n">
        <v>67580</v>
      </c>
      <c r="N11" s="110" t="n">
        <v>56237</v>
      </c>
      <c r="O11" s="110" t="n">
        <v>54920</v>
      </c>
      <c r="P11" s="110" t="n">
        <v>69958</v>
      </c>
      <c r="Q11" s="110" t="n">
        <v>68374</v>
      </c>
      <c r="R11" s="110" t="n">
        <v>750287</v>
      </c>
    </row>
    <row r="12" customFormat="false" ht="15" hidden="false" customHeight="true" outlineLevel="0" collapsed="false">
      <c r="E12" s="31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</row>
    <row r="13" customFormat="false" ht="15" hidden="false" customHeight="true" outlineLevel="0" collapsed="false">
      <c r="E13" s="100" t="s">
        <v>16</v>
      </c>
      <c r="F13" s="110" t="n">
        <v>0</v>
      </c>
      <c r="G13" s="110" t="n">
        <v>1396</v>
      </c>
      <c r="H13" s="110" t="n">
        <v>1106</v>
      </c>
      <c r="I13" s="110" t="n">
        <v>565</v>
      </c>
      <c r="J13" s="110" t="n">
        <v>400</v>
      </c>
      <c r="K13" s="110" t="n">
        <v>319</v>
      </c>
      <c r="L13" s="110" t="n">
        <v>0</v>
      </c>
      <c r="M13" s="110" t="n">
        <v>0</v>
      </c>
      <c r="N13" s="110" t="n">
        <v>1068</v>
      </c>
      <c r="O13" s="110" t="n">
        <v>45</v>
      </c>
      <c r="P13" s="110" t="n">
        <v>18</v>
      </c>
      <c r="Q13" s="110" t="n">
        <v>1800</v>
      </c>
      <c r="R13" s="110" t="n">
        <v>6717</v>
      </c>
    </row>
    <row r="14" customFormat="false" ht="15" hidden="false" customHeight="true" outlineLevel="0" collapsed="false">
      <c r="E14" s="100" t="s">
        <v>17</v>
      </c>
      <c r="F14" s="110" t="n">
        <v>0</v>
      </c>
      <c r="G14" s="110" t="n">
        <v>0</v>
      </c>
      <c r="H14" s="110" t="n">
        <v>3573</v>
      </c>
      <c r="I14" s="110" t="n">
        <v>0</v>
      </c>
      <c r="J14" s="110" t="n">
        <v>2842</v>
      </c>
      <c r="K14" s="110" t="n">
        <v>8847</v>
      </c>
      <c r="L14" s="110" t="n">
        <v>43</v>
      </c>
      <c r="M14" s="110" t="n">
        <v>922</v>
      </c>
      <c r="N14" s="110" t="n">
        <v>1417</v>
      </c>
      <c r="O14" s="110" t="n">
        <v>181</v>
      </c>
      <c r="P14" s="110" t="n">
        <v>481</v>
      </c>
      <c r="Q14" s="110" t="n">
        <v>4780</v>
      </c>
      <c r="R14" s="110" t="n">
        <v>23086</v>
      </c>
    </row>
    <row r="15" customFormat="false" ht="15" hidden="false" customHeight="true" outlineLevel="0" collapsed="false">
      <c r="D15" s="100" t="s">
        <v>18</v>
      </c>
      <c r="F15" s="110" t="n">
        <v>14404</v>
      </c>
      <c r="G15" s="110" t="n">
        <v>13850</v>
      </c>
      <c r="H15" s="110" t="n">
        <v>14861</v>
      </c>
      <c r="I15" s="110" t="n">
        <v>21615</v>
      </c>
      <c r="J15" s="110" t="n">
        <v>19799</v>
      </c>
      <c r="K15" s="110" t="n">
        <v>20282</v>
      </c>
      <c r="L15" s="110" t="n">
        <v>24154</v>
      </c>
      <c r="M15" s="110" t="n">
        <v>18176</v>
      </c>
      <c r="N15" s="110" t="n">
        <v>18255</v>
      </c>
      <c r="O15" s="110" t="n">
        <v>18548</v>
      </c>
      <c r="P15" s="110" t="n">
        <v>17503</v>
      </c>
      <c r="Q15" s="110" t="n">
        <v>18860</v>
      </c>
      <c r="R15" s="110" t="n">
        <v>220307</v>
      </c>
    </row>
    <row r="16" customFormat="false" ht="15" hidden="false" customHeight="true" outlineLevel="0" collapsed="false">
      <c r="E16" s="31" t="s">
        <v>15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</row>
    <row r="17" customFormat="false" ht="15" hidden="false" customHeight="true" outlineLevel="0" collapsed="false">
      <c r="E17" s="100" t="s">
        <v>17</v>
      </c>
      <c r="F17" s="110" t="n">
        <v>1</v>
      </c>
      <c r="G17" s="110" t="n">
        <v>0</v>
      </c>
      <c r="H17" s="110" t="n">
        <v>0</v>
      </c>
      <c r="I17" s="110" t="n">
        <v>5545</v>
      </c>
      <c r="J17" s="110" t="n">
        <v>3924</v>
      </c>
      <c r="K17" s="110" t="n">
        <v>4312</v>
      </c>
      <c r="L17" s="110" t="n">
        <v>5253</v>
      </c>
      <c r="M17" s="110" t="n">
        <v>1592</v>
      </c>
      <c r="N17" s="110" t="n">
        <v>565</v>
      </c>
      <c r="O17" s="110" t="n">
        <v>60</v>
      </c>
      <c r="P17" s="110" t="n">
        <v>737</v>
      </c>
      <c r="Q17" s="110" t="n">
        <v>156</v>
      </c>
      <c r="R17" s="110" t="n">
        <v>22145</v>
      </c>
    </row>
    <row r="18" customFormat="false" ht="15" hidden="false" customHeight="true" outlineLevel="0" collapsed="false">
      <c r="D18" s="100" t="s">
        <v>105</v>
      </c>
      <c r="F18" s="110" t="n">
        <v>625</v>
      </c>
      <c r="G18" s="110" t="n">
        <v>1073</v>
      </c>
      <c r="H18" s="110" t="n">
        <v>1160</v>
      </c>
      <c r="I18" s="110" t="n">
        <v>853</v>
      </c>
      <c r="J18" s="110" t="n">
        <v>1325</v>
      </c>
      <c r="K18" s="110" t="n">
        <v>940</v>
      </c>
      <c r="L18" s="110" t="n">
        <v>1011</v>
      </c>
      <c r="M18" s="110" t="n">
        <v>1207</v>
      </c>
      <c r="N18" s="110" t="n">
        <v>948</v>
      </c>
      <c r="O18" s="110" t="n">
        <v>901</v>
      </c>
      <c r="P18" s="110" t="n">
        <v>419</v>
      </c>
      <c r="Q18" s="110" t="n">
        <v>575</v>
      </c>
      <c r="R18" s="110" t="n">
        <v>11037</v>
      </c>
    </row>
    <row r="19" customFormat="false" ht="15" hidden="false" customHeight="true" outlineLevel="0" collapsed="false"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U19" s="100" t="s">
        <v>59</v>
      </c>
    </row>
    <row r="20" customFormat="false" ht="15" hidden="false" customHeight="true" outlineLevel="0" collapsed="false">
      <c r="C20" s="100" t="s">
        <v>20</v>
      </c>
      <c r="F20" s="109" t="n">
        <f aca="false">SUM(F21:F25)</f>
        <v>8201</v>
      </c>
      <c r="G20" s="109" t="n">
        <f aca="false">SUM(G21:G25)</f>
        <v>18635</v>
      </c>
      <c r="H20" s="109" t="n">
        <f aca="false">SUM(H21:H25)</f>
        <v>7771</v>
      </c>
      <c r="I20" s="109" t="n">
        <f aca="false">SUM(I21:I25)</f>
        <v>7037</v>
      </c>
      <c r="J20" s="109" t="n">
        <f aca="false">SUM(J21:J25)</f>
        <v>9724</v>
      </c>
      <c r="K20" s="109" t="n">
        <f aca="false">SUM(K21:K25)</f>
        <v>7853</v>
      </c>
      <c r="L20" s="109" t="n">
        <f aca="false">SUM(L21:L25)</f>
        <v>15622</v>
      </c>
      <c r="M20" s="109" t="n">
        <f aca="false">SUM(M21:M25)</f>
        <v>8049</v>
      </c>
      <c r="N20" s="109" t="n">
        <f aca="false">SUM(N21:N25)</f>
        <v>25255</v>
      </c>
      <c r="O20" s="109" t="n">
        <f aca="false">SUM(O21:O25)</f>
        <v>11211</v>
      </c>
      <c r="P20" s="109" t="n">
        <f aca="false">SUM(P21:P25)</f>
        <v>8402</v>
      </c>
      <c r="Q20" s="109" t="n">
        <f aca="false">SUM(Q21:Q25)</f>
        <v>13629</v>
      </c>
      <c r="R20" s="109" t="n">
        <f aca="false">SUM(R21:R25)</f>
        <v>141389</v>
      </c>
    </row>
    <row r="21" customFormat="false" ht="15" hidden="false" customHeight="true" outlineLevel="0" collapsed="false">
      <c r="D21" s="100" t="s">
        <v>21</v>
      </c>
      <c r="F21" s="110" t="n">
        <v>5107</v>
      </c>
      <c r="G21" s="110" t="n">
        <v>11723</v>
      </c>
      <c r="H21" s="110" t="n">
        <v>3828</v>
      </c>
      <c r="I21" s="110" t="n">
        <v>3752</v>
      </c>
      <c r="J21" s="110" t="n">
        <v>3504</v>
      </c>
      <c r="K21" s="110" t="n">
        <v>2211</v>
      </c>
      <c r="L21" s="110" t="n">
        <v>12586</v>
      </c>
      <c r="M21" s="110" t="n">
        <v>3481</v>
      </c>
      <c r="N21" s="110" t="n">
        <v>6047</v>
      </c>
      <c r="O21" s="110" t="n">
        <v>4082</v>
      </c>
      <c r="P21" s="110" t="n">
        <v>4178</v>
      </c>
      <c r="Q21" s="110" t="n">
        <v>9413</v>
      </c>
      <c r="R21" s="110" t="n">
        <f aca="false">SUM(F21:Q21)</f>
        <v>69912</v>
      </c>
    </row>
    <row r="22" customFormat="false" ht="15" hidden="false" customHeight="true" outlineLevel="0" collapsed="false">
      <c r="D22" s="100" t="s">
        <v>23</v>
      </c>
      <c r="F22" s="110" t="n">
        <v>268</v>
      </c>
      <c r="G22" s="110" t="n">
        <v>106</v>
      </c>
      <c r="H22" s="110" t="n">
        <v>114</v>
      </c>
      <c r="I22" s="110" t="n">
        <v>17</v>
      </c>
      <c r="J22" s="110" t="n">
        <v>10</v>
      </c>
      <c r="K22" s="110" t="n">
        <v>10</v>
      </c>
      <c r="L22" s="110" t="n">
        <v>139</v>
      </c>
      <c r="M22" s="110" t="n">
        <v>122</v>
      </c>
      <c r="N22" s="110" t="n">
        <v>304</v>
      </c>
      <c r="O22" s="110" t="n">
        <v>1</v>
      </c>
      <c r="P22" s="110" t="n">
        <v>0</v>
      </c>
      <c r="Q22" s="110" t="n">
        <v>299</v>
      </c>
      <c r="R22" s="110" t="n">
        <f aca="false">SUM(F22:Q22)</f>
        <v>1390</v>
      </c>
      <c r="T22" s="110"/>
    </row>
    <row r="23" customFormat="false" ht="15" hidden="false" customHeight="true" outlineLevel="0" collapsed="false">
      <c r="D23" s="100" t="s">
        <v>112</v>
      </c>
      <c r="F23" s="110" t="n">
        <v>1398</v>
      </c>
      <c r="G23" s="110" t="n">
        <v>1511</v>
      </c>
      <c r="H23" s="110" t="n">
        <v>2130</v>
      </c>
      <c r="I23" s="110" t="n">
        <v>1218</v>
      </c>
      <c r="J23" s="110" t="n">
        <v>1475</v>
      </c>
      <c r="K23" s="110" t="n">
        <v>1739</v>
      </c>
      <c r="L23" s="110" t="n">
        <v>1617</v>
      </c>
      <c r="M23" s="110" t="n">
        <v>1368</v>
      </c>
      <c r="N23" s="110" t="n">
        <v>1435</v>
      </c>
      <c r="O23" s="110" t="n">
        <v>2914</v>
      </c>
      <c r="P23" s="110" t="n">
        <v>1272</v>
      </c>
      <c r="Q23" s="110" t="n">
        <v>1176</v>
      </c>
      <c r="R23" s="110" t="n">
        <f aca="false">SUM(F23:Q23)</f>
        <v>19253</v>
      </c>
      <c r="T23" s="110"/>
    </row>
    <row r="24" customFormat="false" ht="15" hidden="false" customHeight="true" outlineLevel="0" collapsed="false">
      <c r="D24" s="100" t="s">
        <v>24</v>
      </c>
      <c r="F24" s="110" t="n">
        <v>677.59</v>
      </c>
      <c r="G24" s="110" t="n">
        <v>3955.744</v>
      </c>
      <c r="H24" s="110" t="n">
        <v>598.631</v>
      </c>
      <c r="I24" s="110" t="n">
        <v>850.296</v>
      </c>
      <c r="J24" s="110" t="n">
        <v>4375.48</v>
      </c>
      <c r="K24" s="110" t="n">
        <v>2026.287</v>
      </c>
      <c r="L24" s="110" t="n">
        <v>1340.167</v>
      </c>
      <c r="M24" s="110" t="n">
        <v>2122.878</v>
      </c>
      <c r="N24" s="110" t="n">
        <v>15974.852</v>
      </c>
      <c r="O24" s="110" t="n">
        <v>1881.151</v>
      </c>
      <c r="P24" s="110" t="n">
        <v>1802.602</v>
      </c>
      <c r="Q24" s="110" t="n">
        <v>1852.705</v>
      </c>
      <c r="R24" s="110" t="n">
        <f aca="false">SUM(F24:Q24)</f>
        <v>37458.383</v>
      </c>
    </row>
    <row r="25" customFormat="false" ht="15" hidden="false" customHeight="true" outlineLevel="0" collapsed="false">
      <c r="D25" s="100" t="s">
        <v>105</v>
      </c>
      <c r="F25" s="110" t="n">
        <f aca="false">2826-F24-F23</f>
        <v>750.41</v>
      </c>
      <c r="G25" s="110" t="n">
        <f aca="false">6806-G24-G23</f>
        <v>1339.256</v>
      </c>
      <c r="H25" s="110" t="n">
        <f aca="false">3829-H24-H23</f>
        <v>1100.369</v>
      </c>
      <c r="I25" s="110" t="n">
        <f aca="false">3268-I24-I23</f>
        <v>1199.704</v>
      </c>
      <c r="J25" s="110" t="n">
        <f aca="false">6210-J24-J23</f>
        <v>359.52</v>
      </c>
      <c r="K25" s="110" t="n">
        <f aca="false">5632-K24-K23</f>
        <v>1866.713</v>
      </c>
      <c r="L25" s="110" t="n">
        <f aca="false">2897-L24-L23</f>
        <v>-60.1669999999999</v>
      </c>
      <c r="M25" s="110" t="n">
        <f aca="false">4446-M24-M23</f>
        <v>955.122</v>
      </c>
      <c r="N25" s="110" t="n">
        <f aca="false">18904-N24-N23</f>
        <v>1494.148</v>
      </c>
      <c r="O25" s="110" t="n">
        <f aca="false">7128-O24-O23</f>
        <v>2332.849</v>
      </c>
      <c r="P25" s="110" t="n">
        <f aca="false">4224-P24-P23</f>
        <v>1149.398</v>
      </c>
      <c r="Q25" s="110" t="n">
        <f aca="false">3917-Q24-Q23</f>
        <v>888.295</v>
      </c>
      <c r="R25" s="110" t="n">
        <f aca="false">SUM(F25:Q25)</f>
        <v>13375.617</v>
      </c>
    </row>
    <row r="26" customFormat="false" ht="15" hidden="false" customHeight="true" outlineLevel="0" collapsed="false"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customFormat="false" ht="15" hidden="false" customHeight="true" outlineLevel="0" collapsed="false">
      <c r="C27" s="100" t="s">
        <v>26</v>
      </c>
      <c r="F27" s="110" t="n">
        <v>6</v>
      </c>
      <c r="G27" s="110" t="n">
        <v>2</v>
      </c>
      <c r="H27" s="110" t="n">
        <v>0</v>
      </c>
      <c r="I27" s="110" t="n">
        <v>0</v>
      </c>
      <c r="J27" s="110" t="n">
        <v>26</v>
      </c>
      <c r="K27" s="110" t="n">
        <v>48</v>
      </c>
      <c r="L27" s="110" t="n">
        <v>5</v>
      </c>
      <c r="M27" s="110" t="n">
        <v>0</v>
      </c>
      <c r="N27" s="110" t="n">
        <v>0</v>
      </c>
      <c r="O27" s="110" t="n">
        <v>1</v>
      </c>
      <c r="P27" s="110" t="n">
        <v>0</v>
      </c>
      <c r="Q27" s="110" t="n">
        <v>103</v>
      </c>
      <c r="R27" s="110" t="n">
        <v>191</v>
      </c>
    </row>
    <row r="28" customFormat="false" ht="15" hidden="false" customHeight="true" outlineLevel="0" collapsed="false"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customFormat="false" ht="15" hidden="false" customHeight="true" outlineLevel="0" collapsed="false">
      <c r="B29" s="107" t="s">
        <v>27</v>
      </c>
      <c r="C29" s="107"/>
      <c r="D29" s="107"/>
      <c r="E29" s="107"/>
      <c r="F29" s="108" t="n">
        <f aca="false">SUM(F31:F37)</f>
        <v>116520</v>
      </c>
      <c r="G29" s="108" t="n">
        <f aca="false">SUM(G31:G37)</f>
        <v>109958</v>
      </c>
      <c r="H29" s="108" t="n">
        <f aca="false">SUM(H31:H37)</f>
        <v>128567</v>
      </c>
      <c r="I29" s="108" t="n">
        <f aca="false">SUM(I31:I37)</f>
        <v>108677</v>
      </c>
      <c r="J29" s="108" t="n">
        <f aca="false">SUM(J31:J37)</f>
        <v>115596</v>
      </c>
      <c r="K29" s="108" t="n">
        <f aca="false">SUM(K31:K37)</f>
        <v>119797</v>
      </c>
      <c r="L29" s="108" t="n">
        <f aca="false">SUM(L31:L37)</f>
        <v>133028</v>
      </c>
      <c r="M29" s="108" t="n">
        <f aca="false">SUM(M31:M37)</f>
        <v>116993</v>
      </c>
      <c r="N29" s="108" t="n">
        <f aca="false">SUM(N31:N37)</f>
        <v>128207</v>
      </c>
      <c r="O29" s="108" t="n">
        <f aca="false">SUM(O31:O37)</f>
        <v>114126</v>
      </c>
      <c r="P29" s="108" t="n">
        <f aca="false">SUM(P31:P37)</f>
        <v>102724</v>
      </c>
      <c r="Q29" s="108" t="n">
        <f aca="false">SUM(Q31:Q37)</f>
        <v>127550</v>
      </c>
      <c r="R29" s="108" t="n">
        <f aca="false">SUM(F29:Q29)</f>
        <v>1421743</v>
      </c>
    </row>
    <row r="30" customFormat="false" ht="15" hidden="false" customHeight="true" outlineLevel="0" collapsed="false"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08"/>
    </row>
    <row r="31" customFormat="false" ht="15" hidden="false" customHeight="true" outlineLevel="0" collapsed="false">
      <c r="D31" s="100" t="s">
        <v>28</v>
      </c>
      <c r="F31" s="110" t="n">
        <v>20502</v>
      </c>
      <c r="G31" s="110" t="n">
        <v>20829</v>
      </c>
      <c r="H31" s="110" t="n">
        <v>21095</v>
      </c>
      <c r="I31" s="110" t="n">
        <v>21317</v>
      </c>
      <c r="J31" s="110" t="n">
        <v>20821</v>
      </c>
      <c r="K31" s="110" t="n">
        <v>27892</v>
      </c>
      <c r="L31" s="110" t="n">
        <v>18554</v>
      </c>
      <c r="M31" s="110" t="n">
        <v>26640</v>
      </c>
      <c r="N31" s="110" t="n">
        <v>21574</v>
      </c>
      <c r="O31" s="110" t="n">
        <v>21969</v>
      </c>
      <c r="P31" s="110" t="n">
        <v>21888</v>
      </c>
      <c r="Q31" s="110" t="n">
        <v>21564</v>
      </c>
      <c r="R31" s="110" t="n">
        <f aca="false">SUM(F31:Q31)</f>
        <v>264645</v>
      </c>
    </row>
    <row r="32" customFormat="false" ht="15" hidden="false" customHeight="true" outlineLevel="0" collapsed="false">
      <c r="D32" s="100" t="s">
        <v>29</v>
      </c>
      <c r="F32" s="110" t="n">
        <v>35532</v>
      </c>
      <c r="G32" s="110" t="n">
        <v>35512</v>
      </c>
      <c r="H32" s="110" t="n">
        <v>35277</v>
      </c>
      <c r="I32" s="110" t="n">
        <v>15839</v>
      </c>
      <c r="J32" s="110" t="n">
        <v>11831</v>
      </c>
      <c r="K32" s="110" t="n">
        <v>10752</v>
      </c>
      <c r="L32" s="110" t="n">
        <v>38961</v>
      </c>
      <c r="M32" s="110" t="n">
        <v>19736</v>
      </c>
      <c r="N32" s="110" t="n">
        <v>31843</v>
      </c>
      <c r="O32" s="110" t="n">
        <v>14130</v>
      </c>
      <c r="P32" s="110" t="n">
        <v>10734</v>
      </c>
      <c r="Q32" s="110" t="n">
        <v>18719</v>
      </c>
      <c r="R32" s="110" t="n">
        <f aca="false">SUM(F32:Q32)</f>
        <v>278866</v>
      </c>
    </row>
    <row r="33" customFormat="false" ht="15" hidden="false" customHeight="true" outlineLevel="0" collapsed="false">
      <c r="D33" s="100" t="s">
        <v>30</v>
      </c>
      <c r="F33" s="110" t="n">
        <v>1</v>
      </c>
      <c r="G33" s="110" t="n">
        <v>1396</v>
      </c>
      <c r="H33" s="110" t="n">
        <v>4679</v>
      </c>
      <c r="I33" s="110" t="n">
        <v>6110</v>
      </c>
      <c r="J33" s="110" t="n">
        <v>7166</v>
      </c>
      <c r="K33" s="110" t="n">
        <v>13478</v>
      </c>
      <c r="L33" s="110" t="n">
        <v>5296</v>
      </c>
      <c r="M33" s="110" t="n">
        <v>2514</v>
      </c>
      <c r="N33" s="110" t="n">
        <v>3050</v>
      </c>
      <c r="O33" s="110" t="n">
        <v>286</v>
      </c>
      <c r="P33" s="110" t="n">
        <v>1236</v>
      </c>
      <c r="Q33" s="110" t="n">
        <v>6736</v>
      </c>
      <c r="R33" s="110" t="n">
        <f aca="false">SUM(F33:Q33)</f>
        <v>51948</v>
      </c>
    </row>
    <row r="34" customFormat="false" ht="15" hidden="false" customHeight="true" outlineLevel="0" collapsed="false">
      <c r="D34" s="100" t="s">
        <v>77</v>
      </c>
      <c r="F34" s="110" t="n">
        <v>1147</v>
      </c>
      <c r="G34" s="110" t="n">
        <v>233</v>
      </c>
      <c r="H34" s="110" t="n">
        <v>846</v>
      </c>
      <c r="I34" s="110" t="n">
        <v>1866</v>
      </c>
      <c r="J34" s="110" t="n">
        <v>942</v>
      </c>
      <c r="K34" s="110" t="n">
        <v>1947</v>
      </c>
      <c r="L34" s="110" t="n">
        <v>3521</v>
      </c>
      <c r="M34" s="110" t="n">
        <v>1463</v>
      </c>
      <c r="N34" s="110" t="n">
        <v>596</v>
      </c>
      <c r="O34" s="110" t="n">
        <v>1960</v>
      </c>
      <c r="P34" s="110" t="n">
        <v>2320</v>
      </c>
      <c r="Q34" s="110" t="n">
        <v>598</v>
      </c>
      <c r="R34" s="110" t="n">
        <f aca="false">SUM(F34:Q34)</f>
        <v>17439</v>
      </c>
    </row>
    <row r="35" customFormat="false" ht="15" hidden="false" customHeight="true" outlineLevel="0" collapsed="false">
      <c r="D35" s="100" t="s">
        <v>32</v>
      </c>
      <c r="F35" s="110" t="n">
        <v>0</v>
      </c>
      <c r="G35" s="110" t="n">
        <v>0</v>
      </c>
      <c r="H35" s="110" t="n">
        <v>200</v>
      </c>
      <c r="I35" s="110" t="n">
        <v>30</v>
      </c>
      <c r="J35" s="110" t="n">
        <v>0</v>
      </c>
      <c r="K35" s="110" t="n">
        <v>121</v>
      </c>
      <c r="L35" s="110" t="n">
        <v>0</v>
      </c>
      <c r="M35" s="110" t="n">
        <v>100</v>
      </c>
      <c r="N35" s="110" t="n">
        <v>122</v>
      </c>
      <c r="O35" s="110" t="n">
        <v>153</v>
      </c>
      <c r="P35" s="110" t="n">
        <v>570</v>
      </c>
      <c r="Q35" s="110" t="n">
        <v>63</v>
      </c>
      <c r="R35" s="110" t="n">
        <f aca="false">SUM(F35:Q35)</f>
        <v>1359</v>
      </c>
    </row>
    <row r="36" customFormat="false" ht="15" hidden="false" customHeight="true" outlineLevel="0" collapsed="false">
      <c r="D36" s="100" t="s">
        <v>78</v>
      </c>
      <c r="F36" s="110" t="n">
        <v>106</v>
      </c>
      <c r="G36" s="110" t="n">
        <v>1330</v>
      </c>
      <c r="H36" s="110" t="n">
        <v>2320</v>
      </c>
      <c r="I36" s="110" t="n">
        <v>-552</v>
      </c>
      <c r="J36" s="110" t="n">
        <v>610</v>
      </c>
      <c r="K36" s="110" t="n">
        <v>2690</v>
      </c>
      <c r="L36" s="110" t="n">
        <v>-772</v>
      </c>
      <c r="M36" s="110" t="n">
        <v>580</v>
      </c>
      <c r="N36" s="110" t="n">
        <v>3860</v>
      </c>
      <c r="O36" s="110" t="n">
        <v>1116</v>
      </c>
      <c r="P36" s="110" t="n">
        <v>1629</v>
      </c>
      <c r="Q36" s="110" t="n">
        <v>-7853</v>
      </c>
      <c r="R36" s="110" t="n">
        <f aca="false">SUM(F36:Q36)</f>
        <v>5064</v>
      </c>
    </row>
    <row r="37" customFormat="false" ht="15" hidden="false" customHeight="true" outlineLevel="0" collapsed="false">
      <c r="D37" s="1" t="s">
        <v>79</v>
      </c>
      <c r="F37" s="110" t="n">
        <v>59232</v>
      </c>
      <c r="G37" s="110" t="n">
        <v>50658</v>
      </c>
      <c r="H37" s="110" t="n">
        <v>64150</v>
      </c>
      <c r="I37" s="110" t="n">
        <v>64067</v>
      </c>
      <c r="J37" s="110" t="n">
        <v>74226</v>
      </c>
      <c r="K37" s="110" t="n">
        <v>62917</v>
      </c>
      <c r="L37" s="110" t="n">
        <v>67468</v>
      </c>
      <c r="M37" s="110" t="n">
        <v>65960</v>
      </c>
      <c r="N37" s="110" t="n">
        <v>67162</v>
      </c>
      <c r="O37" s="110" t="n">
        <v>74512</v>
      </c>
      <c r="P37" s="110" t="n">
        <v>64347</v>
      </c>
      <c r="Q37" s="110" t="n">
        <v>87723</v>
      </c>
      <c r="R37" s="110" t="n">
        <f aca="false">SUM(F37:Q37)</f>
        <v>802422</v>
      </c>
    </row>
    <row r="38" customFormat="false" ht="15" hidden="false" customHeight="true" outlineLevel="0" collapsed="false"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</row>
    <row r="39" customFormat="false" ht="15" hidden="false" customHeight="true" outlineLevel="0" collapsed="false">
      <c r="B39" s="107" t="s">
        <v>35</v>
      </c>
      <c r="C39" s="107"/>
      <c r="D39" s="107"/>
      <c r="E39" s="107"/>
      <c r="F39" s="112" t="n">
        <f aca="false">+F9-F29</f>
        <v>-38054</v>
      </c>
      <c r="G39" s="112" t="n">
        <f aca="false">+G9-G29</f>
        <v>-28993</v>
      </c>
      <c r="H39" s="112" t="n">
        <f aca="false">+H9-H29</f>
        <v>-52639</v>
      </c>
      <c r="I39" s="112" t="n">
        <f aca="false">+I9-I29</f>
        <v>7904</v>
      </c>
      <c r="J39" s="112" t="n">
        <f aca="false">+J9-J29</f>
        <v>-11384</v>
      </c>
      <c r="K39" s="112" t="n">
        <f aca="false">+K9-K29</f>
        <v>-30247</v>
      </c>
      <c r="L39" s="112" t="n">
        <f aca="false">+L9-L29</f>
        <v>-34630</v>
      </c>
      <c r="M39" s="112" t="n">
        <f aca="false">+M9-M29</f>
        <v>-21981</v>
      </c>
      <c r="N39" s="112" t="n">
        <f aca="false">+N9-N29</f>
        <v>-27512</v>
      </c>
      <c r="O39" s="112" t="n">
        <f aca="false">+O9-O29</f>
        <v>-28545</v>
      </c>
      <c r="P39" s="112" t="n">
        <f aca="false">+P9-P29</f>
        <v>-6442</v>
      </c>
      <c r="Q39" s="112" t="n">
        <f aca="false">+Q9-Q29</f>
        <v>-26009</v>
      </c>
      <c r="R39" s="112" t="n">
        <f aca="false">SUM(F39:Q39)</f>
        <v>-298532</v>
      </c>
    </row>
    <row r="40" customFormat="false" ht="15" hidden="false" customHeight="true" outlineLevel="0" collapsed="false"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</row>
    <row r="41" customFormat="false" ht="15" hidden="false" customHeight="true" outlineLevel="0" collapsed="false">
      <c r="B41" s="107" t="s">
        <v>36</v>
      </c>
      <c r="C41" s="107"/>
      <c r="D41" s="107"/>
      <c r="E41" s="107"/>
      <c r="F41" s="108" t="n">
        <v>61046</v>
      </c>
      <c r="G41" s="108" t="n">
        <v>-37602</v>
      </c>
      <c r="H41" s="108" t="n">
        <v>6047</v>
      </c>
      <c r="I41" s="108" t="n">
        <v>18870</v>
      </c>
      <c r="J41" s="108" t="n">
        <v>382</v>
      </c>
      <c r="K41" s="108" t="n">
        <v>-28328</v>
      </c>
      <c r="L41" s="108" t="n">
        <v>6581</v>
      </c>
      <c r="M41" s="108" t="n">
        <v>-42144</v>
      </c>
      <c r="N41" s="108" t="n">
        <v>122526</v>
      </c>
      <c r="O41" s="108" t="n">
        <v>88469</v>
      </c>
      <c r="P41" s="108" t="n">
        <v>12263</v>
      </c>
      <c r="Q41" s="108" t="n">
        <v>21733</v>
      </c>
      <c r="R41" s="108" t="n">
        <v>229843</v>
      </c>
    </row>
    <row r="42" customFormat="false" ht="15" hidden="false" customHeight="true" outlineLevel="0" collapsed="false">
      <c r="C42" s="100" t="s">
        <v>37</v>
      </c>
      <c r="F42" s="109" t="n">
        <v>69873</v>
      </c>
      <c r="G42" s="109" t="n">
        <v>10383</v>
      </c>
      <c r="H42" s="109" t="n">
        <v>-45332</v>
      </c>
      <c r="I42" s="109" t="n">
        <v>3248</v>
      </c>
      <c r="J42" s="109" t="n">
        <v>-2660</v>
      </c>
      <c r="K42" s="109" t="n">
        <v>-3973</v>
      </c>
      <c r="L42" s="109" t="n">
        <v>34927</v>
      </c>
      <c r="M42" s="109" t="n">
        <v>-5402</v>
      </c>
      <c r="N42" s="109" t="n">
        <v>19748</v>
      </c>
      <c r="O42" s="109" t="n">
        <v>58693</v>
      </c>
      <c r="P42" s="109" t="n">
        <v>5725</v>
      </c>
      <c r="Q42" s="109" t="n">
        <v>7247</v>
      </c>
      <c r="R42" s="109" t="n">
        <v>152477</v>
      </c>
    </row>
    <row r="43" customFormat="false" ht="15" hidden="false" customHeight="true" outlineLevel="0" collapsed="false">
      <c r="D43" s="100" t="s">
        <v>38</v>
      </c>
      <c r="F43" s="110" t="n">
        <v>72127</v>
      </c>
      <c r="G43" s="110" t="n">
        <v>17260</v>
      </c>
      <c r="H43" s="110" t="n">
        <v>6299</v>
      </c>
      <c r="I43" s="110" t="n">
        <v>5048</v>
      </c>
      <c r="J43" s="110" t="n">
        <v>712</v>
      </c>
      <c r="K43" s="110" t="n">
        <v>1745</v>
      </c>
      <c r="L43" s="110" t="n">
        <v>37156</v>
      </c>
      <c r="M43" s="110" t="n">
        <v>1657</v>
      </c>
      <c r="N43" s="110" t="n">
        <v>26169</v>
      </c>
      <c r="O43" s="110" t="n">
        <v>61415</v>
      </c>
      <c r="P43" s="110" t="n">
        <v>8865</v>
      </c>
      <c r="Q43" s="110" t="n">
        <v>12913</v>
      </c>
      <c r="R43" s="110" t="n">
        <v>251366</v>
      </c>
    </row>
    <row r="44" customFormat="false" ht="15" hidden="false" customHeight="true" outlineLevel="0" collapsed="false">
      <c r="D44" s="100" t="s">
        <v>97</v>
      </c>
      <c r="F44" s="110" t="n">
        <v>2254</v>
      </c>
      <c r="G44" s="110" t="n">
        <v>6877</v>
      </c>
      <c r="H44" s="110" t="n">
        <v>51631</v>
      </c>
      <c r="I44" s="110" t="n">
        <v>1800</v>
      </c>
      <c r="J44" s="110" t="n">
        <v>3372</v>
      </c>
      <c r="K44" s="110" t="n">
        <v>5718</v>
      </c>
      <c r="L44" s="110" t="n">
        <v>2229</v>
      </c>
      <c r="M44" s="110" t="n">
        <v>7059</v>
      </c>
      <c r="N44" s="110" t="n">
        <v>6421</v>
      </c>
      <c r="O44" s="110" t="n">
        <v>2722</v>
      </c>
      <c r="P44" s="110" t="n">
        <v>3140</v>
      </c>
      <c r="Q44" s="110" t="n">
        <v>5666</v>
      </c>
      <c r="R44" s="110" t="n">
        <v>98889</v>
      </c>
    </row>
    <row r="45" customFormat="false" ht="15" hidden="false" customHeight="true" outlineLevel="0" collapsed="false"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</row>
    <row r="46" customFormat="false" ht="15" hidden="false" customHeight="true" outlineLevel="0" collapsed="false">
      <c r="C46" s="100" t="s">
        <v>40</v>
      </c>
      <c r="F46" s="109" t="n">
        <v>-8827</v>
      </c>
      <c r="G46" s="109" t="n">
        <v>-47985</v>
      </c>
      <c r="H46" s="109" t="n">
        <v>51379</v>
      </c>
      <c r="I46" s="109" t="n">
        <v>15622</v>
      </c>
      <c r="J46" s="109" t="n">
        <v>3042</v>
      </c>
      <c r="K46" s="109" t="n">
        <v>-24355</v>
      </c>
      <c r="L46" s="109" t="n">
        <v>-28346</v>
      </c>
      <c r="M46" s="109" t="n">
        <v>-36742</v>
      </c>
      <c r="N46" s="109" t="n">
        <v>102778</v>
      </c>
      <c r="O46" s="109" t="n">
        <v>29776</v>
      </c>
      <c r="P46" s="109" t="n">
        <v>6538</v>
      </c>
      <c r="Q46" s="109" t="n">
        <v>14486</v>
      </c>
      <c r="R46" s="109" t="n">
        <v>77366</v>
      </c>
    </row>
    <row r="47" customFormat="false" ht="15" hidden="false" customHeight="true" outlineLevel="0" collapsed="false">
      <c r="D47" s="100" t="s">
        <v>41</v>
      </c>
      <c r="F47" s="110" t="n">
        <v>1937</v>
      </c>
      <c r="G47" s="110" t="n">
        <v>24121</v>
      </c>
      <c r="H47" s="110" t="n">
        <v>92977</v>
      </c>
      <c r="I47" s="110" t="n">
        <v>26619</v>
      </c>
      <c r="J47" s="110" t="n">
        <v>11489</v>
      </c>
      <c r="K47" s="110" t="n">
        <v>-23157</v>
      </c>
      <c r="L47" s="110" t="n">
        <v>1901</v>
      </c>
      <c r="M47" s="110" t="n">
        <v>-8740</v>
      </c>
      <c r="N47" s="110" t="n">
        <v>125791</v>
      </c>
      <c r="O47" s="110" t="n">
        <v>38633</v>
      </c>
      <c r="P47" s="110" t="n">
        <v>10994</v>
      </c>
      <c r="Q47" s="110" t="n">
        <v>19333</v>
      </c>
      <c r="R47" s="110" t="n">
        <v>321898</v>
      </c>
    </row>
    <row r="48" customFormat="false" ht="15" hidden="false" customHeight="true" outlineLevel="0" collapsed="false">
      <c r="D48" s="100" t="s">
        <v>97</v>
      </c>
      <c r="F48" s="110" t="n">
        <v>10764</v>
      </c>
      <c r="G48" s="110" t="n">
        <v>72106</v>
      </c>
      <c r="H48" s="110" t="n">
        <v>41598</v>
      </c>
      <c r="I48" s="110" t="n">
        <v>10997</v>
      </c>
      <c r="J48" s="110" t="n">
        <v>8447</v>
      </c>
      <c r="K48" s="110" t="n">
        <v>1198</v>
      </c>
      <c r="L48" s="110" t="n">
        <v>30247</v>
      </c>
      <c r="M48" s="110" t="n">
        <v>28002</v>
      </c>
      <c r="N48" s="110" t="n">
        <v>23013</v>
      </c>
      <c r="O48" s="110" t="n">
        <v>8857</v>
      </c>
      <c r="P48" s="110" t="n">
        <v>4456</v>
      </c>
      <c r="Q48" s="110" t="n">
        <v>4847</v>
      </c>
      <c r="R48" s="110" t="n">
        <v>244532</v>
      </c>
    </row>
    <row r="49" customFormat="false" ht="15" hidden="false" customHeight="true" outlineLevel="0" collapsed="false"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</row>
    <row r="50" customFormat="false" ht="15" hidden="false" customHeight="true" outlineLevel="0" collapsed="false">
      <c r="B50" s="107" t="s">
        <v>45</v>
      </c>
      <c r="C50" s="107"/>
      <c r="D50" s="107"/>
      <c r="E50" s="107"/>
      <c r="F50" s="108" t="n">
        <v>18301</v>
      </c>
      <c r="G50" s="108" t="n">
        <v>-113297</v>
      </c>
      <c r="H50" s="108" t="n">
        <v>-51319</v>
      </c>
      <c r="I50" s="108" t="n">
        <v>18193</v>
      </c>
      <c r="J50" s="108" t="n">
        <v>-34646</v>
      </c>
      <c r="K50" s="108" t="n">
        <v>-29947</v>
      </c>
      <c r="L50" s="108" t="n">
        <v>15831</v>
      </c>
      <c r="M50" s="108" t="n">
        <v>-30544</v>
      </c>
      <c r="N50" s="108" t="n">
        <v>95139</v>
      </c>
      <c r="O50" s="108" t="n">
        <v>34046</v>
      </c>
      <c r="P50" s="108" t="n">
        <v>-25143</v>
      </c>
      <c r="Q50" s="108" t="n">
        <v>37359</v>
      </c>
      <c r="R50" s="108" t="n">
        <v>-66027</v>
      </c>
    </row>
    <row r="51" customFormat="false" ht="15" hidden="false" customHeight="false" outlineLevel="0" collapsed="false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</row>
    <row r="52" customFormat="false" ht="15" hidden="false" customHeight="false" outlineLevel="0" collapsed="false">
      <c r="B52" s="103" t="s">
        <v>46</v>
      </c>
    </row>
    <row r="53" customFormat="false" ht="14.25" hidden="false" customHeight="false" outlineLevel="0" collapsed="false">
      <c r="B53" s="103"/>
      <c r="C53" s="31" t="s">
        <v>98</v>
      </c>
    </row>
    <row r="54" customFormat="false" ht="14.25" hidden="false" customHeight="false" outlineLevel="0" collapsed="false">
      <c r="B54" s="31"/>
      <c r="C54" s="31" t="s">
        <v>99</v>
      </c>
    </row>
    <row r="57" customFormat="false" ht="14.25" hidden="false" customHeight="false" outlineLevel="0" collapsed="false">
      <c r="B57" s="31" t="s">
        <v>51</v>
      </c>
    </row>
    <row r="58" customFormat="false" ht="14.25" hidden="false" customHeight="false" outlineLevel="0" collapsed="false">
      <c r="B58" s="31" t="s">
        <v>106</v>
      </c>
    </row>
  </sheetData>
  <mergeCells count="1">
    <mergeCell ref="A7:E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33.42"/>
    <col collapsed="false" customWidth="false" hidden="false" outlineLevel="0" max="6" min="6" style="100" width="9.14"/>
    <col collapsed="false" customWidth="true" hidden="false" outlineLevel="0" max="7" min="7" style="100" width="9.85"/>
    <col collapsed="false" customWidth="false" hidden="false" outlineLevel="0" max="17" min="8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B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116</v>
      </c>
      <c r="B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B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3</v>
      </c>
      <c r="B4" s="102"/>
    </row>
    <row r="5" customFormat="false" ht="6" hidden="false" customHeight="true" outlineLevel="0" collapsed="false"/>
    <row r="6" s="31" customFormat="true" ht="21.75" hidden="false" customHeight="true" outlineLevel="0" collapsed="false">
      <c r="A6" s="126" t="s">
        <v>4</v>
      </c>
      <c r="B6" s="126"/>
      <c r="C6" s="126"/>
      <c r="D6" s="126"/>
      <c r="E6" s="126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55</v>
      </c>
      <c r="O6" s="105" t="s">
        <v>56</v>
      </c>
      <c r="P6" s="105" t="s">
        <v>57</v>
      </c>
      <c r="Q6" s="105" t="s">
        <v>58</v>
      </c>
      <c r="R6" s="105" t="s">
        <v>11</v>
      </c>
      <c r="S6" s="137"/>
    </row>
    <row r="7" customFormat="false" ht="15" hidden="false" customHeight="true" outlineLevel="0" collapsed="false">
      <c r="O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78466</v>
      </c>
      <c r="G8" s="108" t="n">
        <f aca="false">G9+G19+G26</f>
        <v>80965</v>
      </c>
      <c r="H8" s="108" t="n">
        <f aca="false">H9+H19+H26</f>
        <v>75928</v>
      </c>
      <c r="I8" s="108" t="n">
        <f aca="false">I9+I19+I26</f>
        <v>116581</v>
      </c>
      <c r="J8" s="108" t="n">
        <f aca="false">J9+J19+J26</f>
        <v>104212</v>
      </c>
      <c r="K8" s="108" t="n">
        <f aca="false">K9+K19+K26</f>
        <v>89550</v>
      </c>
      <c r="L8" s="108" t="n">
        <f aca="false">L9+L19+L26</f>
        <v>98398</v>
      </c>
      <c r="M8" s="108" t="n">
        <f aca="false">M9+M19+M26</f>
        <v>95012</v>
      </c>
      <c r="N8" s="108" t="n">
        <f aca="false">N9+N19+N26</f>
        <v>100695</v>
      </c>
      <c r="O8" s="108" t="n">
        <f aca="false">O9+O19+O26</f>
        <v>85581</v>
      </c>
      <c r="P8" s="108" t="n">
        <f aca="false">P9+P19+P26</f>
        <v>96282</v>
      </c>
      <c r="Q8" s="108" t="n">
        <f aca="false">Q9+Q19+Q26</f>
        <v>101541</v>
      </c>
      <c r="R8" s="108" t="n">
        <f aca="false">R9+R19+R26</f>
        <v>1123211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70259</v>
      </c>
      <c r="G9" s="109" t="n">
        <f aca="false">G10+G14+G17</f>
        <v>62328</v>
      </c>
      <c r="H9" s="109" t="n">
        <f aca="false">H10+H14+H17</f>
        <v>68157</v>
      </c>
      <c r="I9" s="109" t="n">
        <f aca="false">I10+I14+I17</f>
        <v>109544</v>
      </c>
      <c r="J9" s="109" t="n">
        <f aca="false">J10+J14+J17</f>
        <v>94462</v>
      </c>
      <c r="K9" s="109" t="n">
        <f aca="false">K10+K14+K17</f>
        <v>81649</v>
      </c>
      <c r="L9" s="109" t="n">
        <f aca="false">L10+L14+L17</f>
        <v>82771</v>
      </c>
      <c r="M9" s="109" t="n">
        <f aca="false">M10+M14+M17</f>
        <v>86963</v>
      </c>
      <c r="N9" s="109" t="n">
        <f aca="false">N10+N14+N17</f>
        <v>75440</v>
      </c>
      <c r="O9" s="109" t="n">
        <f aca="false">O10+O14+O17</f>
        <v>74369</v>
      </c>
      <c r="P9" s="109" t="n">
        <f aca="false">P10+P14+P17</f>
        <v>87880</v>
      </c>
      <c r="Q9" s="109" t="n">
        <f aca="false">Q10+Q14+Q17</f>
        <v>87809</v>
      </c>
      <c r="R9" s="109" t="n">
        <f aca="false">R10+R14+R17</f>
        <v>981631</v>
      </c>
    </row>
    <row r="10" customFormat="false" ht="15" hidden="false" customHeight="true" outlineLevel="0" collapsed="false">
      <c r="D10" s="100" t="s">
        <v>14</v>
      </c>
      <c r="F10" s="110" t="n">
        <v>55230</v>
      </c>
      <c r="G10" s="110" t="n">
        <v>47405</v>
      </c>
      <c r="H10" s="110" t="n">
        <v>52136</v>
      </c>
      <c r="I10" s="110" t="n">
        <v>87076</v>
      </c>
      <c r="J10" s="110" t="n">
        <v>73338</v>
      </c>
      <c r="K10" s="110" t="n">
        <v>60427</v>
      </c>
      <c r="L10" s="110" t="n">
        <v>57606</v>
      </c>
      <c r="M10" s="110" t="n">
        <v>67580</v>
      </c>
      <c r="N10" s="110" t="n">
        <v>56237</v>
      </c>
      <c r="O10" s="110" t="n">
        <v>54920</v>
      </c>
      <c r="P10" s="110" t="n">
        <v>69958</v>
      </c>
      <c r="Q10" s="110" t="n">
        <v>68374</v>
      </c>
      <c r="R10" s="110" t="n">
        <v>750287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1396</v>
      </c>
      <c r="H12" s="110" t="n">
        <v>1106</v>
      </c>
      <c r="I12" s="110" t="n">
        <v>565</v>
      </c>
      <c r="J12" s="110" t="n">
        <v>400</v>
      </c>
      <c r="K12" s="110" t="n">
        <v>319</v>
      </c>
      <c r="L12" s="110" t="n">
        <v>0</v>
      </c>
      <c r="M12" s="110" t="n">
        <v>0</v>
      </c>
      <c r="N12" s="110" t="n">
        <v>1068</v>
      </c>
      <c r="O12" s="110" t="n">
        <v>45</v>
      </c>
      <c r="P12" s="110" t="n">
        <v>18</v>
      </c>
      <c r="Q12" s="110" t="n">
        <v>1800</v>
      </c>
      <c r="R12" s="110" t="n">
        <v>6717</v>
      </c>
    </row>
    <row r="13" customFormat="false" ht="15" hidden="false" customHeight="true" outlineLevel="0" collapsed="false">
      <c r="E13" s="100" t="s">
        <v>17</v>
      </c>
      <c r="F13" s="110" t="n">
        <v>0</v>
      </c>
      <c r="G13" s="110" t="n">
        <v>0</v>
      </c>
      <c r="H13" s="110" t="n">
        <v>3573</v>
      </c>
      <c r="I13" s="110" t="n">
        <v>0</v>
      </c>
      <c r="J13" s="110" t="n">
        <v>2842</v>
      </c>
      <c r="K13" s="110" t="n">
        <v>8847</v>
      </c>
      <c r="L13" s="110" t="n">
        <v>43</v>
      </c>
      <c r="M13" s="110" t="n">
        <v>922</v>
      </c>
      <c r="N13" s="110" t="n">
        <v>1417</v>
      </c>
      <c r="O13" s="110" t="n">
        <v>181</v>
      </c>
      <c r="P13" s="110" t="n">
        <v>481</v>
      </c>
      <c r="Q13" s="110" t="n">
        <v>4780</v>
      </c>
      <c r="R13" s="110" t="n">
        <v>23086</v>
      </c>
    </row>
    <row r="14" customFormat="false" ht="15" hidden="false" customHeight="true" outlineLevel="0" collapsed="false">
      <c r="D14" s="100" t="s">
        <v>18</v>
      </c>
      <c r="F14" s="110" t="n">
        <v>14404</v>
      </c>
      <c r="G14" s="110" t="n">
        <v>13850</v>
      </c>
      <c r="H14" s="110" t="n">
        <v>14861</v>
      </c>
      <c r="I14" s="110" t="n">
        <v>21615</v>
      </c>
      <c r="J14" s="110" t="n">
        <v>19799</v>
      </c>
      <c r="K14" s="110" t="n">
        <v>20282</v>
      </c>
      <c r="L14" s="110" t="n">
        <v>24154</v>
      </c>
      <c r="M14" s="110" t="n">
        <v>18176</v>
      </c>
      <c r="N14" s="110" t="n">
        <v>18255</v>
      </c>
      <c r="O14" s="110" t="n">
        <v>18548</v>
      </c>
      <c r="P14" s="110" t="n">
        <v>17503</v>
      </c>
      <c r="Q14" s="110" t="n">
        <v>18860</v>
      </c>
      <c r="R14" s="110" t="n">
        <v>220307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1</v>
      </c>
      <c r="G16" s="110" t="n">
        <v>0</v>
      </c>
      <c r="H16" s="110" t="n">
        <v>0</v>
      </c>
      <c r="I16" s="110" t="n">
        <v>5545</v>
      </c>
      <c r="J16" s="110" t="n">
        <v>3924</v>
      </c>
      <c r="K16" s="110" t="n">
        <v>4312</v>
      </c>
      <c r="L16" s="110" t="n">
        <v>5253</v>
      </c>
      <c r="M16" s="110" t="n">
        <v>1592</v>
      </c>
      <c r="N16" s="110" t="n">
        <v>565</v>
      </c>
      <c r="O16" s="110" t="n">
        <v>60</v>
      </c>
      <c r="P16" s="110" t="n">
        <v>737</v>
      </c>
      <c r="Q16" s="110" t="n">
        <v>156</v>
      </c>
      <c r="R16" s="110" t="n">
        <v>22145</v>
      </c>
    </row>
    <row r="17" customFormat="false" ht="15" hidden="false" customHeight="true" outlineLevel="0" collapsed="false">
      <c r="D17" s="100" t="s">
        <v>105</v>
      </c>
      <c r="F17" s="110" t="n">
        <v>625</v>
      </c>
      <c r="G17" s="110" t="n">
        <v>1073</v>
      </c>
      <c r="H17" s="110" t="n">
        <v>1160</v>
      </c>
      <c r="I17" s="110" t="n">
        <v>853</v>
      </c>
      <c r="J17" s="110" t="n">
        <v>1325</v>
      </c>
      <c r="K17" s="110" t="n">
        <v>940</v>
      </c>
      <c r="L17" s="110" t="n">
        <v>1011</v>
      </c>
      <c r="M17" s="110" t="n">
        <v>1207</v>
      </c>
      <c r="N17" s="110" t="n">
        <v>948</v>
      </c>
      <c r="O17" s="110" t="n">
        <v>901</v>
      </c>
      <c r="P17" s="110" t="n">
        <v>419</v>
      </c>
      <c r="Q17" s="110" t="n">
        <v>575</v>
      </c>
      <c r="R17" s="110" t="n">
        <v>11037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8201</v>
      </c>
      <c r="G19" s="109" t="n">
        <f aca="false">SUM(G20:G24)</f>
        <v>18635</v>
      </c>
      <c r="H19" s="109" t="n">
        <f aca="false">SUM(H20:H24)</f>
        <v>7771</v>
      </c>
      <c r="I19" s="109" t="n">
        <f aca="false">SUM(I20:I24)</f>
        <v>7037</v>
      </c>
      <c r="J19" s="109" t="n">
        <f aca="false">SUM(J20:J24)</f>
        <v>9724</v>
      </c>
      <c r="K19" s="109" t="n">
        <f aca="false">SUM(K20:K24)</f>
        <v>7853</v>
      </c>
      <c r="L19" s="109" t="n">
        <f aca="false">SUM(L20:L24)</f>
        <v>15622</v>
      </c>
      <c r="M19" s="109" t="n">
        <f aca="false">SUM(M20:M24)</f>
        <v>8049</v>
      </c>
      <c r="N19" s="109" t="n">
        <f aca="false">SUM(N20:N24)</f>
        <v>25255</v>
      </c>
      <c r="O19" s="109" t="n">
        <f aca="false">SUM(O20:O24)</f>
        <v>11211</v>
      </c>
      <c r="P19" s="109" t="n">
        <f aca="false">SUM(P20:P24)</f>
        <v>8402</v>
      </c>
      <c r="Q19" s="109" t="n">
        <f aca="false">SUM(Q20:Q24)</f>
        <v>13629</v>
      </c>
      <c r="R19" s="109" t="n">
        <f aca="false">SUM(R20:R24)</f>
        <v>141389</v>
      </c>
    </row>
    <row r="20" customFormat="false" ht="15" hidden="false" customHeight="true" outlineLevel="0" collapsed="false">
      <c r="D20" s="100" t="s">
        <v>21</v>
      </c>
      <c r="F20" s="110" t="n">
        <v>5107</v>
      </c>
      <c r="G20" s="110" t="n">
        <v>11723</v>
      </c>
      <c r="H20" s="110" t="n">
        <v>3828</v>
      </c>
      <c r="I20" s="110" t="n">
        <v>3752</v>
      </c>
      <c r="J20" s="110" t="n">
        <v>3504</v>
      </c>
      <c r="K20" s="110" t="n">
        <v>2211</v>
      </c>
      <c r="L20" s="110" t="n">
        <v>12586</v>
      </c>
      <c r="M20" s="110" t="n">
        <v>3481</v>
      </c>
      <c r="N20" s="110" t="n">
        <v>6047</v>
      </c>
      <c r="O20" s="110" t="n">
        <v>4082</v>
      </c>
      <c r="P20" s="110" t="n">
        <v>4178</v>
      </c>
      <c r="Q20" s="110" t="n">
        <v>9413</v>
      </c>
      <c r="R20" s="110" t="n">
        <f aca="false">SUM(F20:Q20)</f>
        <v>69912</v>
      </c>
    </row>
    <row r="21" customFormat="false" ht="15" hidden="false" customHeight="true" outlineLevel="0" collapsed="false">
      <c r="D21" s="100" t="s">
        <v>23</v>
      </c>
      <c r="F21" s="110" t="n">
        <v>268</v>
      </c>
      <c r="G21" s="110" t="n">
        <v>106</v>
      </c>
      <c r="H21" s="110" t="n">
        <v>114</v>
      </c>
      <c r="I21" s="110" t="n">
        <v>17</v>
      </c>
      <c r="J21" s="110" t="n">
        <v>10</v>
      </c>
      <c r="K21" s="110" t="n">
        <v>10</v>
      </c>
      <c r="L21" s="110" t="n">
        <v>139</v>
      </c>
      <c r="M21" s="110" t="n">
        <v>122</v>
      </c>
      <c r="N21" s="110" t="n">
        <v>304</v>
      </c>
      <c r="O21" s="110" t="n">
        <v>1</v>
      </c>
      <c r="P21" s="110" t="n">
        <v>0</v>
      </c>
      <c r="Q21" s="110" t="n">
        <v>299</v>
      </c>
      <c r="R21" s="110" t="n">
        <f aca="false">SUM(F21:Q21)</f>
        <v>1390</v>
      </c>
      <c r="T21" s="110"/>
    </row>
    <row r="22" customFormat="false" ht="15" hidden="false" customHeight="true" outlineLevel="0" collapsed="false">
      <c r="D22" s="100" t="s">
        <v>112</v>
      </c>
      <c r="F22" s="110" t="n">
        <v>1398</v>
      </c>
      <c r="G22" s="110" t="n">
        <v>1511</v>
      </c>
      <c r="H22" s="110" t="n">
        <v>2130</v>
      </c>
      <c r="I22" s="110" t="n">
        <v>1218</v>
      </c>
      <c r="J22" s="110" t="n">
        <v>1475</v>
      </c>
      <c r="K22" s="110" t="n">
        <v>1739</v>
      </c>
      <c r="L22" s="110" t="n">
        <v>1617</v>
      </c>
      <c r="M22" s="110" t="n">
        <v>1368</v>
      </c>
      <c r="N22" s="110" t="n">
        <v>1435</v>
      </c>
      <c r="O22" s="110" t="n">
        <v>2914</v>
      </c>
      <c r="P22" s="110" t="n">
        <v>1272</v>
      </c>
      <c r="Q22" s="110" t="n">
        <v>1176</v>
      </c>
      <c r="R22" s="110" t="n">
        <f aca="false">SUM(F22:Q22)</f>
        <v>19253</v>
      </c>
      <c r="T22" s="110"/>
    </row>
    <row r="23" customFormat="false" ht="15" hidden="false" customHeight="true" outlineLevel="0" collapsed="false">
      <c r="D23" s="100" t="s">
        <v>24</v>
      </c>
      <c r="F23" s="110" t="n">
        <v>677.59</v>
      </c>
      <c r="G23" s="110" t="n">
        <v>3955.744</v>
      </c>
      <c r="H23" s="110" t="n">
        <v>598.631</v>
      </c>
      <c r="I23" s="110" t="n">
        <v>850.296</v>
      </c>
      <c r="J23" s="110" t="n">
        <v>4375.48</v>
      </c>
      <c r="K23" s="110" t="n">
        <v>2026.287</v>
      </c>
      <c r="L23" s="110" t="n">
        <v>1340.167</v>
      </c>
      <c r="M23" s="110" t="n">
        <v>2122.878</v>
      </c>
      <c r="N23" s="110" t="n">
        <v>15974.852</v>
      </c>
      <c r="O23" s="110" t="n">
        <v>1881.151</v>
      </c>
      <c r="P23" s="110" t="n">
        <v>1802.602</v>
      </c>
      <c r="Q23" s="110" t="n">
        <v>1852.705</v>
      </c>
      <c r="R23" s="110" t="n">
        <f aca="false">SUM(F23:Q23)</f>
        <v>37458.383</v>
      </c>
    </row>
    <row r="24" customFormat="false" ht="15" hidden="false" customHeight="true" outlineLevel="0" collapsed="false">
      <c r="D24" s="100" t="s">
        <v>105</v>
      </c>
      <c r="F24" s="110" t="n">
        <f aca="false">2826-F23-F22</f>
        <v>750.41</v>
      </c>
      <c r="G24" s="110" t="n">
        <f aca="false">6806-G23-G22</f>
        <v>1339.256</v>
      </c>
      <c r="H24" s="110" t="n">
        <f aca="false">3829-H23-H22</f>
        <v>1100.369</v>
      </c>
      <c r="I24" s="110" t="n">
        <f aca="false">3268-I23-I22</f>
        <v>1199.704</v>
      </c>
      <c r="J24" s="110" t="n">
        <f aca="false">6210-J23-J22</f>
        <v>359.52</v>
      </c>
      <c r="K24" s="110" t="n">
        <f aca="false">5632-K23-K22</f>
        <v>1866.713</v>
      </c>
      <c r="L24" s="138" t="n">
        <f aca="false">2897-L23-L22</f>
        <v>-60.1669999999999</v>
      </c>
      <c r="M24" s="110" t="n">
        <f aca="false">4446-M23-M22</f>
        <v>955.122</v>
      </c>
      <c r="N24" s="110" t="n">
        <f aca="false">18904-N23-N22</f>
        <v>1494.148</v>
      </c>
      <c r="O24" s="110" t="n">
        <f aca="false">7128-O23-O22</f>
        <v>2332.849</v>
      </c>
      <c r="P24" s="110" t="n">
        <f aca="false">4224-P23-P22</f>
        <v>1149.398</v>
      </c>
      <c r="Q24" s="110" t="n">
        <f aca="false">3917-Q23-Q22</f>
        <v>888.295</v>
      </c>
      <c r="R24" s="110" t="n">
        <f aca="false">SUM(F24:Q24)</f>
        <v>13375.617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6</v>
      </c>
      <c r="G26" s="110" t="n">
        <v>2</v>
      </c>
      <c r="H26" s="110" t="n">
        <v>0</v>
      </c>
      <c r="I26" s="110" t="n">
        <v>0</v>
      </c>
      <c r="J26" s="110" t="n">
        <v>26</v>
      </c>
      <c r="K26" s="110" t="n">
        <v>48</v>
      </c>
      <c r="L26" s="110" t="n">
        <v>5</v>
      </c>
      <c r="M26" s="110" t="n">
        <v>0</v>
      </c>
      <c r="N26" s="110" t="n">
        <v>0</v>
      </c>
      <c r="O26" s="110" t="n">
        <v>1</v>
      </c>
      <c r="P26" s="110" t="n">
        <v>0</v>
      </c>
      <c r="Q26" s="110" t="n">
        <v>103</v>
      </c>
      <c r="R26" s="110" t="n">
        <v>191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116520</v>
      </c>
      <c r="G28" s="108" t="n">
        <f aca="false">SUM(G30:G36)</f>
        <v>109958</v>
      </c>
      <c r="H28" s="108" t="n">
        <f aca="false">SUM(H30:H36)</f>
        <v>128567</v>
      </c>
      <c r="I28" s="108" t="n">
        <f aca="false">SUM(I30:I36)</f>
        <v>108677</v>
      </c>
      <c r="J28" s="108" t="n">
        <f aca="false">SUM(J30:J36)</f>
        <v>115596</v>
      </c>
      <c r="K28" s="108" t="n">
        <f aca="false">SUM(K30:K36)</f>
        <v>119797</v>
      </c>
      <c r="L28" s="108" t="n">
        <f aca="false">SUM(L30:L36)</f>
        <v>133028</v>
      </c>
      <c r="M28" s="108" t="n">
        <f aca="false">SUM(M30:M36)</f>
        <v>116993</v>
      </c>
      <c r="N28" s="108" t="n">
        <f aca="false">SUM(N30:N36)</f>
        <v>128207</v>
      </c>
      <c r="O28" s="108" t="n">
        <f aca="false">SUM(O30:O36)</f>
        <v>114126</v>
      </c>
      <c r="P28" s="108" t="n">
        <f aca="false">SUM(P30:P36)</f>
        <v>102724</v>
      </c>
      <c r="Q28" s="108" t="n">
        <f aca="false">SUM(Q30:Q36)</f>
        <v>127550</v>
      </c>
      <c r="R28" s="108" t="n">
        <f aca="false">SUM(F28:Q28)</f>
        <v>1421743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20502</v>
      </c>
      <c r="G30" s="110" t="n">
        <v>20829</v>
      </c>
      <c r="H30" s="110" t="n">
        <v>21095</v>
      </c>
      <c r="I30" s="110" t="n">
        <v>21317</v>
      </c>
      <c r="J30" s="110" t="n">
        <v>20821</v>
      </c>
      <c r="K30" s="110" t="n">
        <v>27892</v>
      </c>
      <c r="L30" s="110" t="n">
        <v>18554</v>
      </c>
      <c r="M30" s="110" t="n">
        <v>26640</v>
      </c>
      <c r="N30" s="110" t="n">
        <v>21574</v>
      </c>
      <c r="O30" s="110" t="n">
        <v>21969</v>
      </c>
      <c r="P30" s="110" t="n">
        <v>21888</v>
      </c>
      <c r="Q30" s="110" t="n">
        <v>21564</v>
      </c>
      <c r="R30" s="110" t="n">
        <f aca="false">SUM(F30:Q30)</f>
        <v>264645</v>
      </c>
    </row>
    <row r="31" customFormat="false" ht="15" hidden="false" customHeight="true" outlineLevel="0" collapsed="false">
      <c r="D31" s="100" t="s">
        <v>29</v>
      </c>
      <c r="F31" s="110" t="n">
        <v>35532</v>
      </c>
      <c r="G31" s="110" t="n">
        <v>35512</v>
      </c>
      <c r="H31" s="110" t="n">
        <v>35277</v>
      </c>
      <c r="I31" s="110" t="n">
        <v>15839</v>
      </c>
      <c r="J31" s="110" t="n">
        <v>11831</v>
      </c>
      <c r="K31" s="110" t="n">
        <v>10752</v>
      </c>
      <c r="L31" s="110" t="n">
        <v>38961</v>
      </c>
      <c r="M31" s="110" t="n">
        <v>19736</v>
      </c>
      <c r="N31" s="110" t="n">
        <v>31843</v>
      </c>
      <c r="O31" s="110" t="n">
        <v>14130</v>
      </c>
      <c r="P31" s="110" t="n">
        <v>10734</v>
      </c>
      <c r="Q31" s="110" t="n">
        <v>18719</v>
      </c>
      <c r="R31" s="110" t="n">
        <f aca="false">SUM(F31:Q31)</f>
        <v>278866</v>
      </c>
    </row>
    <row r="32" customFormat="false" ht="15" hidden="false" customHeight="true" outlineLevel="0" collapsed="false">
      <c r="D32" s="100" t="s">
        <v>30</v>
      </c>
      <c r="F32" s="110" t="n">
        <v>1</v>
      </c>
      <c r="G32" s="110" t="n">
        <v>1396</v>
      </c>
      <c r="H32" s="110" t="n">
        <v>4679</v>
      </c>
      <c r="I32" s="110" t="n">
        <v>6110</v>
      </c>
      <c r="J32" s="110" t="n">
        <v>7166</v>
      </c>
      <c r="K32" s="110" t="n">
        <v>13478</v>
      </c>
      <c r="L32" s="110" t="n">
        <v>5296</v>
      </c>
      <c r="M32" s="110" t="n">
        <v>2514</v>
      </c>
      <c r="N32" s="110" t="n">
        <v>3050</v>
      </c>
      <c r="O32" s="110" t="n">
        <v>286</v>
      </c>
      <c r="P32" s="110" t="n">
        <v>1236</v>
      </c>
      <c r="Q32" s="110" t="n">
        <v>6736</v>
      </c>
      <c r="R32" s="110" t="n">
        <f aca="false">SUM(F32:Q32)</f>
        <v>51948</v>
      </c>
    </row>
    <row r="33" customFormat="false" ht="15" hidden="false" customHeight="true" outlineLevel="0" collapsed="false">
      <c r="D33" s="100" t="s">
        <v>77</v>
      </c>
      <c r="F33" s="110" t="n">
        <v>1147</v>
      </c>
      <c r="G33" s="110" t="n">
        <v>233</v>
      </c>
      <c r="H33" s="110" t="n">
        <v>846</v>
      </c>
      <c r="I33" s="110" t="n">
        <v>1866</v>
      </c>
      <c r="J33" s="110" t="n">
        <v>942</v>
      </c>
      <c r="K33" s="110" t="n">
        <v>1947</v>
      </c>
      <c r="L33" s="110" t="n">
        <v>3521</v>
      </c>
      <c r="M33" s="110" t="n">
        <v>1463</v>
      </c>
      <c r="N33" s="110" t="n">
        <v>596</v>
      </c>
      <c r="O33" s="110" t="n">
        <v>1960</v>
      </c>
      <c r="P33" s="110" t="n">
        <v>2320</v>
      </c>
      <c r="Q33" s="110" t="n">
        <v>598</v>
      </c>
      <c r="R33" s="110" t="n">
        <f aca="false">SUM(F33:Q33)</f>
        <v>17439</v>
      </c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0</v>
      </c>
      <c r="H34" s="110" t="n">
        <v>200</v>
      </c>
      <c r="I34" s="110" t="n">
        <v>30</v>
      </c>
      <c r="J34" s="110" t="n">
        <v>0</v>
      </c>
      <c r="K34" s="110" t="n">
        <v>121</v>
      </c>
      <c r="L34" s="110" t="n">
        <v>0</v>
      </c>
      <c r="M34" s="110" t="n">
        <v>100</v>
      </c>
      <c r="N34" s="110" t="n">
        <v>122</v>
      </c>
      <c r="O34" s="110" t="n">
        <v>153</v>
      </c>
      <c r="P34" s="110" t="n">
        <v>570</v>
      </c>
      <c r="Q34" s="110" t="n">
        <v>63</v>
      </c>
      <c r="R34" s="110" t="n">
        <f aca="false">SUM(F34:Q34)</f>
        <v>1359</v>
      </c>
    </row>
    <row r="35" customFormat="false" ht="15" hidden="false" customHeight="true" outlineLevel="0" collapsed="false">
      <c r="D35" s="100" t="s">
        <v>78</v>
      </c>
      <c r="F35" s="110" t="n">
        <v>106</v>
      </c>
      <c r="G35" s="110" t="n">
        <v>1330</v>
      </c>
      <c r="H35" s="110" t="n">
        <v>2320</v>
      </c>
      <c r="I35" s="110" t="n">
        <v>-552</v>
      </c>
      <c r="J35" s="110" t="n">
        <v>610</v>
      </c>
      <c r="K35" s="110" t="n">
        <v>2690</v>
      </c>
      <c r="L35" s="110" t="n">
        <v>-772</v>
      </c>
      <c r="M35" s="110" t="n">
        <v>580</v>
      </c>
      <c r="N35" s="110" t="n">
        <v>3860</v>
      </c>
      <c r="O35" s="110" t="n">
        <v>1116</v>
      </c>
      <c r="P35" s="110" t="n">
        <v>1629</v>
      </c>
      <c r="Q35" s="110" t="n">
        <v>-7853</v>
      </c>
      <c r="R35" s="110" t="n">
        <f aca="false">SUM(F35:Q35)</f>
        <v>5064</v>
      </c>
    </row>
    <row r="36" customFormat="false" ht="15" hidden="false" customHeight="true" outlineLevel="0" collapsed="false">
      <c r="D36" s="1" t="s">
        <v>79</v>
      </c>
      <c r="F36" s="110" t="n">
        <v>59232</v>
      </c>
      <c r="G36" s="110" t="n">
        <v>50658</v>
      </c>
      <c r="H36" s="110" t="n">
        <v>64150</v>
      </c>
      <c r="I36" s="110" t="n">
        <v>64067</v>
      </c>
      <c r="J36" s="110" t="n">
        <v>74226</v>
      </c>
      <c r="K36" s="110" t="n">
        <v>62917</v>
      </c>
      <c r="L36" s="110" t="n">
        <v>67468</v>
      </c>
      <c r="M36" s="110" t="n">
        <v>65960</v>
      </c>
      <c r="N36" s="110" t="n">
        <v>67162</v>
      </c>
      <c r="O36" s="110" t="n">
        <v>74512</v>
      </c>
      <c r="P36" s="110" t="n">
        <v>64347</v>
      </c>
      <c r="Q36" s="110" t="n">
        <v>87723</v>
      </c>
      <c r="R36" s="110" t="n">
        <f aca="false">SUM(F36:Q36)</f>
        <v>802422</v>
      </c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-38054</v>
      </c>
      <c r="G38" s="112" t="n">
        <f aca="false">+G8-G28</f>
        <v>-28993</v>
      </c>
      <c r="H38" s="112" t="n">
        <f aca="false">+H8-H28</f>
        <v>-52639</v>
      </c>
      <c r="I38" s="112" t="n">
        <f aca="false">+I8-I28</f>
        <v>7904</v>
      </c>
      <c r="J38" s="112" t="n">
        <f aca="false">+J8-J28</f>
        <v>-11384</v>
      </c>
      <c r="K38" s="112" t="n">
        <f aca="false">+K8-K28</f>
        <v>-30247</v>
      </c>
      <c r="L38" s="112" t="n">
        <f aca="false">+L8-L28</f>
        <v>-34630</v>
      </c>
      <c r="M38" s="112" t="n">
        <f aca="false">+M8-M28</f>
        <v>-21981</v>
      </c>
      <c r="N38" s="112" t="n">
        <f aca="false">+N8-N28</f>
        <v>-27512</v>
      </c>
      <c r="O38" s="112" t="n">
        <f aca="false">+O8-O28</f>
        <v>-28545</v>
      </c>
      <c r="P38" s="112" t="n">
        <f aca="false">+P8-P28</f>
        <v>-6442</v>
      </c>
      <c r="Q38" s="112" t="n">
        <f aca="false">+Q8-Q28</f>
        <v>-26009</v>
      </c>
      <c r="R38" s="112" t="n">
        <f aca="false">SUM(F38:Q38)</f>
        <v>-298532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71810</v>
      </c>
      <c r="G40" s="108" t="n">
        <v>34504</v>
      </c>
      <c r="H40" s="108" t="n">
        <v>47645</v>
      </c>
      <c r="I40" s="108" t="n">
        <v>29867</v>
      </c>
      <c r="J40" s="108" t="n">
        <v>8829</v>
      </c>
      <c r="K40" s="108" t="n">
        <v>-27258</v>
      </c>
      <c r="L40" s="108" t="n">
        <v>36672</v>
      </c>
      <c r="M40" s="108" t="n">
        <v>-14308</v>
      </c>
      <c r="N40" s="108" t="n">
        <v>145365</v>
      </c>
      <c r="O40" s="108" t="n">
        <v>97054</v>
      </c>
      <c r="P40" s="108" t="n">
        <v>16719</v>
      </c>
      <c r="Q40" s="108" t="n">
        <v>26146</v>
      </c>
      <c r="R40" s="108" t="n">
        <v>473045</v>
      </c>
    </row>
    <row r="41" customFormat="false" ht="15" hidden="false" customHeight="true" outlineLevel="0" collapsed="false">
      <c r="C41" s="100" t="s">
        <v>37</v>
      </c>
      <c r="F41" s="109" t="n">
        <v>69873</v>
      </c>
      <c r="G41" s="109" t="n">
        <v>10383</v>
      </c>
      <c r="H41" s="109" t="n">
        <v>-45332</v>
      </c>
      <c r="I41" s="109" t="n">
        <v>3248</v>
      </c>
      <c r="J41" s="109" t="n">
        <v>-2660</v>
      </c>
      <c r="K41" s="109" t="n">
        <v>-3973</v>
      </c>
      <c r="L41" s="109" t="n">
        <v>34927</v>
      </c>
      <c r="M41" s="109" t="n">
        <v>-5402</v>
      </c>
      <c r="N41" s="109" t="n">
        <v>19748</v>
      </c>
      <c r="O41" s="109" t="n">
        <v>58693</v>
      </c>
      <c r="P41" s="109" t="n">
        <v>5725</v>
      </c>
      <c r="Q41" s="109" t="n">
        <v>7247</v>
      </c>
      <c r="R41" s="109" t="n">
        <v>152477</v>
      </c>
    </row>
    <row r="42" customFormat="false" ht="15" hidden="false" customHeight="true" outlineLevel="0" collapsed="false">
      <c r="D42" s="100" t="s">
        <v>38</v>
      </c>
      <c r="F42" s="110" t="n">
        <v>72127</v>
      </c>
      <c r="G42" s="110" t="n">
        <v>17260</v>
      </c>
      <c r="H42" s="110" t="n">
        <v>6299</v>
      </c>
      <c r="I42" s="110" t="n">
        <v>5048</v>
      </c>
      <c r="J42" s="110" t="n">
        <v>712</v>
      </c>
      <c r="K42" s="110" t="n">
        <v>1745</v>
      </c>
      <c r="L42" s="110" t="n">
        <v>37156</v>
      </c>
      <c r="M42" s="110" t="n">
        <v>1657</v>
      </c>
      <c r="N42" s="110" t="n">
        <v>26169</v>
      </c>
      <c r="O42" s="110" t="n">
        <v>61415</v>
      </c>
      <c r="P42" s="110" t="n">
        <v>8865</v>
      </c>
      <c r="Q42" s="110" t="n">
        <v>12913</v>
      </c>
      <c r="R42" s="110" t="n">
        <v>251366</v>
      </c>
    </row>
    <row r="43" customFormat="false" ht="15" hidden="false" customHeight="true" outlineLevel="0" collapsed="false">
      <c r="D43" s="100" t="s">
        <v>97</v>
      </c>
      <c r="F43" s="110" t="n">
        <v>2254</v>
      </c>
      <c r="G43" s="110" t="n">
        <v>6877</v>
      </c>
      <c r="H43" s="110" t="n">
        <v>51631</v>
      </c>
      <c r="I43" s="110" t="n">
        <v>1800</v>
      </c>
      <c r="J43" s="110" t="n">
        <v>3372</v>
      </c>
      <c r="K43" s="110" t="n">
        <v>5718</v>
      </c>
      <c r="L43" s="110" t="n">
        <v>2229</v>
      </c>
      <c r="M43" s="110" t="n">
        <v>7059</v>
      </c>
      <c r="N43" s="110" t="n">
        <v>6421</v>
      </c>
      <c r="O43" s="110" t="n">
        <v>2722</v>
      </c>
      <c r="P43" s="110" t="n">
        <v>3140</v>
      </c>
      <c r="Q43" s="110" t="n">
        <v>5666</v>
      </c>
      <c r="R43" s="110" t="n">
        <v>98889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1937</v>
      </c>
      <c r="G45" s="109" t="n">
        <v>24121</v>
      </c>
      <c r="H45" s="109" t="n">
        <v>92977</v>
      </c>
      <c r="I45" s="109" t="n">
        <v>26619</v>
      </c>
      <c r="J45" s="109" t="n">
        <v>11489</v>
      </c>
      <c r="K45" s="109" t="n">
        <v>-23285</v>
      </c>
      <c r="L45" s="109" t="n">
        <v>1745</v>
      </c>
      <c r="M45" s="109" t="n">
        <v>-8906</v>
      </c>
      <c r="N45" s="109" t="n">
        <v>125617</v>
      </c>
      <c r="O45" s="109" t="n">
        <v>38361</v>
      </c>
      <c r="P45" s="109" t="n">
        <v>10994</v>
      </c>
      <c r="Q45" s="109" t="n">
        <v>18899</v>
      </c>
      <c r="R45" s="109" t="n">
        <v>320568</v>
      </c>
    </row>
    <row r="46" customFormat="false" ht="15" hidden="false" customHeight="true" outlineLevel="0" collapsed="false">
      <c r="D46" s="100" t="s">
        <v>41</v>
      </c>
      <c r="F46" s="110" t="n">
        <v>138512</v>
      </c>
      <c r="G46" s="110" t="n">
        <v>24121</v>
      </c>
      <c r="H46" s="110" t="n">
        <v>92977</v>
      </c>
      <c r="I46" s="110" t="n">
        <v>26619</v>
      </c>
      <c r="J46" s="110" t="n">
        <v>11489</v>
      </c>
      <c r="K46" s="110" t="n">
        <v>-23157</v>
      </c>
      <c r="L46" s="110" t="n">
        <v>1901</v>
      </c>
      <c r="M46" s="110" t="n">
        <v>-8740</v>
      </c>
      <c r="N46" s="110" t="n">
        <v>125791</v>
      </c>
      <c r="O46" s="110" t="n">
        <v>38633</v>
      </c>
      <c r="P46" s="110" t="n">
        <v>10994</v>
      </c>
      <c r="Q46" s="110" t="n">
        <v>19333</v>
      </c>
      <c r="R46" s="110" t="n">
        <v>458473</v>
      </c>
    </row>
    <row r="47" customFormat="false" ht="15" hidden="false" customHeight="true" outlineLevel="0" collapsed="false">
      <c r="D47" s="100" t="s">
        <v>42</v>
      </c>
      <c r="F47" s="110" t="n">
        <v>136575</v>
      </c>
      <c r="G47" s="110" t="n">
        <v>0</v>
      </c>
      <c r="H47" s="110" t="n">
        <v>0</v>
      </c>
      <c r="I47" s="110" t="n">
        <v>0</v>
      </c>
      <c r="J47" s="110" t="n">
        <v>0</v>
      </c>
      <c r="K47" s="110" t="n">
        <v>128</v>
      </c>
      <c r="L47" s="110" t="n">
        <v>156</v>
      </c>
      <c r="M47" s="110" t="n">
        <v>166</v>
      </c>
      <c r="N47" s="110" t="n">
        <v>174</v>
      </c>
      <c r="O47" s="110" t="n">
        <v>272</v>
      </c>
      <c r="P47" s="110" t="n">
        <v>0</v>
      </c>
      <c r="Q47" s="110" t="n">
        <v>434</v>
      </c>
      <c r="R47" s="110" t="n">
        <v>137905</v>
      </c>
    </row>
    <row r="48" customFormat="false" ht="15" hidden="false" customHeight="true" outlineLevel="0" collapsed="false">
      <c r="E48" s="1" t="s">
        <v>67</v>
      </c>
      <c r="F48" s="110" t="n">
        <v>156614</v>
      </c>
      <c r="G48" s="110" t="n">
        <v>118232</v>
      </c>
      <c r="H48" s="110" t="n">
        <v>3752</v>
      </c>
      <c r="I48" s="110" t="n">
        <v>11643</v>
      </c>
      <c r="J48" s="110" t="n">
        <v>10939</v>
      </c>
      <c r="K48" s="110" t="n">
        <v>3810</v>
      </c>
      <c r="L48" s="110" t="n">
        <v>37080</v>
      </c>
      <c r="M48" s="110" t="n">
        <v>23121</v>
      </c>
      <c r="N48" s="110" t="n">
        <v>10957</v>
      </c>
      <c r="O48" s="110" t="n">
        <v>14231</v>
      </c>
      <c r="P48" s="110" t="n">
        <v>7250</v>
      </c>
      <c r="Q48" s="110" t="n">
        <v>3919</v>
      </c>
      <c r="R48" s="110" t="n">
        <v>401548</v>
      </c>
    </row>
    <row r="49" customFormat="false" ht="15" hidden="false" customHeight="true" outlineLevel="0" collapsed="false">
      <c r="E49" s="16" t="s">
        <v>80</v>
      </c>
      <c r="F49" s="110" t="n">
        <v>20039</v>
      </c>
      <c r="G49" s="110" t="n">
        <v>118232</v>
      </c>
      <c r="H49" s="110" t="n">
        <v>3752</v>
      </c>
      <c r="I49" s="110" t="n">
        <v>11643</v>
      </c>
      <c r="J49" s="110" t="n">
        <v>10939</v>
      </c>
      <c r="K49" s="110" t="n">
        <v>3682</v>
      </c>
      <c r="L49" s="110" t="n">
        <v>36924</v>
      </c>
      <c r="M49" s="110" t="n">
        <v>22955</v>
      </c>
      <c r="N49" s="110" t="n">
        <v>10783</v>
      </c>
      <c r="O49" s="110" t="n">
        <v>13959</v>
      </c>
      <c r="P49" s="110" t="n">
        <v>7250</v>
      </c>
      <c r="Q49" s="110" t="n">
        <v>3485</v>
      </c>
      <c r="R49" s="110" t="n">
        <v>263643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18301</v>
      </c>
      <c r="G51" s="108" t="n">
        <v>-113297</v>
      </c>
      <c r="H51" s="108" t="n">
        <v>-51319</v>
      </c>
      <c r="I51" s="108" t="n">
        <v>18193</v>
      </c>
      <c r="J51" s="108" t="n">
        <v>-34646</v>
      </c>
      <c r="K51" s="108" t="n">
        <v>-29947</v>
      </c>
      <c r="L51" s="108" t="n">
        <v>15831</v>
      </c>
      <c r="M51" s="108" t="n">
        <v>-30544</v>
      </c>
      <c r="N51" s="108" t="n">
        <v>95139</v>
      </c>
      <c r="O51" s="108" t="n">
        <v>34046</v>
      </c>
      <c r="P51" s="108" t="n">
        <v>-25143</v>
      </c>
      <c r="Q51" s="108" t="n">
        <v>37359</v>
      </c>
      <c r="R51" s="108" t="n">
        <v>-66027</v>
      </c>
    </row>
    <row r="52" customFormat="false" ht="15" hidden="false" customHeight="false" outlineLevel="0" collapsed="false"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customFormat="false" ht="15" hidden="false" customHeight="false" outlineLevel="0" collapsed="false">
      <c r="B53" s="103" t="s">
        <v>46</v>
      </c>
    </row>
    <row r="54" customFormat="false" ht="12.75" hidden="false" customHeight="true" outlineLevel="0" collapsed="false">
      <c r="B54" s="103"/>
      <c r="C54" s="130" t="s">
        <v>110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</row>
    <row r="55" customFormat="false" ht="18.75" hidden="false" customHeight="true" outlineLevel="0" collapsed="false">
      <c r="B55" s="103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</row>
    <row r="56" customFormat="false" ht="12" hidden="false" customHeight="true" outlineLevel="0" collapsed="false"/>
    <row r="58" customFormat="false" ht="14.25" hidden="false" customHeight="false" outlineLevel="0" collapsed="false">
      <c r="B58" s="31" t="s">
        <v>51</v>
      </c>
    </row>
    <row r="59" customFormat="false" ht="14.25" hidden="false" customHeight="false" outlineLevel="0" collapsed="false">
      <c r="B59" s="31" t="s">
        <v>106</v>
      </c>
    </row>
  </sheetData>
  <mergeCells count="2">
    <mergeCell ref="A6:E6"/>
    <mergeCell ref="C54:Q5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F7" activeCellId="0" sqref="F7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22.43"/>
    <col collapsed="false" customWidth="true" hidden="false" outlineLevel="0" max="10" min="6" style="100" width="9.58"/>
    <col collapsed="false" customWidth="true" hidden="false" outlineLevel="0" max="11" min="11" style="100" width="8.29"/>
    <col collapsed="false" customWidth="false" hidden="false" outlineLevel="0" max="12" min="12" style="100" width="9.14"/>
    <col collapsed="false" customWidth="true" hidden="false" outlineLevel="0" max="17" min="13" style="100" width="9.58"/>
    <col collapsed="false" customWidth="true" hidden="false" outlineLevel="0" max="18" min="18" style="100" width="11.42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117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95</v>
      </c>
      <c r="B4" s="102"/>
    </row>
    <row r="5" customFormat="false" ht="15" hidden="false" customHeight="false" outlineLevel="0" collapsed="false"/>
    <row r="6" s="107" customFormat="true" ht="22.5" hidden="false" customHeight="true" outlineLevel="0" collapsed="false">
      <c r="A6" s="126" t="s">
        <v>4</v>
      </c>
      <c r="B6" s="126"/>
      <c r="C6" s="126"/>
      <c r="D6" s="126"/>
      <c r="E6" s="126"/>
      <c r="F6" s="105" t="s">
        <v>5</v>
      </c>
      <c r="G6" s="105" t="s">
        <v>6</v>
      </c>
      <c r="H6" s="105" t="s">
        <v>118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55</v>
      </c>
      <c r="O6" s="105" t="s">
        <v>56</v>
      </c>
      <c r="P6" s="105" t="s">
        <v>57</v>
      </c>
      <c r="Q6" s="105" t="s">
        <v>58</v>
      </c>
      <c r="R6" s="105" t="s">
        <v>11</v>
      </c>
      <c r="S6" s="139"/>
    </row>
    <row r="7" customFormat="false" ht="15" hidden="false" customHeight="true" outlineLevel="0" collapsed="false"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86991</v>
      </c>
      <c r="G8" s="108" t="n">
        <f aca="false">G9+G19+G26</f>
        <v>81762</v>
      </c>
      <c r="H8" s="108" t="n">
        <f aca="false">H9+H19+H26</f>
        <v>84763</v>
      </c>
      <c r="I8" s="108" t="n">
        <f aca="false">I9+I19+I26</f>
        <v>122030</v>
      </c>
      <c r="J8" s="108" t="n">
        <f aca="false">J9+J19+J26</f>
        <v>106879</v>
      </c>
      <c r="K8" s="108" t="n">
        <f aca="false">K9+K19+K26</f>
        <v>87564</v>
      </c>
      <c r="L8" s="108" t="n">
        <f aca="false">L9+L19+L26</f>
        <v>101417</v>
      </c>
      <c r="M8" s="108" t="n">
        <f aca="false">M9+M19+M26</f>
        <v>118877</v>
      </c>
      <c r="N8" s="108" t="n">
        <f aca="false">N9+N19+N26</f>
        <v>89637</v>
      </c>
      <c r="O8" s="108" t="n">
        <f aca="false">O9+O19+O26</f>
        <v>92634</v>
      </c>
      <c r="P8" s="108" t="n">
        <f aca="false">P9+P19+P26</f>
        <v>109040</v>
      </c>
      <c r="Q8" s="108" t="n">
        <f aca="false">Q9+Q19+Q26</f>
        <v>121311</v>
      </c>
      <c r="R8" s="108" t="n">
        <f aca="false">R9+R19+R26</f>
        <v>1202905</v>
      </c>
    </row>
    <row r="9" customFormat="false" ht="15" hidden="false" customHeight="true" outlineLevel="0" collapsed="false">
      <c r="C9" s="100" t="s">
        <v>13</v>
      </c>
      <c r="F9" s="109" t="n">
        <f aca="false">F10+F14+F17</f>
        <v>72117</v>
      </c>
      <c r="G9" s="109" t="n">
        <f aca="false">G10+G14+G17</f>
        <v>67313</v>
      </c>
      <c r="H9" s="109" t="n">
        <f aca="false">H10+H14+H17</f>
        <v>78495</v>
      </c>
      <c r="I9" s="109" t="n">
        <f aca="false">I10+I14+I17</f>
        <v>113999</v>
      </c>
      <c r="J9" s="109" t="n">
        <f aca="false">J10+J14+J17</f>
        <v>100140</v>
      </c>
      <c r="K9" s="109" t="n">
        <f aca="false">K10+K14+K17</f>
        <v>80358</v>
      </c>
      <c r="L9" s="109" t="n">
        <f aca="false">L10+L14+L17</f>
        <v>89277</v>
      </c>
      <c r="M9" s="109" t="n">
        <f aca="false">M10+M14+M17</f>
        <v>105243</v>
      </c>
      <c r="N9" s="109" t="n">
        <f aca="false">N10+N14+N17</f>
        <v>82471</v>
      </c>
      <c r="O9" s="109" t="n">
        <f aca="false">O10+O14+O17</f>
        <v>82906</v>
      </c>
      <c r="P9" s="109" t="n">
        <f aca="false">P10+P14+P17</f>
        <v>100498</v>
      </c>
      <c r="Q9" s="109" t="n">
        <f aca="false">Q10+Q14+Q17</f>
        <v>76372</v>
      </c>
      <c r="R9" s="109" t="n">
        <f aca="false">R10+R14+R17</f>
        <v>1049189</v>
      </c>
    </row>
    <row r="10" customFormat="false" ht="15" hidden="false" customHeight="true" outlineLevel="0" collapsed="false">
      <c r="D10" s="100" t="s">
        <v>14</v>
      </c>
      <c r="F10" s="110" t="n">
        <v>56710</v>
      </c>
      <c r="G10" s="110" t="n">
        <v>50888</v>
      </c>
      <c r="H10" s="110" t="n">
        <v>59024</v>
      </c>
      <c r="I10" s="110" t="n">
        <v>91345</v>
      </c>
      <c r="J10" s="110" t="n">
        <v>77713</v>
      </c>
      <c r="K10" s="110" t="n">
        <v>54088</v>
      </c>
      <c r="L10" s="110" t="n">
        <v>63435</v>
      </c>
      <c r="M10" s="110" t="n">
        <v>78905</v>
      </c>
      <c r="N10" s="110" t="n">
        <v>55768</v>
      </c>
      <c r="O10" s="110" t="n">
        <v>56945</v>
      </c>
      <c r="P10" s="110" t="n">
        <v>76745</v>
      </c>
      <c r="Q10" s="110" t="n">
        <v>57015</v>
      </c>
      <c r="R10" s="110" t="n">
        <f aca="false">SUM(F10:Q10)</f>
        <v>778581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527</v>
      </c>
      <c r="H12" s="110" t="n">
        <v>1224</v>
      </c>
      <c r="I12" s="110" t="n">
        <v>3012</v>
      </c>
      <c r="J12" s="110" t="n">
        <v>1170</v>
      </c>
      <c r="K12" s="110" t="n">
        <v>264</v>
      </c>
      <c r="L12" s="110" t="n">
        <v>851</v>
      </c>
      <c r="M12" s="110" t="n">
        <v>595</v>
      </c>
      <c r="N12" s="110" t="n">
        <v>263</v>
      </c>
      <c r="O12" s="110" t="n">
        <v>0</v>
      </c>
      <c r="P12" s="110" t="n">
        <v>517</v>
      </c>
      <c r="Q12" s="110" t="n">
        <v>573</v>
      </c>
      <c r="R12" s="110" t="n">
        <f aca="false">SUM(F12:Q12)</f>
        <v>8996</v>
      </c>
    </row>
    <row r="13" customFormat="false" ht="15" hidden="false" customHeight="true" outlineLevel="0" collapsed="false">
      <c r="E13" s="100" t="s">
        <v>17</v>
      </c>
      <c r="F13" s="110" t="n">
        <v>0</v>
      </c>
      <c r="G13" s="110" t="n">
        <v>0</v>
      </c>
      <c r="H13" s="110" t="n">
        <v>0</v>
      </c>
      <c r="I13" s="110" t="n">
        <v>1624</v>
      </c>
      <c r="J13" s="110" t="n">
        <v>1203</v>
      </c>
      <c r="K13" s="110" t="n">
        <v>2838</v>
      </c>
      <c r="L13" s="110" t="n">
        <v>111</v>
      </c>
      <c r="M13" s="110" t="n">
        <v>12</v>
      </c>
      <c r="N13" s="110" t="n">
        <v>792</v>
      </c>
      <c r="O13" s="110" t="n">
        <v>130</v>
      </c>
      <c r="P13" s="110" t="n">
        <v>0</v>
      </c>
      <c r="Q13" s="110" t="n">
        <v>959</v>
      </c>
      <c r="R13" s="110" t="n">
        <f aca="false">SUM(F13:Q13)</f>
        <v>7669</v>
      </c>
    </row>
    <row r="14" customFormat="false" ht="15" hidden="false" customHeight="true" outlineLevel="0" collapsed="false">
      <c r="D14" s="100" t="s">
        <v>18</v>
      </c>
      <c r="F14" s="110" t="n">
        <v>14711</v>
      </c>
      <c r="G14" s="110" t="n">
        <v>15655</v>
      </c>
      <c r="H14" s="110" t="n">
        <v>18514</v>
      </c>
      <c r="I14" s="110" t="n">
        <v>21738</v>
      </c>
      <c r="J14" s="110" t="n">
        <v>21524</v>
      </c>
      <c r="K14" s="110" t="n">
        <v>24885</v>
      </c>
      <c r="L14" s="110" t="n">
        <v>25013</v>
      </c>
      <c r="M14" s="110" t="n">
        <v>25417</v>
      </c>
      <c r="N14" s="110" t="n">
        <v>25755</v>
      </c>
      <c r="O14" s="110" t="n">
        <v>24982</v>
      </c>
      <c r="P14" s="110" t="n">
        <v>23277</v>
      </c>
      <c r="Q14" s="110" t="n">
        <v>18777</v>
      </c>
      <c r="R14" s="110" t="n">
        <f aca="false">SUM(F14:Q14)</f>
        <v>260248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724</v>
      </c>
      <c r="G16" s="110" t="n">
        <v>326</v>
      </c>
      <c r="H16" s="110" t="n">
        <v>2898</v>
      </c>
      <c r="I16" s="110" t="n">
        <v>3664</v>
      </c>
      <c r="J16" s="110" t="n">
        <v>3477</v>
      </c>
      <c r="K16" s="110" t="n">
        <v>7728</v>
      </c>
      <c r="L16" s="110" t="n">
        <v>3047</v>
      </c>
      <c r="M16" s="110" t="n">
        <v>2694</v>
      </c>
      <c r="N16" s="110" t="n">
        <v>5047</v>
      </c>
      <c r="O16" s="110" t="n">
        <v>3208</v>
      </c>
      <c r="P16" s="110" t="n">
        <v>5983</v>
      </c>
      <c r="Q16" s="110" t="n">
        <v>3252</v>
      </c>
      <c r="R16" s="110" t="n">
        <f aca="false">SUM(F16:Q16)</f>
        <v>42048</v>
      </c>
    </row>
    <row r="17" customFormat="false" ht="15" hidden="false" customHeight="true" outlineLevel="0" collapsed="false">
      <c r="D17" s="100" t="s">
        <v>105</v>
      </c>
      <c r="F17" s="110" t="n">
        <v>696</v>
      </c>
      <c r="G17" s="110" t="n">
        <v>770</v>
      </c>
      <c r="H17" s="110" t="n">
        <v>957</v>
      </c>
      <c r="I17" s="110" t="n">
        <v>916</v>
      </c>
      <c r="J17" s="110" t="n">
        <v>903</v>
      </c>
      <c r="K17" s="110" t="n">
        <v>1385</v>
      </c>
      <c r="L17" s="110" t="n">
        <v>829</v>
      </c>
      <c r="M17" s="110" t="n">
        <v>921</v>
      </c>
      <c r="N17" s="110" t="n">
        <v>948</v>
      </c>
      <c r="O17" s="110" t="n">
        <v>979</v>
      </c>
      <c r="P17" s="110" t="n">
        <v>476</v>
      </c>
      <c r="Q17" s="110" t="n">
        <v>580</v>
      </c>
      <c r="R17" s="110" t="n">
        <f aca="false">SUM(F17:Q17)</f>
        <v>10360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14847</v>
      </c>
      <c r="G19" s="109" t="n">
        <f aca="false">SUM(G20:G24)</f>
        <v>14442</v>
      </c>
      <c r="H19" s="109" t="n">
        <f aca="false">SUM(H20:H24)</f>
        <v>6233</v>
      </c>
      <c r="I19" s="109" t="n">
        <f aca="false">SUM(I20:I24)</f>
        <v>8025</v>
      </c>
      <c r="J19" s="109" t="n">
        <f aca="false">SUM(J20:J24)</f>
        <v>6732</v>
      </c>
      <c r="K19" s="109" t="n">
        <f aca="false">SUM(K20:K24)</f>
        <v>7202</v>
      </c>
      <c r="L19" s="109" t="n">
        <f aca="false">SUM(L20:L24)</f>
        <v>12132</v>
      </c>
      <c r="M19" s="109" t="n">
        <f aca="false">SUM(M20:M24)</f>
        <v>13629</v>
      </c>
      <c r="N19" s="109" t="n">
        <f aca="false">SUM(N20:N24)</f>
        <v>7159</v>
      </c>
      <c r="O19" s="109" t="n">
        <f aca="false">SUM(O20:O24)</f>
        <v>9727</v>
      </c>
      <c r="P19" s="109" t="n">
        <f aca="false">SUM(P20:P24)</f>
        <v>8527</v>
      </c>
      <c r="Q19" s="109" t="n">
        <f aca="false">SUM(Q20:Q24)</f>
        <v>44936</v>
      </c>
      <c r="R19" s="109" t="n">
        <f aca="false">SUM(R20:R24)</f>
        <v>153591</v>
      </c>
    </row>
    <row r="20" customFormat="false" ht="15" hidden="false" customHeight="true" outlineLevel="0" collapsed="false">
      <c r="D20" s="100" t="s">
        <v>21</v>
      </c>
      <c r="F20" s="110" t="n">
        <v>4642</v>
      </c>
      <c r="G20" s="110" t="n">
        <v>8485</v>
      </c>
      <c r="H20" s="110" t="n">
        <v>3935</v>
      </c>
      <c r="I20" s="110" t="n">
        <v>4731</v>
      </c>
      <c r="J20" s="110" t="n">
        <v>3511</v>
      </c>
      <c r="K20" s="110" t="n">
        <v>4158</v>
      </c>
      <c r="L20" s="110" t="n">
        <v>7199</v>
      </c>
      <c r="M20" s="110" t="n">
        <v>8949</v>
      </c>
      <c r="N20" s="110" t="n">
        <v>2178</v>
      </c>
      <c r="O20" s="110" t="n">
        <v>5350</v>
      </c>
      <c r="P20" s="110" t="n">
        <v>4265</v>
      </c>
      <c r="Q20" s="110" t="n">
        <v>6278</v>
      </c>
      <c r="R20" s="110" t="n">
        <f aca="false">SUM(F20:Q20)</f>
        <v>63681</v>
      </c>
    </row>
    <row r="21" customFormat="false" ht="15" hidden="false" customHeight="true" outlineLevel="0" collapsed="false">
      <c r="D21" s="100" t="s">
        <v>23</v>
      </c>
      <c r="F21" s="110" t="n">
        <v>6601</v>
      </c>
      <c r="G21" s="110" t="n">
        <v>152</v>
      </c>
      <c r="H21" s="110" t="n">
        <v>0</v>
      </c>
      <c r="I21" s="110" t="n">
        <v>115</v>
      </c>
      <c r="J21" s="110" t="n">
        <v>17</v>
      </c>
      <c r="K21" s="110" t="n">
        <v>0</v>
      </c>
      <c r="L21" s="110" t="n">
        <v>56</v>
      </c>
      <c r="M21" s="110" t="n">
        <v>537</v>
      </c>
      <c r="N21" s="110" t="n">
        <v>153</v>
      </c>
      <c r="O21" s="110" t="n">
        <v>0</v>
      </c>
      <c r="P21" s="110" t="n">
        <v>286</v>
      </c>
      <c r="Q21" s="110" t="n">
        <v>23372</v>
      </c>
      <c r="R21" s="110" t="n">
        <f aca="false">SUM(F21:Q21)</f>
        <v>31289</v>
      </c>
      <c r="T21" s="110"/>
    </row>
    <row r="22" customFormat="false" ht="15" hidden="false" customHeight="true" outlineLevel="0" collapsed="false">
      <c r="D22" s="100" t="s">
        <v>24</v>
      </c>
      <c r="F22" s="110" t="n">
        <v>669.213</v>
      </c>
      <c r="G22" s="110" t="n">
        <v>2547.492</v>
      </c>
      <c r="H22" s="110" t="n">
        <v>443.953</v>
      </c>
      <c r="I22" s="110" t="n">
        <v>832.64</v>
      </c>
      <c r="J22" s="110" t="n">
        <v>882.521</v>
      </c>
      <c r="K22" s="110" t="n">
        <v>791.007</v>
      </c>
      <c r="L22" s="110" t="n">
        <v>1238.747</v>
      </c>
      <c r="M22" s="110" t="n">
        <v>1163.76</v>
      </c>
      <c r="N22" s="110" t="n">
        <v>828.925</v>
      </c>
      <c r="O22" s="110" t="n">
        <v>1212.452</v>
      </c>
      <c r="P22" s="110" t="n">
        <v>1065.409</v>
      </c>
      <c r="Q22" s="110" t="n">
        <v>13822.52</v>
      </c>
      <c r="R22" s="110" t="n">
        <f aca="false">SUM(F22:Q22)</f>
        <v>25498.639</v>
      </c>
    </row>
    <row r="23" customFormat="false" ht="15" hidden="false" customHeight="true" outlineLevel="0" collapsed="false">
      <c r="D23" s="100" t="s">
        <v>112</v>
      </c>
      <c r="F23" s="110" t="n">
        <v>1760</v>
      </c>
      <c r="G23" s="110" t="n">
        <v>1585</v>
      </c>
      <c r="H23" s="110" t="n">
        <v>1304</v>
      </c>
      <c r="I23" s="110" t="n">
        <v>2159</v>
      </c>
      <c r="J23" s="110" t="n">
        <v>423</v>
      </c>
      <c r="K23" s="110" t="n">
        <v>28</v>
      </c>
      <c r="L23" s="110" t="n">
        <v>831</v>
      </c>
      <c r="M23" s="110" t="n">
        <v>1844</v>
      </c>
      <c r="N23" s="110" t="n">
        <v>1532</v>
      </c>
      <c r="O23" s="110" t="n">
        <v>2723</v>
      </c>
      <c r="P23" s="110" t="n">
        <v>1261</v>
      </c>
      <c r="Q23" s="110" t="n">
        <v>959</v>
      </c>
      <c r="R23" s="110" t="n">
        <f aca="false">SUM(F23:Q23)</f>
        <v>16409</v>
      </c>
    </row>
    <row r="24" customFormat="false" ht="15" hidden="false" customHeight="true" outlineLevel="0" collapsed="false">
      <c r="D24" s="100" t="s">
        <v>105</v>
      </c>
      <c r="F24" s="110" t="n">
        <f aca="false">3604-F23-F22</f>
        <v>1174.787</v>
      </c>
      <c r="G24" s="110" t="n">
        <f aca="false">5805-G23-G22</f>
        <v>1672.508</v>
      </c>
      <c r="H24" s="110" t="n">
        <f aca="false">2298-H23-H22</f>
        <v>550.047</v>
      </c>
      <c r="I24" s="110" t="n">
        <f aca="false">3179-I23-I22</f>
        <v>187.36</v>
      </c>
      <c r="J24" s="110" t="n">
        <f aca="false">3204-J23-J22</f>
        <v>1898.479</v>
      </c>
      <c r="K24" s="110" t="n">
        <f aca="false">3044-K23-K22</f>
        <v>2224.993</v>
      </c>
      <c r="L24" s="110" t="n">
        <f aca="false">4877-L23-L22</f>
        <v>2807.253</v>
      </c>
      <c r="M24" s="110" t="n">
        <f aca="false">4143-M23-M22</f>
        <v>1135.24</v>
      </c>
      <c r="N24" s="110" t="n">
        <f aca="false">4828-N23-N22</f>
        <v>2467.075</v>
      </c>
      <c r="O24" s="110" t="n">
        <f aca="false">4377-O23-O22</f>
        <v>441.548</v>
      </c>
      <c r="P24" s="110" t="n">
        <f aca="false">3976-P23-P22</f>
        <v>1649.591</v>
      </c>
      <c r="Q24" s="110" t="n">
        <f aca="false">15286-Q23-Q22</f>
        <v>504.48</v>
      </c>
      <c r="R24" s="110" t="n">
        <f aca="false">SUM(F24:Q24)</f>
        <v>16713.361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27</v>
      </c>
      <c r="G26" s="110" t="n">
        <v>7</v>
      </c>
      <c r="H26" s="110" t="n">
        <v>35</v>
      </c>
      <c r="I26" s="110" t="n">
        <v>6</v>
      </c>
      <c r="J26" s="110" t="n">
        <v>7</v>
      </c>
      <c r="K26" s="110" t="n">
        <v>4</v>
      </c>
      <c r="L26" s="110" t="n">
        <v>8</v>
      </c>
      <c r="M26" s="110" t="n">
        <v>5</v>
      </c>
      <c r="N26" s="110" t="n">
        <v>7</v>
      </c>
      <c r="O26" s="110" t="n">
        <v>1</v>
      </c>
      <c r="P26" s="110" t="n">
        <v>15</v>
      </c>
      <c r="Q26" s="110" t="n">
        <v>3</v>
      </c>
      <c r="R26" s="110" t="n">
        <v>125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100926</v>
      </c>
      <c r="G28" s="108" t="n">
        <f aca="false">SUM(G30:G36)</f>
        <v>100760</v>
      </c>
      <c r="H28" s="108" t="n">
        <f aca="false">SUM(H30:H36)</f>
        <v>103389</v>
      </c>
      <c r="I28" s="108" t="n">
        <f aca="false">SUM(I30:I36)</f>
        <v>96268</v>
      </c>
      <c r="J28" s="108" t="n">
        <f aca="false">SUM(J30:J36)</f>
        <v>99853</v>
      </c>
      <c r="K28" s="108" t="n">
        <f aca="false">SUM(K30:K36)</f>
        <v>86795</v>
      </c>
      <c r="L28" s="108" t="n">
        <f aca="false">SUM(L30:L36)</f>
        <v>116846</v>
      </c>
      <c r="M28" s="108" t="n">
        <f aca="false">SUM(M30:M36)</f>
        <v>117194</v>
      </c>
      <c r="N28" s="108" t="n">
        <f aca="false">SUM(N30:N36)</f>
        <v>111265</v>
      </c>
      <c r="O28" s="108" t="n">
        <f aca="false">SUM(O30:O36)</f>
        <v>101593</v>
      </c>
      <c r="P28" s="108" t="n">
        <f aca="false">SUM(P30:P36)</f>
        <v>113380</v>
      </c>
      <c r="Q28" s="108" t="n">
        <f aca="false">SUM(Q30:Q36)</f>
        <v>122753</v>
      </c>
      <c r="R28" s="108" t="n">
        <f aca="false">SUM(F28:Q28)</f>
        <v>1271022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17593</v>
      </c>
      <c r="G30" s="110" t="n">
        <v>17681</v>
      </c>
      <c r="H30" s="110" t="n">
        <v>18680</v>
      </c>
      <c r="I30" s="110" t="n">
        <v>17612</v>
      </c>
      <c r="J30" s="110" t="n">
        <v>20050</v>
      </c>
      <c r="K30" s="110" t="n">
        <v>19623</v>
      </c>
      <c r="L30" s="110" t="n">
        <v>18637</v>
      </c>
      <c r="M30" s="110" t="n">
        <v>17910</v>
      </c>
      <c r="N30" s="110" t="n">
        <v>17785</v>
      </c>
      <c r="O30" s="110" t="n">
        <v>18092</v>
      </c>
      <c r="P30" s="110" t="n">
        <v>18830</v>
      </c>
      <c r="Q30" s="110" t="n">
        <v>20502</v>
      </c>
      <c r="R30" s="110" t="n">
        <f aca="false">SUM(F30:Q30)</f>
        <v>222995</v>
      </c>
    </row>
    <row r="31" customFormat="false" ht="15" hidden="false" customHeight="true" outlineLevel="0" collapsed="false">
      <c r="D31" s="100" t="s">
        <v>29</v>
      </c>
      <c r="F31" s="110" t="n">
        <v>30048</v>
      </c>
      <c r="G31" s="110" t="n">
        <v>39871</v>
      </c>
      <c r="H31" s="110" t="n">
        <v>30323</v>
      </c>
      <c r="I31" s="110" t="n">
        <v>18730</v>
      </c>
      <c r="J31" s="110" t="n">
        <v>14023</v>
      </c>
      <c r="K31" s="110" t="n">
        <v>7971</v>
      </c>
      <c r="L31" s="110" t="n">
        <v>33250</v>
      </c>
      <c r="M31" s="110" t="n">
        <v>31320</v>
      </c>
      <c r="N31" s="110" t="n">
        <v>29170</v>
      </c>
      <c r="O31" s="110" t="n">
        <v>17587</v>
      </c>
      <c r="P31" s="110" t="n">
        <v>12235</v>
      </c>
      <c r="Q31" s="110" t="n">
        <v>7690</v>
      </c>
      <c r="R31" s="110" t="n">
        <f aca="false">SUM(F31:Q31)</f>
        <v>272218</v>
      </c>
    </row>
    <row r="32" customFormat="false" ht="15" hidden="false" customHeight="true" outlineLevel="0" collapsed="false">
      <c r="D32" s="100" t="s">
        <v>30</v>
      </c>
      <c r="F32" s="110" t="n">
        <v>724</v>
      </c>
      <c r="G32" s="110" t="n">
        <v>853</v>
      </c>
      <c r="H32" s="110" t="n">
        <v>4122</v>
      </c>
      <c r="I32" s="110" t="n">
        <v>8300</v>
      </c>
      <c r="J32" s="110" t="n">
        <v>5850</v>
      </c>
      <c r="K32" s="110" t="n">
        <v>10830</v>
      </c>
      <c r="L32" s="110" t="n">
        <v>4009</v>
      </c>
      <c r="M32" s="110" t="n">
        <v>3301</v>
      </c>
      <c r="N32" s="110" t="n">
        <v>6102</v>
      </c>
      <c r="O32" s="110" t="n">
        <v>3338</v>
      </c>
      <c r="P32" s="110" t="n">
        <v>6500</v>
      </c>
      <c r="Q32" s="110" t="n">
        <v>4784</v>
      </c>
      <c r="R32" s="110" t="n">
        <f aca="false">SUM(F32:Q32)</f>
        <v>58713</v>
      </c>
    </row>
    <row r="33" customFormat="false" ht="15" hidden="false" customHeight="true" outlineLevel="0" collapsed="false">
      <c r="D33" s="100" t="s">
        <v>77</v>
      </c>
      <c r="F33" s="110" t="n">
        <v>751</v>
      </c>
      <c r="G33" s="110" t="n">
        <v>346</v>
      </c>
      <c r="H33" s="110" t="n">
        <v>974</v>
      </c>
      <c r="I33" s="110" t="n">
        <v>520</v>
      </c>
      <c r="J33" s="110" t="n">
        <v>615</v>
      </c>
      <c r="K33" s="110" t="n">
        <v>464</v>
      </c>
      <c r="L33" s="110" t="n">
        <v>4270</v>
      </c>
      <c r="M33" s="110" t="n">
        <v>2152</v>
      </c>
      <c r="N33" s="110" t="n">
        <v>659</v>
      </c>
      <c r="O33" s="110" t="n">
        <v>3141</v>
      </c>
      <c r="P33" s="110" t="n">
        <v>1038</v>
      </c>
      <c r="Q33" s="110" t="n">
        <v>6179</v>
      </c>
      <c r="R33" s="110" t="n">
        <f aca="false">SUM(F33:Q33)</f>
        <v>21109</v>
      </c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60</v>
      </c>
      <c r="H34" s="110" t="n">
        <v>0</v>
      </c>
      <c r="I34" s="110" t="n">
        <v>0</v>
      </c>
      <c r="J34" s="110" t="n">
        <v>100</v>
      </c>
      <c r="K34" s="110" t="n">
        <v>200</v>
      </c>
      <c r="L34" s="110" t="n">
        <v>192</v>
      </c>
      <c r="M34" s="110" t="n">
        <v>149</v>
      </c>
      <c r="N34" s="110" t="n">
        <v>333</v>
      </c>
      <c r="O34" s="110" t="n">
        <v>629</v>
      </c>
      <c r="P34" s="110" t="n">
        <v>0</v>
      </c>
      <c r="Q34" s="110" t="n">
        <v>28</v>
      </c>
      <c r="R34" s="110" t="n">
        <f aca="false">SUM(F34:Q34)</f>
        <v>1691</v>
      </c>
    </row>
    <row r="35" customFormat="false" ht="15" hidden="false" customHeight="true" outlineLevel="0" collapsed="false">
      <c r="D35" s="100" t="s">
        <v>78</v>
      </c>
      <c r="F35" s="110" t="n">
        <v>667</v>
      </c>
      <c r="G35" s="110" t="n">
        <v>451</v>
      </c>
      <c r="H35" s="110" t="n">
        <v>1090</v>
      </c>
      <c r="I35" s="110" t="n">
        <v>436</v>
      </c>
      <c r="J35" s="110" t="n">
        <v>462</v>
      </c>
      <c r="K35" s="110" t="n">
        <v>1027</v>
      </c>
      <c r="L35" s="110" t="n">
        <v>720</v>
      </c>
      <c r="M35" s="110" t="n">
        <v>3020</v>
      </c>
      <c r="N35" s="110" t="n">
        <v>2857</v>
      </c>
      <c r="O35" s="110" t="n">
        <v>1460</v>
      </c>
      <c r="P35" s="110" t="n">
        <v>7627</v>
      </c>
      <c r="Q35" s="110" t="n">
        <v>-5424</v>
      </c>
      <c r="R35" s="110" t="n">
        <f aca="false">SUM(F35:Q35)</f>
        <v>14393</v>
      </c>
    </row>
    <row r="36" customFormat="false" ht="15" hidden="false" customHeight="true" outlineLevel="0" collapsed="false">
      <c r="D36" s="1" t="s">
        <v>79</v>
      </c>
      <c r="F36" s="110" t="n">
        <f aca="false">48256+3611-F32</f>
        <v>51143</v>
      </c>
      <c r="G36" s="110" t="n">
        <f aca="false">39080+3271-G32</f>
        <v>41498</v>
      </c>
      <c r="H36" s="110" t="n">
        <f aca="false">45556+6766-H32</f>
        <v>48200</v>
      </c>
      <c r="I36" s="110" t="n">
        <f aca="false">45364+13606-I32</f>
        <v>50670</v>
      </c>
      <c r="J36" s="110" t="n">
        <f aca="false">54262+10341-J32</f>
        <v>58753</v>
      </c>
      <c r="K36" s="110" t="n">
        <f aca="false">42910+14600-K32</f>
        <v>46680</v>
      </c>
      <c r="L36" s="110" t="n">
        <f aca="false">51950+7827-L32</f>
        <v>55768</v>
      </c>
      <c r="M36" s="110" t="n">
        <f aca="false">54539+8104-M32</f>
        <v>59342</v>
      </c>
      <c r="N36" s="110" t="n">
        <f aca="false">50547+9914-N32</f>
        <v>54359</v>
      </c>
      <c r="O36" s="110" t="n">
        <f aca="false">53309+7375-O32</f>
        <v>57346</v>
      </c>
      <c r="P36" s="110" t="n">
        <f aca="false">63848+9802-P32</f>
        <v>67150</v>
      </c>
      <c r="Q36" s="110" t="n">
        <f aca="false">77885+15893-Q32</f>
        <v>88994</v>
      </c>
      <c r="R36" s="110" t="n">
        <f aca="false">SUM(F36:Q36)</f>
        <v>679903</v>
      </c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-13935</v>
      </c>
      <c r="G38" s="112" t="n">
        <f aca="false">+G8-G28</f>
        <v>-18998</v>
      </c>
      <c r="H38" s="112" t="n">
        <f aca="false">+H8-H28</f>
        <v>-18626</v>
      </c>
      <c r="I38" s="112" t="n">
        <f aca="false">+I8-I28</f>
        <v>25762</v>
      </c>
      <c r="J38" s="112" t="n">
        <f aca="false">+J8-J28</f>
        <v>7026</v>
      </c>
      <c r="K38" s="112" t="n">
        <f aca="false">+K8-K28</f>
        <v>769</v>
      </c>
      <c r="L38" s="112" t="n">
        <f aca="false">+L8-L28</f>
        <v>-15429</v>
      </c>
      <c r="M38" s="112" t="n">
        <f aca="false">+M8-M28</f>
        <v>1683</v>
      </c>
      <c r="N38" s="112" t="n">
        <f aca="false">+N8-N28</f>
        <v>-21628</v>
      </c>
      <c r="O38" s="112" t="n">
        <f aca="false">+O8-O28</f>
        <v>-8959</v>
      </c>
      <c r="P38" s="112" t="n">
        <f aca="false">+P8-P28</f>
        <v>-4340</v>
      </c>
      <c r="Q38" s="112" t="n">
        <f aca="false">+Q8-Q28</f>
        <v>-1442</v>
      </c>
      <c r="R38" s="112" t="n">
        <f aca="false">SUM(F38:Q38)</f>
        <v>-68117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27927</v>
      </c>
      <c r="G40" s="108" t="n">
        <v>-37231</v>
      </c>
      <c r="H40" s="108" t="n">
        <v>22624</v>
      </c>
      <c r="I40" s="108" t="n">
        <v>-1296</v>
      </c>
      <c r="J40" s="108" t="n">
        <v>5492</v>
      </c>
      <c r="K40" s="108" t="n">
        <v>14495</v>
      </c>
      <c r="L40" s="108" t="n">
        <v>67176</v>
      </c>
      <c r="M40" s="108" t="n">
        <v>-5368</v>
      </c>
      <c r="N40" s="108" t="n">
        <v>-5068</v>
      </c>
      <c r="O40" s="108" t="n">
        <v>16783</v>
      </c>
      <c r="P40" s="108" t="n">
        <v>45346</v>
      </c>
      <c r="Q40" s="108" t="n">
        <v>9228</v>
      </c>
      <c r="R40" s="108" t="n">
        <v>160108</v>
      </c>
    </row>
    <row r="41" customFormat="false" ht="15" hidden="false" customHeight="true" outlineLevel="0" collapsed="false">
      <c r="C41" s="100" t="s">
        <v>37</v>
      </c>
      <c r="F41" s="109" t="n">
        <v>-1596</v>
      </c>
      <c r="G41" s="109" t="n">
        <v>14579</v>
      </c>
      <c r="H41" s="109" t="n">
        <v>-3595</v>
      </c>
      <c r="I41" s="109" t="n">
        <v>-15258</v>
      </c>
      <c r="J41" s="109" t="n">
        <v>-527</v>
      </c>
      <c r="K41" s="109" t="n">
        <v>-2224</v>
      </c>
      <c r="L41" s="109" t="n">
        <v>-291</v>
      </c>
      <c r="M41" s="109" t="n">
        <v>-4182</v>
      </c>
      <c r="N41" s="109" t="n">
        <v>-3914</v>
      </c>
      <c r="O41" s="109" t="n">
        <v>-419</v>
      </c>
      <c r="P41" s="109" t="n">
        <v>9499</v>
      </c>
      <c r="Q41" s="109" t="n">
        <v>-1274</v>
      </c>
      <c r="R41" s="109" t="n">
        <v>-9202</v>
      </c>
    </row>
    <row r="42" customFormat="false" ht="15" hidden="false" customHeight="true" outlineLevel="0" collapsed="false">
      <c r="D42" s="100" t="s">
        <v>38</v>
      </c>
      <c r="F42" s="110" t="n">
        <v>606</v>
      </c>
      <c r="G42" s="110" t="n">
        <v>20830</v>
      </c>
      <c r="H42" s="110" t="n">
        <v>921</v>
      </c>
      <c r="I42" s="110" t="n">
        <v>17083</v>
      </c>
      <c r="J42" s="110" t="n">
        <v>2640</v>
      </c>
      <c r="K42" s="110" t="n">
        <v>2510</v>
      </c>
      <c r="L42" s="110" t="n">
        <v>1574</v>
      </c>
      <c r="M42" s="110" t="n">
        <v>2899</v>
      </c>
      <c r="N42" s="110" t="n">
        <v>2243</v>
      </c>
      <c r="O42" s="110" t="n">
        <v>1730</v>
      </c>
      <c r="P42" s="110" t="n">
        <v>13579</v>
      </c>
      <c r="Q42" s="110" t="n">
        <v>4696</v>
      </c>
      <c r="R42" s="110" t="n">
        <v>71311</v>
      </c>
    </row>
    <row r="43" customFormat="false" ht="15" hidden="false" customHeight="true" outlineLevel="0" collapsed="false">
      <c r="D43" s="100" t="s">
        <v>97</v>
      </c>
      <c r="F43" s="110" t="n">
        <v>2202</v>
      </c>
      <c r="G43" s="110" t="n">
        <v>6251</v>
      </c>
      <c r="H43" s="110" t="n">
        <v>4516</v>
      </c>
      <c r="I43" s="110" t="n">
        <v>32341</v>
      </c>
      <c r="J43" s="110" t="n">
        <v>3167</v>
      </c>
      <c r="K43" s="110" t="n">
        <v>4734</v>
      </c>
      <c r="L43" s="110" t="n">
        <v>1865</v>
      </c>
      <c r="M43" s="110" t="n">
        <v>7081</v>
      </c>
      <c r="N43" s="110" t="n">
        <v>6157</v>
      </c>
      <c r="O43" s="110" t="n">
        <v>2149</v>
      </c>
      <c r="P43" s="110" t="n">
        <v>4080</v>
      </c>
      <c r="Q43" s="110" t="n">
        <v>5970</v>
      </c>
      <c r="R43" s="110" t="n">
        <v>80513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29523</v>
      </c>
      <c r="G45" s="109" t="n">
        <v>-51810</v>
      </c>
      <c r="H45" s="109" t="n">
        <v>26219</v>
      </c>
      <c r="I45" s="109" t="n">
        <v>13962</v>
      </c>
      <c r="J45" s="109" t="n">
        <v>6019</v>
      </c>
      <c r="K45" s="109" t="n">
        <v>16719</v>
      </c>
      <c r="L45" s="109" t="n">
        <v>67467</v>
      </c>
      <c r="M45" s="109" t="n">
        <v>-1186</v>
      </c>
      <c r="N45" s="109" t="n">
        <v>-1154</v>
      </c>
      <c r="O45" s="109" t="n">
        <v>17202</v>
      </c>
      <c r="P45" s="109" t="n">
        <v>35847</v>
      </c>
      <c r="Q45" s="109" t="n">
        <v>10502</v>
      </c>
      <c r="R45" s="109" t="n">
        <v>169310</v>
      </c>
    </row>
    <row r="46" customFormat="false" ht="15" hidden="false" customHeight="true" outlineLevel="0" collapsed="false">
      <c r="D46" s="100" t="s">
        <v>41</v>
      </c>
      <c r="F46" s="110" t="n">
        <v>39057</v>
      </c>
      <c r="G46" s="110" t="n">
        <v>37678</v>
      </c>
      <c r="H46" s="110" t="n">
        <v>53344</v>
      </c>
      <c r="I46" s="110" t="n">
        <v>30220</v>
      </c>
      <c r="J46" s="110" t="n">
        <v>13670</v>
      </c>
      <c r="K46" s="110" t="n">
        <v>24204</v>
      </c>
      <c r="L46" s="110" t="n">
        <v>87450</v>
      </c>
      <c r="M46" s="110" t="n">
        <v>30800</v>
      </c>
      <c r="N46" s="110" t="n">
        <v>23668</v>
      </c>
      <c r="O46" s="110" t="n">
        <v>30483</v>
      </c>
      <c r="P46" s="110" t="n">
        <v>41831</v>
      </c>
      <c r="Q46" s="110" t="n">
        <v>16856</v>
      </c>
      <c r="R46" s="110" t="n">
        <v>429261</v>
      </c>
    </row>
    <row r="47" customFormat="false" ht="15" hidden="false" customHeight="true" outlineLevel="0" collapsed="false">
      <c r="D47" s="100" t="s">
        <v>39</v>
      </c>
      <c r="F47" s="110" t="n">
        <v>9534</v>
      </c>
      <c r="G47" s="110" t="n">
        <v>89488</v>
      </c>
      <c r="H47" s="110" t="n">
        <v>27125</v>
      </c>
      <c r="I47" s="110" t="n">
        <v>16258</v>
      </c>
      <c r="J47" s="110" t="n">
        <v>7651</v>
      </c>
      <c r="K47" s="110" t="n">
        <v>7485</v>
      </c>
      <c r="L47" s="110" t="n">
        <v>19983</v>
      </c>
      <c r="M47" s="110" t="n">
        <v>31986</v>
      </c>
      <c r="N47" s="110" t="n">
        <v>24822</v>
      </c>
      <c r="O47" s="110" t="n">
        <v>13281</v>
      </c>
      <c r="P47" s="110" t="n">
        <v>5984</v>
      </c>
      <c r="Q47" s="110" t="n">
        <v>6354</v>
      </c>
      <c r="R47" s="110" t="n">
        <v>259951</v>
      </c>
    </row>
    <row r="48" customFormat="false" ht="1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customFormat="false" ht="15" hidden="false" customHeight="true" outlineLevel="0" collapsed="false">
      <c r="B49" s="107" t="s">
        <v>45</v>
      </c>
      <c r="C49" s="107"/>
      <c r="D49" s="107"/>
      <c r="E49" s="107"/>
      <c r="F49" s="108" t="n">
        <v>29174</v>
      </c>
      <c r="G49" s="108" t="n">
        <v>-37001</v>
      </c>
      <c r="H49" s="108" t="n">
        <v>758</v>
      </c>
      <c r="I49" s="108" t="n">
        <v>14712</v>
      </c>
      <c r="J49" s="108" t="n">
        <v>-17078</v>
      </c>
      <c r="K49" s="108" t="n">
        <v>55255</v>
      </c>
      <c r="L49" s="108" t="n">
        <v>5434</v>
      </c>
      <c r="M49" s="108" t="n">
        <v>-11447</v>
      </c>
      <c r="N49" s="108" t="n">
        <v>-8738</v>
      </c>
      <c r="O49" s="108" t="n">
        <v>-8354</v>
      </c>
      <c r="P49" s="108" t="n">
        <v>2248</v>
      </c>
      <c r="Q49" s="108" t="n">
        <v>22514</v>
      </c>
      <c r="R49" s="108" t="n">
        <v>47477</v>
      </c>
    </row>
    <row r="50" customFormat="false" ht="14.25" hidden="false" customHeight="false" outlineLevel="0" collapsed="false">
      <c r="F50" s="110"/>
      <c r="G50" s="110"/>
      <c r="H50" s="110"/>
      <c r="I50" s="110"/>
    </row>
    <row r="51" customFormat="false" ht="15" hidden="false" customHeight="false" outlineLevel="0" collapsed="false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</row>
    <row r="52" customFormat="false" ht="15" hidden="false" customHeight="false" outlineLevel="0" collapsed="false">
      <c r="B52" s="103" t="s">
        <v>46</v>
      </c>
    </row>
    <row r="53" customFormat="false" ht="14.25" hidden="false" customHeight="false" outlineLevel="0" collapsed="false">
      <c r="B53" s="103"/>
      <c r="C53" s="31" t="s">
        <v>98</v>
      </c>
      <c r="D53" s="31"/>
    </row>
    <row r="54" customFormat="false" ht="14.25" hidden="false" customHeight="false" outlineLevel="0" collapsed="false">
      <c r="B54" s="31"/>
      <c r="C54" s="31" t="s">
        <v>99</v>
      </c>
      <c r="D54" s="31"/>
    </row>
    <row r="57" customFormat="false" ht="14.25" hidden="false" customHeight="false" outlineLevel="0" collapsed="false">
      <c r="B57" s="31" t="s">
        <v>51</v>
      </c>
    </row>
    <row r="58" customFormat="false" ht="14.25" hidden="false" customHeight="false" outlineLevel="0" collapsed="false">
      <c r="B58" s="31" t="s">
        <v>106</v>
      </c>
    </row>
  </sheetData>
  <mergeCells count="1">
    <mergeCell ref="A6:E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T29" activeCellId="0" sqref="T29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33.42"/>
    <col collapsed="false" customWidth="false" hidden="false" outlineLevel="0" max="10" min="6" style="100" width="9.14"/>
    <col collapsed="false" customWidth="true" hidden="false" outlineLevel="0" max="11" min="11" style="100" width="8"/>
    <col collapsed="false" customWidth="false" hidden="false" outlineLevel="0" max="17" min="12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117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3</v>
      </c>
      <c r="B4" s="102"/>
    </row>
    <row r="5" customFormat="false" ht="14.25" hidden="false" customHeight="false" outlineLevel="0" collapsed="false">
      <c r="B5" s="102"/>
    </row>
    <row r="6" customFormat="false" ht="6" hidden="false" customHeight="true" outlineLevel="0" collapsed="false"/>
    <row r="7" customFormat="false" ht="22.5" hidden="false" customHeight="true" outlineLevel="0" collapsed="false">
      <c r="A7" s="104"/>
      <c r="B7" s="105" t="s">
        <v>4</v>
      </c>
      <c r="C7" s="105"/>
      <c r="D7" s="105"/>
      <c r="E7" s="105"/>
      <c r="F7" s="105" t="s">
        <v>5</v>
      </c>
      <c r="G7" s="105" t="s">
        <v>6</v>
      </c>
      <c r="H7" s="105" t="s">
        <v>7</v>
      </c>
      <c r="I7" s="105" t="s">
        <v>8</v>
      </c>
      <c r="J7" s="105" t="s">
        <v>9</v>
      </c>
      <c r="K7" s="105" t="s">
        <v>10</v>
      </c>
      <c r="L7" s="105" t="s">
        <v>53</v>
      </c>
      <c r="M7" s="105" t="s">
        <v>54</v>
      </c>
      <c r="N7" s="105" t="s">
        <v>64</v>
      </c>
      <c r="O7" s="105" t="s">
        <v>56</v>
      </c>
      <c r="P7" s="105" t="s">
        <v>57</v>
      </c>
      <c r="Q7" s="105" t="s">
        <v>58</v>
      </c>
      <c r="R7" s="105" t="s">
        <v>11</v>
      </c>
      <c r="S7" s="140"/>
    </row>
    <row r="8" customFormat="false" ht="15" hidden="false" customHeight="true" outlineLevel="0" collapsed="false">
      <c r="O8" s="110"/>
    </row>
    <row r="9" customFormat="false" ht="15" hidden="false" customHeight="true" outlineLevel="0" collapsed="false">
      <c r="B9" s="107" t="s">
        <v>12</v>
      </c>
      <c r="C9" s="107"/>
      <c r="D9" s="107"/>
      <c r="E9" s="107"/>
      <c r="F9" s="108" t="n">
        <f aca="false">F10+F20+F27</f>
        <v>86991</v>
      </c>
      <c r="G9" s="108" t="n">
        <f aca="false">G10+G20+G27</f>
        <v>81762</v>
      </c>
      <c r="H9" s="108" t="n">
        <f aca="false">H10+H20+H27</f>
        <v>84763</v>
      </c>
      <c r="I9" s="108" t="n">
        <f aca="false">I10+I20+I27</f>
        <v>122030</v>
      </c>
      <c r="J9" s="108" t="n">
        <f aca="false">J10+J20+J27</f>
        <v>106879</v>
      </c>
      <c r="K9" s="108" t="n">
        <f aca="false">K10+K20+K27</f>
        <v>87564</v>
      </c>
      <c r="L9" s="108" t="n">
        <f aca="false">L10+L20+L27</f>
        <v>101417</v>
      </c>
      <c r="M9" s="108" t="n">
        <f aca="false">M10+M20+M27</f>
        <v>118877</v>
      </c>
      <c r="N9" s="108" t="n">
        <f aca="false">N10+N20+N27</f>
        <v>89637</v>
      </c>
      <c r="O9" s="108" t="n">
        <f aca="false">O10+O20+O27</f>
        <v>92634</v>
      </c>
      <c r="P9" s="108" t="n">
        <f aca="false">P10+P20+P27</f>
        <v>109040</v>
      </c>
      <c r="Q9" s="108" t="n">
        <f aca="false">Q10+Q20+Q27</f>
        <v>121311</v>
      </c>
      <c r="R9" s="108" t="n">
        <f aca="false">R10+R20+R27</f>
        <v>1202905</v>
      </c>
    </row>
    <row r="10" customFormat="false" ht="15" hidden="false" customHeight="true" outlineLevel="0" collapsed="false">
      <c r="C10" s="100" t="s">
        <v>13</v>
      </c>
      <c r="F10" s="109" t="n">
        <f aca="false">F11+F15+F18</f>
        <v>72117</v>
      </c>
      <c r="G10" s="109" t="n">
        <f aca="false">G11+G15+G18</f>
        <v>67313</v>
      </c>
      <c r="H10" s="109" t="n">
        <f aca="false">H11+H15+H18</f>
        <v>78495</v>
      </c>
      <c r="I10" s="109" t="n">
        <f aca="false">I11+I15+I18</f>
        <v>113999</v>
      </c>
      <c r="J10" s="109" t="n">
        <f aca="false">J11+J15+J18</f>
        <v>100140</v>
      </c>
      <c r="K10" s="109" t="n">
        <f aca="false">K11+K15+K18</f>
        <v>80358</v>
      </c>
      <c r="L10" s="109" t="n">
        <f aca="false">L11+L15+L18</f>
        <v>89277</v>
      </c>
      <c r="M10" s="109" t="n">
        <f aca="false">M11+M15+M18</f>
        <v>105243</v>
      </c>
      <c r="N10" s="109" t="n">
        <f aca="false">N11+N15+N18</f>
        <v>82471</v>
      </c>
      <c r="O10" s="109" t="n">
        <f aca="false">O11+O15+O18</f>
        <v>82906</v>
      </c>
      <c r="P10" s="109" t="n">
        <f aca="false">P11+P15+P18</f>
        <v>100498</v>
      </c>
      <c r="Q10" s="109" t="n">
        <f aca="false">Q11+Q15+Q18</f>
        <v>76372</v>
      </c>
      <c r="R10" s="109" t="n">
        <f aca="false">R11+R15+R18</f>
        <v>1049189</v>
      </c>
    </row>
    <row r="11" customFormat="false" ht="15" hidden="false" customHeight="true" outlineLevel="0" collapsed="false">
      <c r="D11" s="100" t="s">
        <v>14</v>
      </c>
      <c r="F11" s="110" t="n">
        <v>56710</v>
      </c>
      <c r="G11" s="110" t="n">
        <v>50888</v>
      </c>
      <c r="H11" s="110" t="n">
        <v>59024</v>
      </c>
      <c r="I11" s="110" t="n">
        <v>91345</v>
      </c>
      <c r="J11" s="110" t="n">
        <v>77713</v>
      </c>
      <c r="K11" s="110" t="n">
        <v>54088</v>
      </c>
      <c r="L11" s="110" t="n">
        <v>63435</v>
      </c>
      <c r="M11" s="110" t="n">
        <v>78905</v>
      </c>
      <c r="N11" s="110" t="n">
        <v>55768</v>
      </c>
      <c r="O11" s="110" t="n">
        <v>56945</v>
      </c>
      <c r="P11" s="110" t="n">
        <v>76745</v>
      </c>
      <c r="Q11" s="110" t="n">
        <v>57015</v>
      </c>
      <c r="R11" s="110" t="n">
        <f aca="false">SUM(F11:Q11)</f>
        <v>778581</v>
      </c>
    </row>
    <row r="12" customFormat="false" ht="15" hidden="false" customHeight="true" outlineLevel="0" collapsed="false">
      <c r="E12" s="31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</row>
    <row r="13" customFormat="false" ht="15" hidden="false" customHeight="true" outlineLevel="0" collapsed="false">
      <c r="E13" s="100" t="s">
        <v>16</v>
      </c>
      <c r="F13" s="110" t="n">
        <v>0</v>
      </c>
      <c r="G13" s="110" t="n">
        <v>527</v>
      </c>
      <c r="H13" s="110" t="n">
        <v>1224</v>
      </c>
      <c r="I13" s="110" t="n">
        <v>3012</v>
      </c>
      <c r="J13" s="110" t="n">
        <v>1170</v>
      </c>
      <c r="K13" s="110" t="n">
        <v>264</v>
      </c>
      <c r="L13" s="110" t="n">
        <v>851</v>
      </c>
      <c r="M13" s="110" t="n">
        <v>595</v>
      </c>
      <c r="N13" s="110" t="n">
        <v>263</v>
      </c>
      <c r="O13" s="110" t="n">
        <v>0</v>
      </c>
      <c r="P13" s="110" t="n">
        <v>517</v>
      </c>
      <c r="Q13" s="110" t="n">
        <v>573</v>
      </c>
      <c r="R13" s="110" t="n">
        <f aca="false">SUM(F13:Q13)</f>
        <v>8996</v>
      </c>
    </row>
    <row r="14" customFormat="false" ht="15" hidden="false" customHeight="true" outlineLevel="0" collapsed="false">
      <c r="E14" s="100" t="s">
        <v>17</v>
      </c>
      <c r="F14" s="110" t="n">
        <v>0</v>
      </c>
      <c r="G14" s="110" t="n">
        <v>0</v>
      </c>
      <c r="H14" s="110" t="n">
        <v>0</v>
      </c>
      <c r="I14" s="110" t="n">
        <v>1624</v>
      </c>
      <c r="J14" s="110" t="n">
        <v>1203</v>
      </c>
      <c r="K14" s="110" t="n">
        <v>2838</v>
      </c>
      <c r="L14" s="110" t="n">
        <v>111</v>
      </c>
      <c r="M14" s="110" t="n">
        <v>12</v>
      </c>
      <c r="N14" s="110" t="n">
        <v>792</v>
      </c>
      <c r="O14" s="110" t="n">
        <v>130</v>
      </c>
      <c r="P14" s="110" t="n">
        <v>0</v>
      </c>
      <c r="Q14" s="110" t="n">
        <v>959</v>
      </c>
      <c r="R14" s="110" t="n">
        <f aca="false">SUM(F14:Q14)</f>
        <v>7669</v>
      </c>
    </row>
    <row r="15" customFormat="false" ht="15" hidden="false" customHeight="true" outlineLevel="0" collapsed="false">
      <c r="D15" s="100" t="s">
        <v>18</v>
      </c>
      <c r="F15" s="110" t="n">
        <v>14711</v>
      </c>
      <c r="G15" s="110" t="n">
        <v>15655</v>
      </c>
      <c r="H15" s="110" t="n">
        <v>18514</v>
      </c>
      <c r="I15" s="110" t="n">
        <v>21738</v>
      </c>
      <c r="J15" s="110" t="n">
        <v>21524</v>
      </c>
      <c r="K15" s="110" t="n">
        <v>24885</v>
      </c>
      <c r="L15" s="110" t="n">
        <v>25013</v>
      </c>
      <c r="M15" s="110" t="n">
        <v>25417</v>
      </c>
      <c r="N15" s="110" t="n">
        <v>25755</v>
      </c>
      <c r="O15" s="110" t="n">
        <v>24982</v>
      </c>
      <c r="P15" s="110" t="n">
        <v>23277</v>
      </c>
      <c r="Q15" s="110" t="n">
        <v>18777</v>
      </c>
      <c r="R15" s="110" t="n">
        <f aca="false">SUM(F15:Q15)</f>
        <v>260248</v>
      </c>
    </row>
    <row r="16" customFormat="false" ht="15" hidden="false" customHeight="true" outlineLevel="0" collapsed="false">
      <c r="E16" s="31" t="s">
        <v>15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</row>
    <row r="17" customFormat="false" ht="15" hidden="false" customHeight="true" outlineLevel="0" collapsed="false">
      <c r="E17" s="100" t="s">
        <v>17</v>
      </c>
      <c r="F17" s="110" t="n">
        <v>724</v>
      </c>
      <c r="G17" s="110" t="n">
        <v>326</v>
      </c>
      <c r="H17" s="110" t="n">
        <v>2898</v>
      </c>
      <c r="I17" s="110" t="n">
        <v>3664</v>
      </c>
      <c r="J17" s="110" t="n">
        <v>3477</v>
      </c>
      <c r="K17" s="110" t="n">
        <v>7728</v>
      </c>
      <c r="L17" s="110" t="n">
        <v>3047</v>
      </c>
      <c r="M17" s="110" t="n">
        <v>2694</v>
      </c>
      <c r="N17" s="110" t="n">
        <v>5047</v>
      </c>
      <c r="O17" s="110" t="n">
        <v>3208</v>
      </c>
      <c r="P17" s="110" t="n">
        <v>5983</v>
      </c>
      <c r="Q17" s="110" t="n">
        <v>3252</v>
      </c>
      <c r="R17" s="110" t="n">
        <f aca="false">SUM(F17:Q17)</f>
        <v>42048</v>
      </c>
    </row>
    <row r="18" customFormat="false" ht="15" hidden="false" customHeight="true" outlineLevel="0" collapsed="false">
      <c r="D18" s="100" t="s">
        <v>105</v>
      </c>
      <c r="F18" s="110" t="n">
        <v>696</v>
      </c>
      <c r="G18" s="110" t="n">
        <v>770</v>
      </c>
      <c r="H18" s="110" t="n">
        <v>957</v>
      </c>
      <c r="I18" s="110" t="n">
        <v>916</v>
      </c>
      <c r="J18" s="110" t="n">
        <v>903</v>
      </c>
      <c r="K18" s="110" t="n">
        <v>1385</v>
      </c>
      <c r="L18" s="110" t="n">
        <v>829</v>
      </c>
      <c r="M18" s="110" t="n">
        <v>921</v>
      </c>
      <c r="N18" s="110" t="n">
        <v>948</v>
      </c>
      <c r="O18" s="110" t="n">
        <v>979</v>
      </c>
      <c r="P18" s="110" t="n">
        <v>476</v>
      </c>
      <c r="Q18" s="110" t="n">
        <v>580</v>
      </c>
      <c r="R18" s="110" t="n">
        <f aca="false">SUM(F18:Q18)</f>
        <v>10360</v>
      </c>
    </row>
    <row r="19" customFormat="false" ht="15" hidden="false" customHeight="true" outlineLevel="0" collapsed="false"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U19" s="100" t="s">
        <v>59</v>
      </c>
    </row>
    <row r="20" customFormat="false" ht="15" hidden="false" customHeight="true" outlineLevel="0" collapsed="false">
      <c r="C20" s="100" t="s">
        <v>20</v>
      </c>
      <c r="F20" s="109" t="n">
        <f aca="false">SUM(F21:F25)</f>
        <v>14847</v>
      </c>
      <c r="G20" s="109" t="n">
        <f aca="false">SUM(G21:G25)</f>
        <v>14442</v>
      </c>
      <c r="H20" s="109" t="n">
        <f aca="false">SUM(H21:H25)</f>
        <v>6233</v>
      </c>
      <c r="I20" s="109" t="n">
        <f aca="false">SUM(I21:I25)</f>
        <v>8025</v>
      </c>
      <c r="J20" s="109" t="n">
        <f aca="false">SUM(J21:J25)</f>
        <v>6732</v>
      </c>
      <c r="K20" s="109" t="n">
        <f aca="false">SUM(K21:K25)</f>
        <v>7202</v>
      </c>
      <c r="L20" s="109" t="n">
        <f aca="false">SUM(L21:L25)</f>
        <v>12132</v>
      </c>
      <c r="M20" s="109" t="n">
        <f aca="false">SUM(M21:M25)</f>
        <v>13629</v>
      </c>
      <c r="N20" s="109" t="n">
        <f aca="false">SUM(N21:N25)</f>
        <v>7159</v>
      </c>
      <c r="O20" s="109" t="n">
        <f aca="false">SUM(O21:O25)</f>
        <v>9727</v>
      </c>
      <c r="P20" s="109" t="n">
        <f aca="false">SUM(P21:P25)</f>
        <v>8527</v>
      </c>
      <c r="Q20" s="109" t="n">
        <f aca="false">SUM(Q21:Q25)</f>
        <v>44936</v>
      </c>
      <c r="R20" s="109" t="n">
        <f aca="false">SUM(R21:R25)</f>
        <v>153591</v>
      </c>
      <c r="S20" s="109"/>
    </row>
    <row r="21" customFormat="false" ht="15" hidden="false" customHeight="true" outlineLevel="0" collapsed="false">
      <c r="D21" s="100" t="s">
        <v>21</v>
      </c>
      <c r="F21" s="110" t="n">
        <v>4642</v>
      </c>
      <c r="G21" s="110" t="n">
        <v>8485</v>
      </c>
      <c r="H21" s="110" t="n">
        <v>3935</v>
      </c>
      <c r="I21" s="110" t="n">
        <v>4731</v>
      </c>
      <c r="J21" s="110" t="n">
        <v>3511</v>
      </c>
      <c r="K21" s="110" t="n">
        <v>4158</v>
      </c>
      <c r="L21" s="110" t="n">
        <v>7199</v>
      </c>
      <c r="M21" s="110" t="n">
        <v>8949</v>
      </c>
      <c r="N21" s="110" t="n">
        <v>2178</v>
      </c>
      <c r="O21" s="110" t="n">
        <v>5350</v>
      </c>
      <c r="P21" s="110" t="n">
        <v>4265</v>
      </c>
      <c r="Q21" s="110" t="n">
        <v>6278</v>
      </c>
      <c r="R21" s="110" t="n">
        <f aca="false">SUM(F21:Q21)</f>
        <v>63681</v>
      </c>
    </row>
    <row r="22" customFormat="false" ht="15" hidden="false" customHeight="true" outlineLevel="0" collapsed="false">
      <c r="D22" s="100" t="s">
        <v>23</v>
      </c>
      <c r="F22" s="110" t="n">
        <v>6601</v>
      </c>
      <c r="G22" s="110" t="n">
        <v>152</v>
      </c>
      <c r="H22" s="110" t="n">
        <v>0</v>
      </c>
      <c r="I22" s="110" t="n">
        <v>115</v>
      </c>
      <c r="J22" s="110" t="n">
        <v>17</v>
      </c>
      <c r="K22" s="110" t="n">
        <v>0</v>
      </c>
      <c r="L22" s="110" t="n">
        <v>56</v>
      </c>
      <c r="M22" s="110" t="n">
        <v>537</v>
      </c>
      <c r="N22" s="110" t="n">
        <v>153</v>
      </c>
      <c r="O22" s="110" t="n">
        <v>0</v>
      </c>
      <c r="P22" s="110" t="n">
        <v>286</v>
      </c>
      <c r="Q22" s="110" t="n">
        <v>23372</v>
      </c>
      <c r="R22" s="110" t="n">
        <f aca="false">SUM(F22:Q22)</f>
        <v>31289</v>
      </c>
      <c r="T22" s="110"/>
    </row>
    <row r="23" customFormat="false" ht="15" hidden="false" customHeight="true" outlineLevel="0" collapsed="false">
      <c r="D23" s="100" t="s">
        <v>24</v>
      </c>
      <c r="F23" s="110" t="n">
        <v>669.213</v>
      </c>
      <c r="G23" s="110" t="n">
        <v>2547.492</v>
      </c>
      <c r="H23" s="110" t="n">
        <v>443.953</v>
      </c>
      <c r="I23" s="110" t="n">
        <v>832.64</v>
      </c>
      <c r="J23" s="110" t="n">
        <v>882.521</v>
      </c>
      <c r="K23" s="110" t="n">
        <v>791.007</v>
      </c>
      <c r="L23" s="110" t="n">
        <v>1238.747</v>
      </c>
      <c r="M23" s="110" t="n">
        <v>1163.76</v>
      </c>
      <c r="N23" s="110" t="n">
        <v>828.925</v>
      </c>
      <c r="O23" s="110" t="n">
        <v>1212.452</v>
      </c>
      <c r="P23" s="110" t="n">
        <v>1065.409</v>
      </c>
      <c r="Q23" s="110" t="n">
        <v>13822.52</v>
      </c>
      <c r="R23" s="110" t="n">
        <f aca="false">SUM(F23:Q23)</f>
        <v>25498.639</v>
      </c>
    </row>
    <row r="24" customFormat="false" ht="15" hidden="false" customHeight="true" outlineLevel="0" collapsed="false">
      <c r="D24" s="100" t="s">
        <v>112</v>
      </c>
      <c r="F24" s="110" t="n">
        <v>1760</v>
      </c>
      <c r="G24" s="110" t="n">
        <v>1585</v>
      </c>
      <c r="H24" s="110" t="n">
        <v>1304</v>
      </c>
      <c r="I24" s="110" t="n">
        <v>2159</v>
      </c>
      <c r="J24" s="110" t="n">
        <v>423</v>
      </c>
      <c r="K24" s="110" t="n">
        <v>28</v>
      </c>
      <c r="L24" s="110" t="n">
        <v>831</v>
      </c>
      <c r="M24" s="110" t="n">
        <v>1844</v>
      </c>
      <c r="N24" s="110" t="n">
        <v>1532</v>
      </c>
      <c r="O24" s="110" t="n">
        <v>2723</v>
      </c>
      <c r="P24" s="110" t="n">
        <v>1261</v>
      </c>
      <c r="Q24" s="110" t="n">
        <v>959</v>
      </c>
      <c r="R24" s="110" t="n">
        <f aca="false">SUM(F24:Q24)</f>
        <v>16409</v>
      </c>
    </row>
    <row r="25" customFormat="false" ht="15" hidden="false" customHeight="true" outlineLevel="0" collapsed="false">
      <c r="D25" s="100" t="s">
        <v>105</v>
      </c>
      <c r="F25" s="110" t="n">
        <f aca="false">3604-F24-F23</f>
        <v>1174.787</v>
      </c>
      <c r="G25" s="110" t="n">
        <f aca="false">5805-G24-G23</f>
        <v>1672.508</v>
      </c>
      <c r="H25" s="110" t="n">
        <f aca="false">2298-H24-H23</f>
        <v>550.047</v>
      </c>
      <c r="I25" s="110" t="n">
        <f aca="false">3179-I24-I23</f>
        <v>187.36</v>
      </c>
      <c r="J25" s="110" t="n">
        <f aca="false">3204-J24-J23</f>
        <v>1898.479</v>
      </c>
      <c r="K25" s="110" t="n">
        <f aca="false">3044-K24-K23</f>
        <v>2224.993</v>
      </c>
      <c r="L25" s="110" t="n">
        <f aca="false">4877-L24-L23</f>
        <v>2807.253</v>
      </c>
      <c r="M25" s="110" t="n">
        <f aca="false">4143-M24-M23</f>
        <v>1135.24</v>
      </c>
      <c r="N25" s="110" t="n">
        <f aca="false">4828-N24-N23</f>
        <v>2467.075</v>
      </c>
      <c r="O25" s="110" t="n">
        <f aca="false">4377-O24-O23</f>
        <v>441.548</v>
      </c>
      <c r="P25" s="110" t="n">
        <f aca="false">3976-P24-P23</f>
        <v>1649.591</v>
      </c>
      <c r="Q25" s="110" t="n">
        <f aca="false">15286-Q24-Q23</f>
        <v>504.48</v>
      </c>
      <c r="R25" s="110" t="n">
        <f aca="false">SUM(F25:Q25)</f>
        <v>16713.361</v>
      </c>
    </row>
    <row r="26" customFormat="false" ht="15" hidden="false" customHeight="true" outlineLevel="0" collapsed="false"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customFormat="false" ht="15" hidden="false" customHeight="true" outlineLevel="0" collapsed="false">
      <c r="C27" s="100" t="s">
        <v>26</v>
      </c>
      <c r="F27" s="110" t="n">
        <v>27</v>
      </c>
      <c r="G27" s="110" t="n">
        <v>7</v>
      </c>
      <c r="H27" s="110" t="n">
        <v>35</v>
      </c>
      <c r="I27" s="110" t="n">
        <v>6</v>
      </c>
      <c r="J27" s="110" t="n">
        <v>7</v>
      </c>
      <c r="K27" s="110" t="n">
        <v>4</v>
      </c>
      <c r="L27" s="110" t="n">
        <v>8</v>
      </c>
      <c r="M27" s="110" t="n">
        <v>5</v>
      </c>
      <c r="N27" s="110" t="n">
        <v>7</v>
      </c>
      <c r="O27" s="110" t="n">
        <v>1</v>
      </c>
      <c r="P27" s="110" t="n">
        <v>15</v>
      </c>
      <c r="Q27" s="110" t="n">
        <v>3</v>
      </c>
      <c r="R27" s="110" t="n">
        <f aca="false">SUM(F27:Q27)</f>
        <v>125</v>
      </c>
    </row>
    <row r="28" customFormat="false" ht="15" hidden="false" customHeight="true" outlineLevel="0" collapsed="false"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customFormat="false" ht="15" hidden="false" customHeight="true" outlineLevel="0" collapsed="false">
      <c r="B29" s="107" t="s">
        <v>27</v>
      </c>
      <c r="C29" s="107"/>
      <c r="D29" s="107"/>
      <c r="E29" s="107"/>
      <c r="F29" s="108" t="n">
        <f aca="false">SUM(F31:F37)</f>
        <v>100926</v>
      </c>
      <c r="G29" s="108" t="n">
        <f aca="false">SUM(G31:G37)</f>
        <v>100760</v>
      </c>
      <c r="H29" s="108" t="n">
        <f aca="false">SUM(H31:H37)</f>
        <v>103389</v>
      </c>
      <c r="I29" s="108" t="n">
        <f aca="false">SUM(I31:I37)</f>
        <v>96268</v>
      </c>
      <c r="J29" s="108" t="n">
        <f aca="false">SUM(J31:J37)</f>
        <v>99853</v>
      </c>
      <c r="K29" s="108" t="n">
        <f aca="false">SUM(K31:K37)</f>
        <v>86795</v>
      </c>
      <c r="L29" s="108" t="n">
        <f aca="false">SUM(L31:L37)</f>
        <v>116846</v>
      </c>
      <c r="M29" s="108" t="n">
        <f aca="false">SUM(M31:M37)</f>
        <v>117194</v>
      </c>
      <c r="N29" s="108" t="n">
        <f aca="false">SUM(N31:N37)</f>
        <v>111265</v>
      </c>
      <c r="O29" s="108" t="n">
        <f aca="false">SUM(O31:O37)</f>
        <v>101593</v>
      </c>
      <c r="P29" s="108" t="n">
        <f aca="false">SUM(P31:P37)</f>
        <v>113380</v>
      </c>
      <c r="Q29" s="108" t="n">
        <f aca="false">SUM(Q31:Q37)</f>
        <v>122753</v>
      </c>
      <c r="R29" s="108" t="n">
        <f aca="false">SUM(F29:Q29)</f>
        <v>1271022</v>
      </c>
    </row>
    <row r="30" customFormat="false" ht="15" hidden="false" customHeight="true" outlineLevel="0" collapsed="false"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</row>
    <row r="31" customFormat="false" ht="15" hidden="false" customHeight="true" outlineLevel="0" collapsed="false">
      <c r="D31" s="100" t="s">
        <v>28</v>
      </c>
      <c r="F31" s="110" t="n">
        <v>17593</v>
      </c>
      <c r="G31" s="110" t="n">
        <v>17681</v>
      </c>
      <c r="H31" s="110" t="n">
        <v>18680</v>
      </c>
      <c r="I31" s="110" t="n">
        <v>17612</v>
      </c>
      <c r="J31" s="110" t="n">
        <v>20050</v>
      </c>
      <c r="K31" s="110" t="n">
        <v>19623</v>
      </c>
      <c r="L31" s="110" t="n">
        <v>18637</v>
      </c>
      <c r="M31" s="110" t="n">
        <v>17910</v>
      </c>
      <c r="N31" s="110" t="n">
        <v>17785</v>
      </c>
      <c r="O31" s="110" t="n">
        <v>18092</v>
      </c>
      <c r="P31" s="110" t="n">
        <v>18830</v>
      </c>
      <c r="Q31" s="110" t="n">
        <v>20502</v>
      </c>
      <c r="R31" s="110" t="n">
        <f aca="false">SUM(F31:Q31)</f>
        <v>222995</v>
      </c>
    </row>
    <row r="32" customFormat="false" ht="15" hidden="false" customHeight="true" outlineLevel="0" collapsed="false">
      <c r="D32" s="100" t="s">
        <v>29</v>
      </c>
      <c r="F32" s="110" t="n">
        <v>30048</v>
      </c>
      <c r="G32" s="110" t="n">
        <v>39871</v>
      </c>
      <c r="H32" s="110" t="n">
        <v>30323</v>
      </c>
      <c r="I32" s="110" t="n">
        <v>18730</v>
      </c>
      <c r="J32" s="110" t="n">
        <v>14023</v>
      </c>
      <c r="K32" s="110" t="n">
        <v>7971</v>
      </c>
      <c r="L32" s="110" t="n">
        <v>33250</v>
      </c>
      <c r="M32" s="110" t="n">
        <v>31320</v>
      </c>
      <c r="N32" s="110" t="n">
        <v>29170</v>
      </c>
      <c r="O32" s="110" t="n">
        <v>17587</v>
      </c>
      <c r="P32" s="110" t="n">
        <v>12235</v>
      </c>
      <c r="Q32" s="110" t="n">
        <v>7690</v>
      </c>
      <c r="R32" s="110" t="n">
        <f aca="false">SUM(F32:Q32)</f>
        <v>272218</v>
      </c>
    </row>
    <row r="33" customFormat="false" ht="15" hidden="false" customHeight="true" outlineLevel="0" collapsed="false">
      <c r="D33" s="100" t="s">
        <v>30</v>
      </c>
      <c r="F33" s="110" t="n">
        <v>724</v>
      </c>
      <c r="G33" s="110" t="n">
        <v>853</v>
      </c>
      <c r="H33" s="110" t="n">
        <v>4122</v>
      </c>
      <c r="I33" s="110" t="n">
        <v>8300</v>
      </c>
      <c r="J33" s="110" t="n">
        <v>5850</v>
      </c>
      <c r="K33" s="110" t="n">
        <v>10830</v>
      </c>
      <c r="L33" s="110" t="n">
        <v>4009</v>
      </c>
      <c r="M33" s="110" t="n">
        <v>3301</v>
      </c>
      <c r="N33" s="110" t="n">
        <v>6102</v>
      </c>
      <c r="O33" s="110" t="n">
        <v>3338</v>
      </c>
      <c r="P33" s="110" t="n">
        <v>6500</v>
      </c>
      <c r="Q33" s="110" t="n">
        <v>4784</v>
      </c>
      <c r="R33" s="110" t="n">
        <f aca="false">SUM(F33:Q33)</f>
        <v>58713</v>
      </c>
    </row>
    <row r="34" customFormat="false" ht="15" hidden="false" customHeight="true" outlineLevel="0" collapsed="false">
      <c r="D34" s="100" t="s">
        <v>77</v>
      </c>
      <c r="F34" s="110" t="n">
        <v>751</v>
      </c>
      <c r="G34" s="110" t="n">
        <v>346</v>
      </c>
      <c r="H34" s="110" t="n">
        <v>974</v>
      </c>
      <c r="I34" s="110" t="n">
        <v>520</v>
      </c>
      <c r="J34" s="110" t="n">
        <v>615</v>
      </c>
      <c r="K34" s="110" t="n">
        <v>464</v>
      </c>
      <c r="L34" s="110" t="n">
        <v>4270</v>
      </c>
      <c r="M34" s="110" t="n">
        <v>2152</v>
      </c>
      <c r="N34" s="110" t="n">
        <v>659</v>
      </c>
      <c r="O34" s="110" t="n">
        <v>3141</v>
      </c>
      <c r="P34" s="110" t="n">
        <v>1038</v>
      </c>
      <c r="Q34" s="110" t="n">
        <v>6179</v>
      </c>
      <c r="R34" s="110" t="n">
        <f aca="false">SUM(F34:Q34)</f>
        <v>21109</v>
      </c>
    </row>
    <row r="35" customFormat="false" ht="15" hidden="false" customHeight="true" outlineLevel="0" collapsed="false">
      <c r="D35" s="100" t="s">
        <v>32</v>
      </c>
      <c r="F35" s="110" t="n">
        <v>0</v>
      </c>
      <c r="G35" s="110" t="n">
        <v>60</v>
      </c>
      <c r="H35" s="110" t="n">
        <v>0</v>
      </c>
      <c r="I35" s="110" t="n">
        <v>0</v>
      </c>
      <c r="J35" s="110" t="n">
        <v>100</v>
      </c>
      <c r="K35" s="110" t="n">
        <v>200</v>
      </c>
      <c r="L35" s="110" t="n">
        <v>192</v>
      </c>
      <c r="M35" s="110" t="n">
        <v>149</v>
      </c>
      <c r="N35" s="110" t="n">
        <v>333</v>
      </c>
      <c r="O35" s="110" t="n">
        <v>629</v>
      </c>
      <c r="P35" s="110" t="n">
        <v>0</v>
      </c>
      <c r="Q35" s="110" t="n">
        <v>28</v>
      </c>
      <c r="R35" s="110" t="n">
        <f aca="false">SUM(F35:Q35)</f>
        <v>1691</v>
      </c>
    </row>
    <row r="36" customFormat="false" ht="15" hidden="false" customHeight="true" outlineLevel="0" collapsed="false">
      <c r="D36" s="100" t="s">
        <v>78</v>
      </c>
      <c r="F36" s="110" t="n">
        <v>667</v>
      </c>
      <c r="G36" s="110" t="n">
        <v>451</v>
      </c>
      <c r="H36" s="110" t="n">
        <v>1090</v>
      </c>
      <c r="I36" s="110" t="n">
        <v>436</v>
      </c>
      <c r="J36" s="110" t="n">
        <v>462</v>
      </c>
      <c r="K36" s="110" t="n">
        <v>1027</v>
      </c>
      <c r="L36" s="110" t="n">
        <v>720</v>
      </c>
      <c r="M36" s="110" t="n">
        <v>3020</v>
      </c>
      <c r="N36" s="110" t="n">
        <v>2857</v>
      </c>
      <c r="O36" s="110" t="n">
        <v>1460</v>
      </c>
      <c r="P36" s="110" t="n">
        <v>7627</v>
      </c>
      <c r="Q36" s="110" t="n">
        <v>-5424</v>
      </c>
      <c r="R36" s="110" t="n">
        <f aca="false">SUM(F36:Q36)</f>
        <v>14393</v>
      </c>
    </row>
    <row r="37" customFormat="false" ht="15" hidden="false" customHeight="true" outlineLevel="0" collapsed="false">
      <c r="D37" s="1" t="s">
        <v>79</v>
      </c>
      <c r="F37" s="110" t="n">
        <f aca="false">48256+3611-F33</f>
        <v>51143</v>
      </c>
      <c r="G37" s="110" t="n">
        <f aca="false">39080+3271-G33</f>
        <v>41498</v>
      </c>
      <c r="H37" s="110" t="n">
        <f aca="false">45556+6766-H33</f>
        <v>48200</v>
      </c>
      <c r="I37" s="110" t="n">
        <f aca="false">45364+13606-I33</f>
        <v>50670</v>
      </c>
      <c r="J37" s="110" t="n">
        <f aca="false">54262+10341-J33</f>
        <v>58753</v>
      </c>
      <c r="K37" s="110" t="n">
        <f aca="false">42910+14600-K33</f>
        <v>46680</v>
      </c>
      <c r="L37" s="110" t="n">
        <f aca="false">51950+7827-L33</f>
        <v>55768</v>
      </c>
      <c r="M37" s="110" t="n">
        <f aca="false">54539+8104-M33</f>
        <v>59342</v>
      </c>
      <c r="N37" s="110" t="n">
        <f aca="false">50547+9914-N33</f>
        <v>54359</v>
      </c>
      <c r="O37" s="110" t="n">
        <f aca="false">53309+7375-O33</f>
        <v>57346</v>
      </c>
      <c r="P37" s="110" t="n">
        <f aca="false">63848+9802-P33</f>
        <v>67150</v>
      </c>
      <c r="Q37" s="110" t="n">
        <f aca="false">77885+15893-Q33</f>
        <v>88994</v>
      </c>
      <c r="R37" s="110" t="n">
        <f aca="false">SUM(F37:Q37)</f>
        <v>679903</v>
      </c>
    </row>
    <row r="38" customFormat="false" ht="15" hidden="false" customHeight="true" outlineLevel="0" collapsed="false"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</row>
    <row r="39" customFormat="false" ht="15" hidden="false" customHeight="true" outlineLevel="0" collapsed="false">
      <c r="B39" s="107" t="s">
        <v>35</v>
      </c>
      <c r="C39" s="107"/>
      <c r="D39" s="107"/>
      <c r="E39" s="107"/>
      <c r="F39" s="112" t="n">
        <f aca="false">+F9-F29</f>
        <v>-13935</v>
      </c>
      <c r="G39" s="112" t="n">
        <f aca="false">+G9-G29</f>
        <v>-18998</v>
      </c>
      <c r="H39" s="112" t="n">
        <f aca="false">+H9-H29</f>
        <v>-18626</v>
      </c>
      <c r="I39" s="112" t="n">
        <f aca="false">+I9-I29</f>
        <v>25762</v>
      </c>
      <c r="J39" s="112" t="n">
        <f aca="false">+J9-J29</f>
        <v>7026</v>
      </c>
      <c r="K39" s="112" t="n">
        <f aca="false">+K9-K29</f>
        <v>769</v>
      </c>
      <c r="L39" s="112" t="n">
        <f aca="false">+L9-L29</f>
        <v>-15429</v>
      </c>
      <c r="M39" s="112" t="n">
        <f aca="false">+M9-M29</f>
        <v>1683</v>
      </c>
      <c r="N39" s="112" t="n">
        <f aca="false">+N9-N29</f>
        <v>-21628</v>
      </c>
      <c r="O39" s="112" t="n">
        <f aca="false">+O9-O29</f>
        <v>-8959</v>
      </c>
      <c r="P39" s="112" t="n">
        <f aca="false">+P9-P29</f>
        <v>-4340</v>
      </c>
      <c r="Q39" s="112" t="n">
        <f aca="false">+Q9-Q29</f>
        <v>-1442</v>
      </c>
      <c r="R39" s="112" t="n">
        <f aca="false">SUM(F39:Q39)</f>
        <v>-68117</v>
      </c>
    </row>
    <row r="40" customFormat="false" ht="15" hidden="false" customHeight="true" outlineLevel="0" collapsed="false"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</row>
    <row r="41" customFormat="false" ht="15" hidden="false" customHeight="true" outlineLevel="0" collapsed="false">
      <c r="B41" s="107" t="s">
        <v>36</v>
      </c>
      <c r="C41" s="107"/>
      <c r="D41" s="107"/>
      <c r="E41" s="107"/>
      <c r="F41" s="108" t="n">
        <f aca="false">F42+F46</f>
        <v>37461</v>
      </c>
      <c r="G41" s="108" t="n">
        <v>52257</v>
      </c>
      <c r="H41" s="108" t="n">
        <v>49749</v>
      </c>
      <c r="I41" s="108" t="n">
        <v>14960</v>
      </c>
      <c r="J41" s="108" t="n">
        <v>12231</v>
      </c>
      <c r="K41" s="108" t="n">
        <v>21693</v>
      </c>
      <c r="L41" s="108" t="n">
        <v>87014</v>
      </c>
      <c r="M41" s="108" t="n">
        <v>26474</v>
      </c>
      <c r="N41" s="108" t="n">
        <v>19600</v>
      </c>
      <c r="O41" s="108" t="n">
        <v>29906</v>
      </c>
      <c r="P41" s="108" t="n">
        <v>51161</v>
      </c>
      <c r="Q41" s="108" t="n">
        <v>15165</v>
      </c>
      <c r="R41" s="108" t="n">
        <v>417671</v>
      </c>
    </row>
    <row r="42" customFormat="false" ht="15" hidden="false" customHeight="true" outlineLevel="0" collapsed="false">
      <c r="C42" s="100" t="s">
        <v>37</v>
      </c>
      <c r="F42" s="109" t="n">
        <v>-1596</v>
      </c>
      <c r="G42" s="109" t="n">
        <v>14579</v>
      </c>
      <c r="H42" s="109" t="n">
        <v>-3595</v>
      </c>
      <c r="I42" s="109" t="n">
        <v>-15258</v>
      </c>
      <c r="J42" s="109" t="n">
        <v>-527</v>
      </c>
      <c r="K42" s="109" t="n">
        <v>-2224</v>
      </c>
      <c r="L42" s="109" t="n">
        <v>-291</v>
      </c>
      <c r="M42" s="109" t="n">
        <v>-4182</v>
      </c>
      <c r="N42" s="109" t="n">
        <v>-3914</v>
      </c>
      <c r="O42" s="109" t="n">
        <v>-419</v>
      </c>
      <c r="P42" s="109" t="n">
        <v>9499</v>
      </c>
      <c r="Q42" s="109" t="n">
        <v>-1274</v>
      </c>
      <c r="R42" s="109" t="n">
        <v>-9202</v>
      </c>
    </row>
    <row r="43" customFormat="false" ht="15" hidden="false" customHeight="true" outlineLevel="0" collapsed="false">
      <c r="D43" s="100" t="s">
        <v>38</v>
      </c>
      <c r="F43" s="110" t="n">
        <v>606</v>
      </c>
      <c r="G43" s="110" t="n">
        <v>20830</v>
      </c>
      <c r="H43" s="110" t="n">
        <v>921</v>
      </c>
      <c r="I43" s="110" t="n">
        <v>17083</v>
      </c>
      <c r="J43" s="110" t="n">
        <v>2640</v>
      </c>
      <c r="K43" s="110" t="n">
        <v>2510</v>
      </c>
      <c r="L43" s="110" t="n">
        <v>1574</v>
      </c>
      <c r="M43" s="110" t="n">
        <v>2899</v>
      </c>
      <c r="N43" s="110" t="n">
        <v>2243</v>
      </c>
      <c r="O43" s="110" t="n">
        <v>1730</v>
      </c>
      <c r="P43" s="110" t="n">
        <v>13579</v>
      </c>
      <c r="Q43" s="110" t="n">
        <v>4696</v>
      </c>
      <c r="R43" s="110" t="n">
        <v>71311</v>
      </c>
    </row>
    <row r="44" customFormat="false" ht="15" hidden="false" customHeight="true" outlineLevel="0" collapsed="false">
      <c r="D44" s="100" t="s">
        <v>97</v>
      </c>
      <c r="F44" s="110" t="n">
        <v>2202</v>
      </c>
      <c r="G44" s="110" t="n">
        <v>6251</v>
      </c>
      <c r="H44" s="110" t="n">
        <v>4516</v>
      </c>
      <c r="I44" s="110" t="n">
        <v>32341</v>
      </c>
      <c r="J44" s="110" t="n">
        <v>3167</v>
      </c>
      <c r="K44" s="110" t="n">
        <v>4734</v>
      </c>
      <c r="L44" s="110" t="n">
        <v>1865</v>
      </c>
      <c r="M44" s="110" t="n">
        <v>7081</v>
      </c>
      <c r="N44" s="110" t="n">
        <v>6157</v>
      </c>
      <c r="O44" s="110" t="n">
        <v>2149</v>
      </c>
      <c r="P44" s="110" t="n">
        <v>4080</v>
      </c>
      <c r="Q44" s="110" t="n">
        <v>5970</v>
      </c>
      <c r="R44" s="110" t="n">
        <v>80513</v>
      </c>
    </row>
    <row r="45" customFormat="false" ht="15" hidden="false" customHeight="true" outlineLevel="0" collapsed="false"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</row>
    <row r="46" customFormat="false" ht="15" hidden="false" customHeight="true" outlineLevel="0" collapsed="false">
      <c r="C46" s="100" t="s">
        <v>40</v>
      </c>
      <c r="F46" s="109" t="n">
        <v>39057</v>
      </c>
      <c r="G46" s="109" t="n">
        <v>37678</v>
      </c>
      <c r="H46" s="109" t="n">
        <v>53344</v>
      </c>
      <c r="I46" s="109" t="n">
        <v>30218</v>
      </c>
      <c r="J46" s="109" t="n">
        <v>12758</v>
      </c>
      <c r="K46" s="109" t="n">
        <v>23917</v>
      </c>
      <c r="L46" s="109" t="n">
        <v>87305</v>
      </c>
      <c r="M46" s="109" t="n">
        <v>30656</v>
      </c>
      <c r="N46" s="109" t="n">
        <v>23514</v>
      </c>
      <c r="O46" s="109" t="n">
        <v>30325</v>
      </c>
      <c r="P46" s="109" t="n">
        <v>41662</v>
      </c>
      <c r="Q46" s="109" t="n">
        <v>16439</v>
      </c>
      <c r="R46" s="109" t="n">
        <v>426873</v>
      </c>
    </row>
    <row r="47" customFormat="false" ht="15" hidden="false" customHeight="true" outlineLevel="0" collapsed="false">
      <c r="D47" s="100" t="s">
        <v>41</v>
      </c>
      <c r="F47" s="110" t="n">
        <v>39057</v>
      </c>
      <c r="G47" s="110" t="n">
        <v>37678</v>
      </c>
      <c r="H47" s="110" t="n">
        <v>53344</v>
      </c>
      <c r="I47" s="110" t="n">
        <v>30220</v>
      </c>
      <c r="J47" s="110" t="n">
        <v>13670</v>
      </c>
      <c r="K47" s="110" t="n">
        <v>24204</v>
      </c>
      <c r="L47" s="110" t="n">
        <v>87450</v>
      </c>
      <c r="M47" s="110" t="n">
        <v>30800</v>
      </c>
      <c r="N47" s="110" t="n">
        <v>23668</v>
      </c>
      <c r="O47" s="110" t="n">
        <v>30483</v>
      </c>
      <c r="P47" s="110" t="n">
        <v>41831</v>
      </c>
      <c r="Q47" s="110" t="n">
        <v>16856</v>
      </c>
      <c r="R47" s="110" t="n">
        <v>429261</v>
      </c>
    </row>
    <row r="48" customFormat="false" ht="15" hidden="false" customHeight="true" outlineLevel="0" collapsed="false">
      <c r="D48" s="100" t="s">
        <v>42</v>
      </c>
      <c r="F48" s="110" t="n">
        <v>0</v>
      </c>
      <c r="G48" s="110" t="n">
        <v>0</v>
      </c>
      <c r="H48" s="110" t="n">
        <v>0</v>
      </c>
      <c r="I48" s="110" t="n">
        <v>2</v>
      </c>
      <c r="J48" s="110" t="n">
        <v>912</v>
      </c>
      <c r="K48" s="110" t="n">
        <v>287</v>
      </c>
      <c r="L48" s="110" t="n">
        <v>145</v>
      </c>
      <c r="M48" s="110" t="n">
        <v>144</v>
      </c>
      <c r="N48" s="110" t="n">
        <v>154</v>
      </c>
      <c r="O48" s="110" t="n">
        <v>158</v>
      </c>
      <c r="P48" s="110" t="n">
        <v>169</v>
      </c>
      <c r="Q48" s="110" t="n">
        <v>417</v>
      </c>
      <c r="R48" s="110" t="n">
        <v>2388</v>
      </c>
    </row>
    <row r="49" customFormat="false" ht="15" hidden="false" customHeight="true" outlineLevel="0" collapsed="false">
      <c r="E49" s="1" t="s">
        <v>67</v>
      </c>
      <c r="F49" s="110" t="n">
        <v>13318</v>
      </c>
      <c r="G49" s="110" t="n">
        <v>14114</v>
      </c>
      <c r="H49" s="110" t="n">
        <v>17025</v>
      </c>
      <c r="I49" s="110" t="n">
        <v>15409</v>
      </c>
      <c r="J49" s="110" t="n">
        <v>18394</v>
      </c>
      <c r="K49" s="110" t="n">
        <v>18520</v>
      </c>
      <c r="L49" s="110" t="n">
        <v>52299</v>
      </c>
      <c r="M49" s="110" t="n">
        <v>10358</v>
      </c>
      <c r="N49" s="110" t="n">
        <v>13524</v>
      </c>
      <c r="O49" s="110" t="n">
        <v>20240</v>
      </c>
      <c r="P49" s="110" t="n">
        <v>17670</v>
      </c>
      <c r="Q49" s="110" t="n">
        <v>417</v>
      </c>
      <c r="R49" s="110" t="n">
        <v>211288</v>
      </c>
    </row>
    <row r="50" customFormat="false" ht="15" hidden="false" customHeight="true" outlineLevel="0" collapsed="false">
      <c r="E50" s="16" t="s">
        <v>80</v>
      </c>
      <c r="F50" s="110" t="n">
        <v>13318</v>
      </c>
      <c r="G50" s="110" t="n">
        <v>14114</v>
      </c>
      <c r="H50" s="110" t="n">
        <v>17025</v>
      </c>
      <c r="I50" s="110" t="n">
        <v>15407</v>
      </c>
      <c r="J50" s="110" t="n">
        <v>17482</v>
      </c>
      <c r="K50" s="110" t="n">
        <v>18233</v>
      </c>
      <c r="L50" s="110" t="n">
        <v>52154</v>
      </c>
      <c r="M50" s="110" t="n">
        <v>10214</v>
      </c>
      <c r="N50" s="110" t="n">
        <v>13370</v>
      </c>
      <c r="O50" s="110" t="n">
        <v>20082</v>
      </c>
      <c r="P50" s="110" t="n">
        <v>17501</v>
      </c>
      <c r="Q50" s="110" t="n">
        <v>0</v>
      </c>
      <c r="R50" s="110" t="n">
        <v>208900</v>
      </c>
    </row>
    <row r="51" customFormat="false" ht="15" hidden="false" customHeight="true" outlineLevel="0" collapsed="false"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</row>
    <row r="52" customFormat="false" ht="15" hidden="false" customHeight="true" outlineLevel="0" collapsed="false">
      <c r="B52" s="107" t="s">
        <v>45</v>
      </c>
      <c r="C52" s="107"/>
      <c r="D52" s="107"/>
      <c r="E52" s="107"/>
      <c r="F52" s="108" t="n">
        <v>29174</v>
      </c>
      <c r="G52" s="108" t="n">
        <v>-37001</v>
      </c>
      <c r="H52" s="108" t="n">
        <v>758</v>
      </c>
      <c r="I52" s="108" t="n">
        <v>14712</v>
      </c>
      <c r="J52" s="108" t="n">
        <v>-17078</v>
      </c>
      <c r="K52" s="108" t="n">
        <v>55255</v>
      </c>
      <c r="L52" s="108" t="n">
        <v>5434</v>
      </c>
      <c r="M52" s="108" t="n">
        <v>-11447</v>
      </c>
      <c r="N52" s="108" t="n">
        <v>-8738</v>
      </c>
      <c r="O52" s="108" t="n">
        <v>-8354</v>
      </c>
      <c r="P52" s="108" t="n">
        <v>2248</v>
      </c>
      <c r="Q52" s="108" t="n">
        <v>22514</v>
      </c>
      <c r="R52" s="108" t="n">
        <v>47477</v>
      </c>
    </row>
    <row r="53" customFormat="false" ht="15" hidden="false" customHeight="false" outlineLevel="0" collapsed="false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customFormat="false" ht="15" hidden="false" customHeight="false" outlineLevel="0" collapsed="false">
      <c r="B54" s="103" t="s">
        <v>46</v>
      </c>
    </row>
    <row r="55" customFormat="false" ht="14.25" hidden="false" customHeight="true" outlineLevel="0" collapsed="false">
      <c r="B55" s="103"/>
      <c r="C55" s="130" t="s">
        <v>110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</row>
    <row r="56" customFormat="false" ht="18" hidden="false" customHeight="true" outlineLevel="0" collapsed="false">
      <c r="B56" s="103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</row>
    <row r="59" customFormat="false" ht="14.25" hidden="false" customHeight="false" outlineLevel="0" collapsed="false">
      <c r="B59" s="31" t="s">
        <v>51</v>
      </c>
    </row>
    <row r="60" customFormat="false" ht="14.25" hidden="false" customHeight="false" outlineLevel="0" collapsed="false">
      <c r="B60" s="31" t="s">
        <v>106</v>
      </c>
    </row>
  </sheetData>
  <mergeCells count="2">
    <mergeCell ref="B7:E7"/>
    <mergeCell ref="C55:Q5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T44" activeCellId="0" sqref="T44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22.43"/>
    <col collapsed="false" customWidth="false" hidden="false" outlineLevel="0" max="6" min="6" style="100" width="9.14"/>
    <col collapsed="false" customWidth="true" hidden="false" outlineLevel="0" max="7" min="7" style="100" width="8.71"/>
    <col collapsed="false" customWidth="false" hidden="false" outlineLevel="0" max="9" min="8" style="100" width="9.14"/>
    <col collapsed="false" customWidth="true" hidden="false" outlineLevel="0" max="11" min="10" style="100" width="8.71"/>
    <col collapsed="false" customWidth="false" hidden="false" outlineLevel="0" max="13" min="12" style="100" width="9.14"/>
    <col collapsed="false" customWidth="true" hidden="false" outlineLevel="0" max="14" min="14" style="100" width="8.71"/>
    <col collapsed="false" customWidth="true" hidden="false" outlineLevel="0" max="15" min="15" style="100" width="8"/>
    <col collapsed="false" customWidth="false" hidden="false" outlineLevel="0" max="17" min="16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119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95</v>
      </c>
      <c r="B4" s="102"/>
    </row>
    <row r="5" customFormat="false" ht="6" hidden="false" customHeight="true" outlineLevel="0" collapsed="false"/>
    <row r="6" customFormat="false" ht="21.75" hidden="false" customHeight="true" outlineLevel="0" collapsed="false">
      <c r="A6" s="104"/>
      <c r="B6" s="105" t="s">
        <v>4</v>
      </c>
      <c r="C6" s="105"/>
      <c r="D6" s="105"/>
      <c r="E6" s="105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64</v>
      </c>
      <c r="O6" s="105" t="s">
        <v>56</v>
      </c>
      <c r="P6" s="105" t="s">
        <v>57</v>
      </c>
      <c r="Q6" s="105" t="s">
        <v>58</v>
      </c>
      <c r="R6" s="105" t="s">
        <v>11</v>
      </c>
      <c r="S6" s="140"/>
    </row>
    <row r="7" customFormat="false" ht="14.25" hidden="false" customHeight="true" outlineLevel="0" collapsed="false">
      <c r="O7" s="110"/>
    </row>
    <row r="8" customFormat="false" ht="14.2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72651</v>
      </c>
      <c r="G8" s="108" t="n">
        <f aca="false">G9+G19+G26</f>
        <v>89615</v>
      </c>
      <c r="H8" s="108" t="n">
        <f aca="false">H9+H19+H26</f>
        <v>75037</v>
      </c>
      <c r="I8" s="108" t="n">
        <f aca="false">I9+I19+I26</f>
        <v>101155</v>
      </c>
      <c r="J8" s="108" t="n">
        <f aca="false">J9+J19+J26</f>
        <v>94133</v>
      </c>
      <c r="K8" s="108" t="n">
        <f aca="false">K9+K19+K26</f>
        <v>77688</v>
      </c>
      <c r="L8" s="108" t="n">
        <f aca="false">L9+L19+L26</f>
        <v>103973</v>
      </c>
      <c r="M8" s="108" t="n">
        <f aca="false">M9+M19+M26</f>
        <v>117115</v>
      </c>
      <c r="N8" s="108" t="n">
        <f aca="false">N9+N19+N26</f>
        <v>80890</v>
      </c>
      <c r="O8" s="108" t="n">
        <f aca="false">O9+O19+O26</f>
        <v>83699</v>
      </c>
      <c r="P8" s="108" t="n">
        <f aca="false">P9+P19+P26</f>
        <v>148342</v>
      </c>
      <c r="Q8" s="108" t="n">
        <f aca="false">Q9+Q19+Q26</f>
        <v>92262</v>
      </c>
      <c r="R8" s="108" t="n">
        <f aca="false">R9+R19+R26</f>
        <v>1136560</v>
      </c>
    </row>
    <row r="9" customFormat="false" ht="14.25" hidden="false" customHeight="true" outlineLevel="0" collapsed="false">
      <c r="C9" s="100" t="s">
        <v>13</v>
      </c>
      <c r="F9" s="109" t="n">
        <v>62237</v>
      </c>
      <c r="G9" s="109" t="n">
        <v>55470</v>
      </c>
      <c r="H9" s="109" t="n">
        <v>68367</v>
      </c>
      <c r="I9" s="109" t="n">
        <v>93726</v>
      </c>
      <c r="J9" s="109" t="n">
        <v>85438</v>
      </c>
      <c r="K9" s="109" t="n">
        <v>67199</v>
      </c>
      <c r="L9" s="109" t="n">
        <v>80331</v>
      </c>
      <c r="M9" s="109" t="n">
        <v>101271</v>
      </c>
      <c r="N9" s="109" t="n">
        <v>68936</v>
      </c>
      <c r="O9" s="109" t="n">
        <v>73048</v>
      </c>
      <c r="P9" s="109" t="n">
        <v>93060</v>
      </c>
      <c r="Q9" s="109" t="n">
        <v>83854</v>
      </c>
      <c r="R9" s="109" t="n">
        <v>932937</v>
      </c>
    </row>
    <row r="10" customFormat="false" ht="14.25" hidden="false" customHeight="true" outlineLevel="0" collapsed="false">
      <c r="D10" s="100" t="s">
        <v>14</v>
      </c>
      <c r="F10" s="110" t="n">
        <v>49735</v>
      </c>
      <c r="G10" s="110" t="n">
        <v>41243</v>
      </c>
      <c r="H10" s="110" t="n">
        <v>52130</v>
      </c>
      <c r="I10" s="110" t="n">
        <v>75771</v>
      </c>
      <c r="J10" s="110" t="n">
        <v>66708</v>
      </c>
      <c r="K10" s="110" t="n">
        <v>49131</v>
      </c>
      <c r="L10" s="110" t="n">
        <v>58695</v>
      </c>
      <c r="M10" s="110" t="n">
        <v>79578</v>
      </c>
      <c r="N10" s="110" t="n">
        <v>48929</v>
      </c>
      <c r="O10" s="110" t="n">
        <v>53518</v>
      </c>
      <c r="P10" s="110" t="n">
        <v>72252</v>
      </c>
      <c r="Q10" s="110" t="n">
        <v>65915</v>
      </c>
      <c r="R10" s="110" t="n">
        <v>713605</v>
      </c>
    </row>
    <row r="11" customFormat="false" ht="14.2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4.25" hidden="false" customHeight="true" outlineLevel="0" collapsed="false">
      <c r="E12" s="100" t="s">
        <v>16</v>
      </c>
      <c r="F12" s="110" t="n">
        <v>0</v>
      </c>
      <c r="G12" s="110" t="n">
        <v>0</v>
      </c>
      <c r="H12" s="110" t="n">
        <v>943</v>
      </c>
      <c r="I12" s="110" t="n">
        <v>367</v>
      </c>
      <c r="J12" s="110" t="n">
        <v>724</v>
      </c>
      <c r="K12" s="110" t="n">
        <v>367</v>
      </c>
      <c r="L12" s="110" t="n">
        <v>0</v>
      </c>
      <c r="M12" s="110" t="n">
        <v>1006</v>
      </c>
      <c r="N12" s="110" t="n">
        <v>778</v>
      </c>
      <c r="O12" s="110" t="n">
        <v>111</v>
      </c>
      <c r="P12" s="110" t="n">
        <v>529</v>
      </c>
      <c r="Q12" s="110" t="n">
        <v>310</v>
      </c>
      <c r="R12" s="110" t="n">
        <v>5135</v>
      </c>
    </row>
    <row r="13" customFormat="false" ht="14.25" hidden="false" customHeight="true" outlineLevel="0" collapsed="false">
      <c r="E13" s="100" t="s">
        <v>17</v>
      </c>
      <c r="F13" s="110" t="n">
        <v>0</v>
      </c>
      <c r="G13" s="110" t="n">
        <v>0</v>
      </c>
      <c r="H13" s="110" t="n">
        <v>391</v>
      </c>
      <c r="I13" s="110" t="n">
        <v>0</v>
      </c>
      <c r="J13" s="110" t="n">
        <v>0</v>
      </c>
      <c r="K13" s="110" t="n">
        <v>0</v>
      </c>
      <c r="L13" s="110" t="n">
        <v>4034</v>
      </c>
      <c r="M13" s="110" t="n">
        <v>1565</v>
      </c>
      <c r="N13" s="110" t="n">
        <v>1095</v>
      </c>
      <c r="O13" s="110" t="n">
        <v>96</v>
      </c>
      <c r="P13" s="110" t="n">
        <v>143</v>
      </c>
      <c r="Q13" s="110" t="n">
        <v>1436</v>
      </c>
      <c r="R13" s="110" t="n">
        <v>8760</v>
      </c>
    </row>
    <row r="14" customFormat="false" ht="14.25" hidden="false" customHeight="true" outlineLevel="0" collapsed="false">
      <c r="D14" s="100" t="s">
        <v>18</v>
      </c>
      <c r="F14" s="110" t="n">
        <v>11759</v>
      </c>
      <c r="G14" s="110" t="n">
        <v>13423</v>
      </c>
      <c r="H14" s="110" t="n">
        <v>15039</v>
      </c>
      <c r="I14" s="110" t="n">
        <v>17198</v>
      </c>
      <c r="J14" s="110" t="n">
        <v>17531</v>
      </c>
      <c r="K14" s="110" t="n">
        <v>17207</v>
      </c>
      <c r="L14" s="110" t="n">
        <v>20830</v>
      </c>
      <c r="M14" s="110" t="n">
        <v>20908</v>
      </c>
      <c r="N14" s="110" t="n">
        <v>19062</v>
      </c>
      <c r="O14" s="110" t="n">
        <v>18748</v>
      </c>
      <c r="P14" s="110" t="n">
        <v>20345</v>
      </c>
      <c r="Q14" s="110" t="n">
        <v>17389</v>
      </c>
      <c r="R14" s="110" t="n">
        <v>209439</v>
      </c>
    </row>
    <row r="15" customFormat="false" ht="14.2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4.2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0</v>
      </c>
      <c r="I16" s="110" t="n">
        <v>1920</v>
      </c>
      <c r="J16" s="110" t="n">
        <v>1585</v>
      </c>
      <c r="K16" s="110" t="n">
        <v>1890</v>
      </c>
      <c r="L16" s="110" t="n">
        <v>3313</v>
      </c>
      <c r="M16" s="110" t="n">
        <v>1965</v>
      </c>
      <c r="N16" s="110" t="n">
        <v>1832</v>
      </c>
      <c r="O16" s="110" t="n">
        <v>1417</v>
      </c>
      <c r="P16" s="110" t="n">
        <v>1888</v>
      </c>
      <c r="Q16" s="110" t="n">
        <v>414</v>
      </c>
      <c r="R16" s="110" t="n">
        <v>16224</v>
      </c>
    </row>
    <row r="17" customFormat="false" ht="14.25" hidden="false" customHeight="true" outlineLevel="0" collapsed="false">
      <c r="D17" s="100" t="s">
        <v>105</v>
      </c>
      <c r="F17" s="110" t="n">
        <v>743</v>
      </c>
      <c r="G17" s="110" t="n">
        <v>804</v>
      </c>
      <c r="H17" s="110" t="n">
        <v>1198</v>
      </c>
      <c r="I17" s="110" t="n">
        <v>757</v>
      </c>
      <c r="J17" s="110" t="n">
        <v>1199</v>
      </c>
      <c r="K17" s="110" t="n">
        <v>861</v>
      </c>
      <c r="L17" s="110" t="n">
        <v>806</v>
      </c>
      <c r="M17" s="110" t="n">
        <v>785</v>
      </c>
      <c r="N17" s="110" t="n">
        <v>945</v>
      </c>
      <c r="O17" s="110" t="n">
        <v>782</v>
      </c>
      <c r="P17" s="110" t="n">
        <v>463</v>
      </c>
      <c r="Q17" s="110" t="n">
        <v>550</v>
      </c>
      <c r="R17" s="110" t="n">
        <v>9893</v>
      </c>
    </row>
    <row r="18" customFormat="false" ht="14.2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4.25" hidden="false" customHeight="true" outlineLevel="0" collapsed="false">
      <c r="C19" s="100" t="s">
        <v>20</v>
      </c>
      <c r="F19" s="109" t="n">
        <f aca="false">SUM(F20:F24)</f>
        <v>10414</v>
      </c>
      <c r="G19" s="109" t="n">
        <f aca="false">SUM(G20:G24)</f>
        <v>34087</v>
      </c>
      <c r="H19" s="109" t="n">
        <f aca="false">SUM(H20:H24)</f>
        <v>6659</v>
      </c>
      <c r="I19" s="109" t="n">
        <f aca="false">SUM(I20:I24)</f>
        <v>7425</v>
      </c>
      <c r="J19" s="109" t="n">
        <f aca="false">SUM(J20:J24)</f>
        <v>8693</v>
      </c>
      <c r="K19" s="109" t="n">
        <f aca="false">SUM(K20:K24)</f>
        <v>10450</v>
      </c>
      <c r="L19" s="109" t="n">
        <f aca="false">SUM(L20:L24)</f>
        <v>23640</v>
      </c>
      <c r="M19" s="109" t="n">
        <f aca="false">SUM(M20:M24)</f>
        <v>15835</v>
      </c>
      <c r="N19" s="109" t="n">
        <f aca="false">SUM(N20:N24)</f>
        <v>11951</v>
      </c>
      <c r="O19" s="109" t="n">
        <f aca="false">SUM(O20:O24)</f>
        <v>10651</v>
      </c>
      <c r="P19" s="109" t="n">
        <f aca="false">SUM(P20:P24)</f>
        <v>55276</v>
      </c>
      <c r="Q19" s="109" t="n">
        <f aca="false">SUM(Q20:Q24)</f>
        <v>8392</v>
      </c>
      <c r="R19" s="109" t="n">
        <f aca="false">SUM(R20:R24)</f>
        <v>203473</v>
      </c>
    </row>
    <row r="20" customFormat="false" ht="14.25" hidden="false" customHeight="true" outlineLevel="0" collapsed="false">
      <c r="D20" s="100" t="s">
        <v>21</v>
      </c>
      <c r="F20" s="110" t="n">
        <v>6203</v>
      </c>
      <c r="G20" s="110" t="n">
        <v>4170</v>
      </c>
      <c r="H20" s="110" t="n">
        <v>3732</v>
      </c>
      <c r="I20" s="110" t="n">
        <v>4570</v>
      </c>
      <c r="J20" s="110" t="n">
        <v>6109</v>
      </c>
      <c r="K20" s="110" t="n">
        <v>8512</v>
      </c>
      <c r="L20" s="110" t="n">
        <v>5354</v>
      </c>
      <c r="M20" s="110" t="n">
        <v>8224</v>
      </c>
      <c r="N20" s="110" t="n">
        <v>8473</v>
      </c>
      <c r="O20" s="110" t="n">
        <v>3977</v>
      </c>
      <c r="P20" s="110" t="n">
        <v>4961</v>
      </c>
      <c r="Q20" s="110" t="n">
        <v>3647</v>
      </c>
      <c r="R20" s="110" t="n">
        <f aca="false">SUM(F20:Q20)</f>
        <v>67932</v>
      </c>
    </row>
    <row r="21" customFormat="false" ht="14.25" hidden="false" customHeight="true" outlineLevel="0" collapsed="false">
      <c r="D21" s="100" t="s">
        <v>112</v>
      </c>
      <c r="F21" s="110" t="n">
        <v>1981</v>
      </c>
      <c r="G21" s="110" t="n">
        <v>1569</v>
      </c>
      <c r="H21" s="110" t="n">
        <v>1294</v>
      </c>
      <c r="I21" s="110" t="n">
        <v>1290</v>
      </c>
      <c r="J21" s="110" t="n">
        <v>1846</v>
      </c>
      <c r="K21" s="110" t="n">
        <v>1491</v>
      </c>
      <c r="L21" s="110" t="n">
        <v>1673</v>
      </c>
      <c r="M21" s="110" t="n">
        <v>3685</v>
      </c>
      <c r="N21" s="110" t="n">
        <v>1798</v>
      </c>
      <c r="O21" s="110" t="n">
        <v>2522</v>
      </c>
      <c r="P21" s="110" t="n">
        <v>1597</v>
      </c>
      <c r="Q21" s="110" t="n">
        <v>891</v>
      </c>
      <c r="R21" s="110" t="n">
        <f aca="false">SUM(F21:Q21)</f>
        <v>21637</v>
      </c>
      <c r="T21" s="110"/>
    </row>
    <row r="22" customFormat="false" ht="14.25" hidden="false" customHeight="true" outlineLevel="0" collapsed="false">
      <c r="D22" s="100" t="s">
        <v>24</v>
      </c>
      <c r="F22" s="110" t="n">
        <v>1259.259</v>
      </c>
      <c r="G22" s="110" t="n">
        <v>1300.598</v>
      </c>
      <c r="H22" s="110" t="n">
        <v>585.436</v>
      </c>
      <c r="I22" s="110" t="n">
        <v>1104.33</v>
      </c>
      <c r="J22" s="110" t="n">
        <v>562.762</v>
      </c>
      <c r="K22" s="110" t="n">
        <v>571.391</v>
      </c>
      <c r="L22" s="110" t="n">
        <v>790.155</v>
      </c>
      <c r="M22" s="110" t="n">
        <v>666.876</v>
      </c>
      <c r="N22" s="110" t="n">
        <v>738.613</v>
      </c>
      <c r="O22" s="110" t="n">
        <v>759.625</v>
      </c>
      <c r="P22" s="110" t="n">
        <v>493.347</v>
      </c>
      <c r="Q22" s="110" t="n">
        <v>512.727</v>
      </c>
      <c r="R22" s="110" t="n">
        <f aca="false">SUM(F22:Q22)</f>
        <v>9345.119</v>
      </c>
    </row>
    <row r="23" customFormat="false" ht="14.25" hidden="false" customHeight="true" outlineLevel="0" collapsed="false">
      <c r="D23" s="100" t="s">
        <v>23</v>
      </c>
      <c r="F23" s="110" t="n">
        <v>57</v>
      </c>
      <c r="G23" s="110" t="n">
        <v>25791</v>
      </c>
      <c r="H23" s="110" t="n">
        <v>55</v>
      </c>
      <c r="I23" s="110" t="n">
        <v>0</v>
      </c>
      <c r="J23" s="110" t="n">
        <v>83</v>
      </c>
      <c r="K23" s="110" t="n">
        <v>24</v>
      </c>
      <c r="L23" s="110" t="n">
        <v>15169</v>
      </c>
      <c r="M23" s="110" t="n">
        <v>998</v>
      </c>
      <c r="N23" s="110" t="n">
        <v>216</v>
      </c>
      <c r="O23" s="110" t="n">
        <v>1203</v>
      </c>
      <c r="P23" s="110" t="n">
        <v>47000</v>
      </c>
      <c r="Q23" s="110" t="n">
        <v>23</v>
      </c>
      <c r="R23" s="110" t="n">
        <f aca="false">SUM(F23:Q23)</f>
        <v>90619</v>
      </c>
    </row>
    <row r="24" customFormat="false" ht="14.25" hidden="false" customHeight="true" outlineLevel="0" collapsed="false">
      <c r="D24" s="100" t="s">
        <v>105</v>
      </c>
      <c r="F24" s="110" t="n">
        <f aca="false">4154-F21-F22</f>
        <v>913.741</v>
      </c>
      <c r="G24" s="110" t="n">
        <f aca="false">4126-G21-G22</f>
        <v>1256.402</v>
      </c>
      <c r="H24" s="110" t="n">
        <f aca="false">2872-H21-H22</f>
        <v>992.564</v>
      </c>
      <c r="I24" s="110" t="n">
        <f aca="false">2855-I21-I22</f>
        <v>460.67</v>
      </c>
      <c r="J24" s="110" t="n">
        <f aca="false">2501-J21-J22</f>
        <v>92.2380000000001</v>
      </c>
      <c r="K24" s="110" t="n">
        <f aca="false">1914-K21-K22</f>
        <v>-148.391</v>
      </c>
      <c r="L24" s="110" t="n">
        <f aca="false">3117-L21-L22</f>
        <v>653.845</v>
      </c>
      <c r="M24" s="110" t="n">
        <f aca="false">6613-M21-M22</f>
        <v>2261.124</v>
      </c>
      <c r="N24" s="110" t="n">
        <f aca="false">3262-N21-N22</f>
        <v>725.387</v>
      </c>
      <c r="O24" s="110" t="n">
        <f aca="false">5471-O21-O22</f>
        <v>2189.375</v>
      </c>
      <c r="P24" s="110" t="n">
        <f aca="false">3315-P21-P22</f>
        <v>1224.653</v>
      </c>
      <c r="Q24" s="110" t="n">
        <f aca="false">4722-Q21-Q22</f>
        <v>3318.273</v>
      </c>
      <c r="R24" s="110" t="n">
        <f aca="false">SUM(F24:Q24)</f>
        <v>13939.881</v>
      </c>
    </row>
    <row r="25" customFormat="false" ht="14.2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4.25" hidden="false" customHeight="true" outlineLevel="0" collapsed="false">
      <c r="C26" s="100" t="s">
        <v>26</v>
      </c>
      <c r="F26" s="110" t="n">
        <v>0</v>
      </c>
      <c r="G26" s="110" t="n">
        <v>58</v>
      </c>
      <c r="H26" s="110" t="n">
        <v>11</v>
      </c>
      <c r="I26" s="110" t="n">
        <v>4</v>
      </c>
      <c r="J26" s="110" t="n">
        <v>2</v>
      </c>
      <c r="K26" s="110" t="n">
        <v>39</v>
      </c>
      <c r="L26" s="110" t="n">
        <v>2</v>
      </c>
      <c r="M26" s="110" t="n">
        <v>9</v>
      </c>
      <c r="N26" s="110" t="n">
        <v>3</v>
      </c>
      <c r="O26" s="110" t="n">
        <v>0</v>
      </c>
      <c r="P26" s="110" t="n">
        <v>6</v>
      </c>
      <c r="Q26" s="110" t="n">
        <v>16</v>
      </c>
      <c r="R26" s="110" t="n">
        <v>150</v>
      </c>
    </row>
    <row r="27" customFormat="false" ht="14.2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4.2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102366</v>
      </c>
      <c r="G28" s="108" t="n">
        <f aca="false">SUM(G30:G36)</f>
        <v>78506</v>
      </c>
      <c r="H28" s="108" t="n">
        <f aca="false">SUM(H30:H36)</f>
        <v>108399</v>
      </c>
      <c r="I28" s="108" t="n">
        <f aca="false">SUM(I30:I36)</f>
        <v>89203</v>
      </c>
      <c r="J28" s="108" t="n">
        <f aca="false">SUM(J30:J36)</f>
        <v>95880</v>
      </c>
      <c r="K28" s="108" t="n">
        <f aca="false">SUM(K30:K36)</f>
        <v>76906</v>
      </c>
      <c r="L28" s="108" t="n">
        <f aca="false">SUM(L30:L36)</f>
        <v>102378</v>
      </c>
      <c r="M28" s="108" t="n">
        <f aca="false">SUM(M30:M36)</f>
        <v>103218</v>
      </c>
      <c r="N28" s="108" t="n">
        <f aca="false">SUM(N30:N36)</f>
        <v>95411</v>
      </c>
      <c r="O28" s="108" t="n">
        <f aca="false">SUM(O30:O36)</f>
        <v>85177</v>
      </c>
      <c r="P28" s="108" t="n">
        <f aca="false">SUM(P30:P36)</f>
        <v>94249</v>
      </c>
      <c r="Q28" s="108" t="n">
        <f aca="false">SUM(Q30:Q36)</f>
        <v>117308</v>
      </c>
      <c r="R28" s="108" t="n">
        <f aca="false">SUM(F28:Q28)</f>
        <v>1149001</v>
      </c>
    </row>
    <row r="29" customFormat="false" ht="14.2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4.25" hidden="false" customHeight="true" outlineLevel="0" collapsed="false">
      <c r="D30" s="100" t="s">
        <v>28</v>
      </c>
      <c r="F30" s="110" t="n">
        <v>18478</v>
      </c>
      <c r="G30" s="110" t="n">
        <v>15767</v>
      </c>
      <c r="H30" s="110" t="n">
        <v>17364</v>
      </c>
      <c r="I30" s="110" t="n">
        <v>15986</v>
      </c>
      <c r="J30" s="110" t="n">
        <v>17199</v>
      </c>
      <c r="K30" s="110" t="n">
        <v>14988</v>
      </c>
      <c r="L30" s="110" t="n">
        <v>15395</v>
      </c>
      <c r="M30" s="110" t="n">
        <v>15786</v>
      </c>
      <c r="N30" s="110" t="n">
        <v>15259</v>
      </c>
      <c r="O30" s="110" t="n">
        <v>15259</v>
      </c>
      <c r="P30" s="110" t="n">
        <v>15390</v>
      </c>
      <c r="Q30" s="110" t="n">
        <v>16841</v>
      </c>
      <c r="R30" s="110" t="n">
        <f aca="false">SUM(F30:Q30)</f>
        <v>193712</v>
      </c>
    </row>
    <row r="31" customFormat="false" ht="14.25" hidden="false" customHeight="true" outlineLevel="0" collapsed="false">
      <c r="D31" s="100" t="s">
        <v>29</v>
      </c>
      <c r="F31" s="110" t="n">
        <v>32300</v>
      </c>
      <c r="G31" s="110" t="n">
        <v>26464</v>
      </c>
      <c r="H31" s="110" t="n">
        <v>30385</v>
      </c>
      <c r="I31" s="110" t="n">
        <v>19970</v>
      </c>
      <c r="J31" s="110" t="n">
        <v>14044</v>
      </c>
      <c r="K31" s="110" t="n">
        <v>6463</v>
      </c>
      <c r="L31" s="110" t="n">
        <v>29862</v>
      </c>
      <c r="M31" s="110" t="n">
        <v>33027</v>
      </c>
      <c r="N31" s="110" t="n">
        <v>30174</v>
      </c>
      <c r="O31" s="110" t="n">
        <v>18624</v>
      </c>
      <c r="P31" s="110" t="n">
        <v>13828</v>
      </c>
      <c r="Q31" s="110" t="n">
        <v>12659</v>
      </c>
      <c r="R31" s="110" t="n">
        <f aca="false">SUM(F31:Q31)</f>
        <v>267800</v>
      </c>
    </row>
    <row r="32" customFormat="false" ht="14.25" hidden="false" customHeight="true" outlineLevel="0" collapsed="false">
      <c r="D32" s="100" t="s">
        <v>30</v>
      </c>
      <c r="F32" s="110" t="n">
        <v>0</v>
      </c>
      <c r="G32" s="110" t="n">
        <v>0</v>
      </c>
      <c r="H32" s="110" t="n">
        <v>1334</v>
      </c>
      <c r="I32" s="110" t="n">
        <v>2287</v>
      </c>
      <c r="J32" s="110" t="n">
        <v>2309</v>
      </c>
      <c r="K32" s="110" t="n">
        <v>2257</v>
      </c>
      <c r="L32" s="110" t="n">
        <v>7347</v>
      </c>
      <c r="M32" s="110" t="n">
        <v>4536</v>
      </c>
      <c r="N32" s="110" t="n">
        <v>3705</v>
      </c>
      <c r="O32" s="110" t="n">
        <v>1624</v>
      </c>
      <c r="P32" s="110" t="n">
        <v>2560</v>
      </c>
      <c r="Q32" s="110" t="n">
        <v>2160</v>
      </c>
      <c r="R32" s="110" t="n">
        <f aca="false">SUM(F32:Q32)</f>
        <v>30119</v>
      </c>
    </row>
    <row r="33" customFormat="false" ht="14.25" hidden="false" customHeight="true" outlineLevel="0" collapsed="false">
      <c r="D33" s="100" t="s">
        <v>77</v>
      </c>
      <c r="F33" s="110" t="n">
        <v>1419</v>
      </c>
      <c r="G33" s="110" t="n">
        <v>1254</v>
      </c>
      <c r="H33" s="110" t="n">
        <v>3371</v>
      </c>
      <c r="I33" s="110" t="n">
        <v>2384</v>
      </c>
      <c r="J33" s="110" t="n">
        <v>86</v>
      </c>
      <c r="K33" s="110" t="n">
        <v>2070</v>
      </c>
      <c r="L33" s="110" t="n">
        <v>3453</v>
      </c>
      <c r="M33" s="110" t="n">
        <v>479</v>
      </c>
      <c r="N33" s="110" t="n">
        <v>1016</v>
      </c>
      <c r="O33" s="110" t="n">
        <v>97</v>
      </c>
      <c r="P33" s="110" t="n">
        <v>3292</v>
      </c>
      <c r="Q33" s="110" t="n">
        <v>8415</v>
      </c>
      <c r="R33" s="110" t="n">
        <f aca="false">SUM(F33:Q33)</f>
        <v>27336</v>
      </c>
    </row>
    <row r="34" customFormat="false" ht="14.25" hidden="false" customHeight="true" outlineLevel="0" collapsed="false">
      <c r="D34" s="100" t="s">
        <v>32</v>
      </c>
      <c r="F34" s="110" t="n">
        <v>30</v>
      </c>
      <c r="G34" s="110" t="n">
        <v>30</v>
      </c>
      <c r="H34" s="110" t="n">
        <v>52</v>
      </c>
      <c r="I34" s="110" t="n">
        <v>0</v>
      </c>
      <c r="J34" s="110" t="n">
        <v>50</v>
      </c>
      <c r="K34" s="110" t="n">
        <v>80</v>
      </c>
      <c r="L34" s="110" t="n">
        <v>131</v>
      </c>
      <c r="M34" s="110" t="n">
        <v>0</v>
      </c>
      <c r="N34" s="110" t="n">
        <v>0</v>
      </c>
      <c r="O34" s="110" t="n">
        <v>74</v>
      </c>
      <c r="P34" s="110" t="n">
        <v>0</v>
      </c>
      <c r="Q34" s="110" t="n">
        <v>3282</v>
      </c>
      <c r="R34" s="110" t="n">
        <f aca="false">SUM(F34:Q34)</f>
        <v>3729</v>
      </c>
    </row>
    <row r="35" customFormat="false" ht="14.25" hidden="false" customHeight="true" outlineLevel="0" collapsed="false">
      <c r="D35" s="100" t="s">
        <v>78</v>
      </c>
      <c r="F35" s="110" t="n">
        <v>530</v>
      </c>
      <c r="G35" s="110" t="n">
        <v>-42</v>
      </c>
      <c r="H35" s="110" t="n">
        <v>1303</v>
      </c>
      <c r="I35" s="110" t="n">
        <v>605</v>
      </c>
      <c r="J35" s="110" t="n">
        <v>432</v>
      </c>
      <c r="K35" s="110" t="n">
        <v>-302</v>
      </c>
      <c r="L35" s="110" t="n">
        <v>425</v>
      </c>
      <c r="M35" s="110" t="n">
        <v>268</v>
      </c>
      <c r="N35" s="110" t="n">
        <v>1226</v>
      </c>
      <c r="O35" s="110" t="n">
        <v>627</v>
      </c>
      <c r="P35" s="110" t="n">
        <v>922</v>
      </c>
      <c r="Q35" s="110" t="n">
        <v>3756</v>
      </c>
      <c r="R35" s="110" t="n">
        <f aca="false">SUM(F35:Q35)</f>
        <v>9750</v>
      </c>
    </row>
    <row r="36" customFormat="false" ht="14.25" hidden="false" customHeight="true" outlineLevel="0" collapsed="false">
      <c r="D36" s="1" t="s">
        <v>79</v>
      </c>
      <c r="F36" s="110" t="n">
        <v>49609</v>
      </c>
      <c r="G36" s="110" t="n">
        <v>35033</v>
      </c>
      <c r="H36" s="110" t="n">
        <v>54590</v>
      </c>
      <c r="I36" s="110" t="n">
        <v>47971</v>
      </c>
      <c r="J36" s="110" t="n">
        <v>61760</v>
      </c>
      <c r="K36" s="110" t="n">
        <v>51350</v>
      </c>
      <c r="L36" s="110" t="n">
        <v>45765</v>
      </c>
      <c r="M36" s="110" t="n">
        <v>49122</v>
      </c>
      <c r="N36" s="110" t="n">
        <v>44031</v>
      </c>
      <c r="O36" s="110" t="n">
        <v>48872</v>
      </c>
      <c r="P36" s="110" t="n">
        <v>58257</v>
      </c>
      <c r="Q36" s="110" t="n">
        <v>70195</v>
      </c>
      <c r="R36" s="110" t="n">
        <f aca="false">SUM(F36:Q36)</f>
        <v>616555</v>
      </c>
    </row>
    <row r="37" customFormat="false" ht="14.2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10" t="s">
        <v>59</v>
      </c>
    </row>
    <row r="38" customFormat="false" ht="14.2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-29715</v>
      </c>
      <c r="G38" s="112" t="n">
        <f aca="false">+G8-G28</f>
        <v>11109</v>
      </c>
      <c r="H38" s="112" t="n">
        <f aca="false">+H8-H28</f>
        <v>-33362</v>
      </c>
      <c r="I38" s="112" t="n">
        <f aca="false">+I8-I28</f>
        <v>11952</v>
      </c>
      <c r="J38" s="112" t="n">
        <f aca="false">+J8-J28</f>
        <v>-1747</v>
      </c>
      <c r="K38" s="112" t="n">
        <f aca="false">+K8-K28</f>
        <v>782</v>
      </c>
      <c r="L38" s="112" t="n">
        <f aca="false">+L8-L28</f>
        <v>1595</v>
      </c>
      <c r="M38" s="112" t="n">
        <f aca="false">+M8-M28</f>
        <v>13897</v>
      </c>
      <c r="N38" s="112" t="n">
        <f aca="false">+N8-N28</f>
        <v>-14521</v>
      </c>
      <c r="O38" s="112" t="n">
        <f aca="false">+O8-O28</f>
        <v>-1478</v>
      </c>
      <c r="P38" s="112" t="n">
        <f aca="false">+P8-P28</f>
        <v>54093</v>
      </c>
      <c r="Q38" s="112" t="n">
        <f aca="false">+Q8-Q28</f>
        <v>-25046</v>
      </c>
      <c r="R38" s="112" t="n">
        <f aca="false">SUM(F38:Q38)</f>
        <v>-12441</v>
      </c>
    </row>
    <row r="39" customFormat="false" ht="14.2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4.25" hidden="false" customHeight="true" outlineLevel="0" collapsed="false">
      <c r="B40" s="107" t="s">
        <v>36</v>
      </c>
      <c r="C40" s="107"/>
      <c r="D40" s="107"/>
      <c r="E40" s="107"/>
      <c r="F40" s="108" t="n">
        <v>29762</v>
      </c>
      <c r="G40" s="108" t="n">
        <v>5494</v>
      </c>
      <c r="H40" s="108" t="n">
        <v>19521</v>
      </c>
      <c r="I40" s="108" t="n">
        <v>6441</v>
      </c>
      <c r="J40" s="108" t="n">
        <v>-25356</v>
      </c>
      <c r="K40" s="108" t="n">
        <v>-3806</v>
      </c>
      <c r="L40" s="108" t="n">
        <v>8036</v>
      </c>
      <c r="M40" s="108" t="n">
        <v>46724</v>
      </c>
      <c r="N40" s="108" t="n">
        <v>996</v>
      </c>
      <c r="O40" s="108" t="n">
        <v>1657</v>
      </c>
      <c r="P40" s="108" t="n">
        <v>-9153</v>
      </c>
      <c r="Q40" s="108" t="n">
        <v>18792</v>
      </c>
      <c r="R40" s="108" t="n">
        <v>99108</v>
      </c>
    </row>
    <row r="41" customFormat="false" ht="14.25" hidden="false" customHeight="true" outlineLevel="0" collapsed="false">
      <c r="C41" s="100" t="s">
        <v>37</v>
      </c>
      <c r="F41" s="109" t="n">
        <v>45088</v>
      </c>
      <c r="G41" s="109" t="n">
        <v>18309</v>
      </c>
      <c r="H41" s="109" t="n">
        <v>11985</v>
      </c>
      <c r="I41" s="109" t="n">
        <v>-266</v>
      </c>
      <c r="J41" s="109" t="n">
        <v>-5</v>
      </c>
      <c r="K41" s="109" t="n">
        <v>-1609</v>
      </c>
      <c r="L41" s="109" t="n">
        <v>1398</v>
      </c>
      <c r="M41" s="109" t="n">
        <v>-3106</v>
      </c>
      <c r="N41" s="109" t="n">
        <v>-15850</v>
      </c>
      <c r="O41" s="109" t="n">
        <v>-193</v>
      </c>
      <c r="P41" s="109" t="n">
        <v>-1560</v>
      </c>
      <c r="Q41" s="109" t="n">
        <v>1971</v>
      </c>
      <c r="R41" s="109" t="n">
        <v>56162</v>
      </c>
    </row>
    <row r="42" customFormat="false" ht="14.25" hidden="false" customHeight="true" outlineLevel="0" collapsed="false">
      <c r="D42" s="100" t="s">
        <v>38</v>
      </c>
      <c r="F42" s="110" t="n">
        <v>50301</v>
      </c>
      <c r="G42" s="110" t="n">
        <v>24668</v>
      </c>
      <c r="H42" s="110" t="n">
        <v>16358</v>
      </c>
      <c r="I42" s="110" t="n">
        <v>1989</v>
      </c>
      <c r="J42" s="110" t="n">
        <v>3743</v>
      </c>
      <c r="K42" s="110" t="n">
        <v>2792</v>
      </c>
      <c r="L42" s="110" t="n">
        <v>3855</v>
      </c>
      <c r="M42" s="110" t="n">
        <v>3169</v>
      </c>
      <c r="N42" s="110" t="n">
        <v>2461</v>
      </c>
      <c r="O42" s="110" t="n">
        <v>1498</v>
      </c>
      <c r="P42" s="110" t="n">
        <v>1158</v>
      </c>
      <c r="Q42" s="110" t="n">
        <v>6422</v>
      </c>
      <c r="R42" s="110" t="n">
        <v>118414</v>
      </c>
    </row>
    <row r="43" customFormat="false" ht="14.25" hidden="false" customHeight="true" outlineLevel="0" collapsed="false">
      <c r="D43" s="100" t="s">
        <v>97</v>
      </c>
      <c r="F43" s="110" t="n">
        <v>5213</v>
      </c>
      <c r="G43" s="110" t="n">
        <v>6359</v>
      </c>
      <c r="H43" s="110" t="n">
        <v>4373</v>
      </c>
      <c r="I43" s="110" t="n">
        <v>2255</v>
      </c>
      <c r="J43" s="110" t="n">
        <v>3748</v>
      </c>
      <c r="K43" s="110" t="n">
        <v>4401</v>
      </c>
      <c r="L43" s="110" t="n">
        <v>2457</v>
      </c>
      <c r="M43" s="110" t="n">
        <v>6275</v>
      </c>
      <c r="N43" s="110" t="n">
        <v>18311</v>
      </c>
      <c r="O43" s="110" t="n">
        <v>1691</v>
      </c>
      <c r="P43" s="110" t="n">
        <v>2718</v>
      </c>
      <c r="Q43" s="110" t="n">
        <v>4451</v>
      </c>
      <c r="R43" s="110" t="n">
        <v>62252</v>
      </c>
    </row>
    <row r="44" customFormat="false" ht="14.2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4.25" hidden="false" customHeight="true" outlineLevel="0" collapsed="false">
      <c r="C45" s="100" t="s">
        <v>40</v>
      </c>
      <c r="F45" s="109" t="n">
        <v>-15326</v>
      </c>
      <c r="G45" s="109" t="n">
        <v>-12815</v>
      </c>
      <c r="H45" s="109" t="n">
        <v>7536</v>
      </c>
      <c r="I45" s="109" t="n">
        <v>6707</v>
      </c>
      <c r="J45" s="109" t="n">
        <v>-25351</v>
      </c>
      <c r="K45" s="109" t="n">
        <v>-2197</v>
      </c>
      <c r="L45" s="109" t="n">
        <v>6638</v>
      </c>
      <c r="M45" s="109" t="n">
        <v>49830</v>
      </c>
      <c r="N45" s="109" t="n">
        <v>16846</v>
      </c>
      <c r="O45" s="109" t="n">
        <v>1850</v>
      </c>
      <c r="P45" s="109" t="n">
        <v>-7593</v>
      </c>
      <c r="Q45" s="109" t="n">
        <v>16821</v>
      </c>
      <c r="R45" s="109" t="n">
        <v>42946</v>
      </c>
    </row>
    <row r="46" customFormat="false" ht="14.25" hidden="false" customHeight="true" outlineLevel="0" collapsed="false">
      <c r="D46" s="100" t="s">
        <v>41</v>
      </c>
      <c r="F46" s="110" t="n">
        <v>-1512</v>
      </c>
      <c r="G46" s="110" t="n">
        <v>22137</v>
      </c>
      <c r="H46" s="110" t="n">
        <v>29256</v>
      </c>
      <c r="I46" s="110" t="n">
        <v>109762</v>
      </c>
      <c r="J46" s="110" t="n">
        <v>-16154</v>
      </c>
      <c r="K46" s="110" t="n">
        <v>9608</v>
      </c>
      <c r="L46" s="110" t="n">
        <v>33170</v>
      </c>
      <c r="M46" s="110" t="n">
        <v>60448</v>
      </c>
      <c r="N46" s="110" t="n">
        <v>40072</v>
      </c>
      <c r="O46" s="110" t="n">
        <v>12847</v>
      </c>
      <c r="P46" s="110" t="n">
        <v>4327</v>
      </c>
      <c r="Q46" s="110" t="n">
        <v>23002</v>
      </c>
      <c r="R46" s="110" t="n">
        <v>326963</v>
      </c>
    </row>
    <row r="47" customFormat="false" ht="14.25" hidden="false" customHeight="true" outlineLevel="0" collapsed="false">
      <c r="D47" s="100" t="s">
        <v>97</v>
      </c>
      <c r="F47" s="110" t="n">
        <v>13814</v>
      </c>
      <c r="G47" s="110" t="n">
        <v>34952</v>
      </c>
      <c r="H47" s="110" t="n">
        <v>21720</v>
      </c>
      <c r="I47" s="110" t="n">
        <v>103055</v>
      </c>
      <c r="J47" s="110" t="n">
        <v>9197</v>
      </c>
      <c r="K47" s="110" t="n">
        <v>11805</v>
      </c>
      <c r="L47" s="110" t="n">
        <v>26532</v>
      </c>
      <c r="M47" s="110" t="n">
        <v>10618</v>
      </c>
      <c r="N47" s="110" t="n">
        <v>23226</v>
      </c>
      <c r="O47" s="110" t="n">
        <v>10997</v>
      </c>
      <c r="P47" s="110" t="n">
        <v>11920</v>
      </c>
      <c r="Q47" s="110" t="n">
        <v>6181</v>
      </c>
      <c r="R47" s="110" t="n">
        <v>284017</v>
      </c>
    </row>
    <row r="48" customFormat="false" ht="14.2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customFormat="false" ht="14.25" hidden="false" customHeight="true" outlineLevel="0" collapsed="false">
      <c r="B49" s="107" t="s">
        <v>45</v>
      </c>
      <c r="C49" s="107"/>
      <c r="D49" s="107"/>
      <c r="E49" s="107"/>
      <c r="F49" s="108" t="n">
        <v>13278</v>
      </c>
      <c r="G49" s="108" t="n">
        <v>20723</v>
      </c>
      <c r="H49" s="108" t="n">
        <v>-17468</v>
      </c>
      <c r="I49" s="108" t="n">
        <v>7288</v>
      </c>
      <c r="J49" s="108" t="n">
        <v>-19366</v>
      </c>
      <c r="K49" s="108" t="n">
        <v>-15740</v>
      </c>
      <c r="L49" s="108" t="n">
        <v>-5878</v>
      </c>
      <c r="M49" s="108" t="n">
        <v>30633</v>
      </c>
      <c r="N49" s="108" t="n">
        <v>-14166</v>
      </c>
      <c r="O49" s="108" t="n">
        <v>5997</v>
      </c>
      <c r="P49" s="108" t="n">
        <v>50219</v>
      </c>
      <c r="Q49" s="108" t="n">
        <v>51431</v>
      </c>
      <c r="R49" s="108" t="n">
        <v>106951</v>
      </c>
    </row>
    <row r="50" customFormat="false" ht="15" hidden="false" customHeight="false" outlineLevel="0" collapsed="false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</row>
    <row r="51" customFormat="false" ht="15" hidden="false" customHeight="false" outlineLevel="0" collapsed="false">
      <c r="B51" s="103" t="s">
        <v>46</v>
      </c>
    </row>
    <row r="52" customFormat="false" ht="14.25" hidden="false" customHeight="false" outlineLevel="0" collapsed="false">
      <c r="B52" s="103"/>
      <c r="C52" s="31" t="s">
        <v>98</v>
      </c>
      <c r="D52" s="31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10"/>
    </row>
    <row r="53" customFormat="false" ht="14.25" hidden="false" customHeight="false" outlineLevel="0" collapsed="false">
      <c r="B53" s="31"/>
      <c r="C53" s="31" t="s">
        <v>99</v>
      </c>
      <c r="D53" s="31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10"/>
    </row>
    <row r="55" customFormat="false" ht="14.25" hidden="false" customHeight="false" outlineLevel="0" collapsed="false">
      <c r="R55" s="110"/>
    </row>
    <row r="56" customFormat="false" ht="14.25" hidden="false" customHeight="false" outlineLevel="0" collapsed="false">
      <c r="B56" s="31" t="s">
        <v>51</v>
      </c>
    </row>
    <row r="57" customFormat="false" ht="14.25" hidden="false" customHeight="false" outlineLevel="0" collapsed="false">
      <c r="B57" s="31" t="s">
        <v>106</v>
      </c>
    </row>
  </sheetData>
  <mergeCells count="1">
    <mergeCell ref="B6:E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U33" activeCellId="0" sqref="U33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27.14"/>
    <col collapsed="false" customWidth="false" hidden="false" outlineLevel="0" max="6" min="6" style="100" width="9.14"/>
    <col collapsed="false" customWidth="true" hidden="false" outlineLevel="0" max="7" min="7" style="100" width="8"/>
    <col collapsed="false" customWidth="false" hidden="false" outlineLevel="0" max="9" min="8" style="100" width="9.14"/>
    <col collapsed="false" customWidth="true" hidden="false" outlineLevel="0" max="11" min="10" style="100" width="8.71"/>
    <col collapsed="false" customWidth="false" hidden="false" outlineLevel="0" max="13" min="12" style="100" width="9.14"/>
    <col collapsed="false" customWidth="true" hidden="false" outlineLevel="0" max="14" min="14" style="100" width="8.71"/>
    <col collapsed="false" customWidth="true" hidden="false" outlineLevel="0" max="15" min="15" style="100" width="8"/>
    <col collapsed="false" customWidth="false" hidden="false" outlineLevel="0" max="17" min="16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119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3</v>
      </c>
      <c r="B4" s="102"/>
    </row>
    <row r="5" customFormat="false" ht="15" hidden="false" customHeight="false" outlineLevel="0" collapsed="false"/>
    <row r="6" customFormat="false" ht="21" hidden="false" customHeight="true" outlineLevel="0" collapsed="false">
      <c r="A6" s="104"/>
      <c r="B6" s="105" t="s">
        <v>4</v>
      </c>
      <c r="C6" s="105"/>
      <c r="D6" s="105"/>
      <c r="E6" s="105"/>
      <c r="F6" s="105" t="s">
        <v>107</v>
      </c>
      <c r="G6" s="105" t="s">
        <v>6</v>
      </c>
      <c r="H6" s="105" t="s">
        <v>7</v>
      </c>
      <c r="I6" s="105" t="s">
        <v>120</v>
      </c>
      <c r="J6" s="105" t="s">
        <v>121</v>
      </c>
      <c r="K6" s="105" t="s">
        <v>122</v>
      </c>
      <c r="L6" s="105" t="s">
        <v>123</v>
      </c>
      <c r="M6" s="105" t="s">
        <v>124</v>
      </c>
      <c r="N6" s="105" t="s">
        <v>125</v>
      </c>
      <c r="O6" s="105" t="s">
        <v>126</v>
      </c>
      <c r="P6" s="105" t="s">
        <v>127</v>
      </c>
      <c r="Q6" s="105" t="s">
        <v>128</v>
      </c>
      <c r="R6" s="105" t="s">
        <v>11</v>
      </c>
      <c r="S6" s="141"/>
    </row>
    <row r="7" customFormat="false" ht="15" hidden="false" customHeight="true" outlineLevel="0" collapsed="false">
      <c r="O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F9+F19+F26</f>
        <v>72651</v>
      </c>
      <c r="G8" s="108" t="n">
        <f aca="false">G9+G19+G26</f>
        <v>89615</v>
      </c>
      <c r="H8" s="108" t="n">
        <f aca="false">H9+H19+H26</f>
        <v>75037</v>
      </c>
      <c r="I8" s="108" t="n">
        <f aca="false">I9+I19+I26</f>
        <v>101155</v>
      </c>
      <c r="J8" s="108" t="n">
        <f aca="false">J9+J19+J26</f>
        <v>94133</v>
      </c>
      <c r="K8" s="108" t="n">
        <f aca="false">K9+K19+K26</f>
        <v>77688</v>
      </c>
      <c r="L8" s="108" t="n">
        <f aca="false">L9+L19+L26</f>
        <v>103973</v>
      </c>
      <c r="M8" s="108" t="n">
        <f aca="false">M9+M19+M26</f>
        <v>117115</v>
      </c>
      <c r="N8" s="108" t="n">
        <f aca="false">N9+N19+N26</f>
        <v>80890</v>
      </c>
      <c r="O8" s="108" t="n">
        <f aca="false">O9+O19+O26</f>
        <v>83699</v>
      </c>
      <c r="P8" s="108" t="n">
        <f aca="false">P9+P19+P26</f>
        <v>148342</v>
      </c>
      <c r="Q8" s="108" t="n">
        <f aca="false">Q9+Q19+Q26</f>
        <v>92262</v>
      </c>
      <c r="R8" s="108" t="n">
        <f aca="false">R9+R19+R26</f>
        <v>1136560</v>
      </c>
    </row>
    <row r="9" customFormat="false" ht="15" hidden="false" customHeight="true" outlineLevel="0" collapsed="false">
      <c r="C9" s="100" t="s">
        <v>13</v>
      </c>
      <c r="F9" s="109" t="n">
        <v>62237</v>
      </c>
      <c r="G9" s="109" t="n">
        <v>55470</v>
      </c>
      <c r="H9" s="109" t="n">
        <v>68367</v>
      </c>
      <c r="I9" s="109" t="n">
        <v>93726</v>
      </c>
      <c r="J9" s="109" t="n">
        <v>85438</v>
      </c>
      <c r="K9" s="109" t="n">
        <v>67199</v>
      </c>
      <c r="L9" s="109" t="n">
        <v>80331</v>
      </c>
      <c r="M9" s="109" t="n">
        <v>101271</v>
      </c>
      <c r="N9" s="109" t="n">
        <v>68936</v>
      </c>
      <c r="O9" s="109" t="n">
        <v>73048</v>
      </c>
      <c r="P9" s="109" t="n">
        <v>93060</v>
      </c>
      <c r="Q9" s="109" t="n">
        <v>83854</v>
      </c>
      <c r="R9" s="109" t="n">
        <v>932937</v>
      </c>
    </row>
    <row r="10" customFormat="false" ht="15" hidden="false" customHeight="true" outlineLevel="0" collapsed="false">
      <c r="D10" s="100" t="s">
        <v>14</v>
      </c>
      <c r="F10" s="110" t="n">
        <v>49735</v>
      </c>
      <c r="G10" s="110" t="n">
        <v>41243</v>
      </c>
      <c r="H10" s="110" t="n">
        <v>52130</v>
      </c>
      <c r="I10" s="110" t="n">
        <v>75771</v>
      </c>
      <c r="J10" s="110" t="n">
        <v>66708</v>
      </c>
      <c r="K10" s="110" t="n">
        <v>49131</v>
      </c>
      <c r="L10" s="110" t="n">
        <v>58695</v>
      </c>
      <c r="M10" s="110" t="n">
        <v>79578</v>
      </c>
      <c r="N10" s="110" t="n">
        <v>48929</v>
      </c>
      <c r="O10" s="110" t="n">
        <v>53518</v>
      </c>
      <c r="P10" s="110" t="n">
        <v>72252</v>
      </c>
      <c r="Q10" s="110" t="n">
        <v>65915</v>
      </c>
      <c r="R10" s="110" t="n">
        <v>713605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0</v>
      </c>
      <c r="H12" s="110" t="n">
        <v>943</v>
      </c>
      <c r="I12" s="110" t="n">
        <v>367</v>
      </c>
      <c r="J12" s="110" t="n">
        <v>724</v>
      </c>
      <c r="K12" s="110" t="n">
        <v>367</v>
      </c>
      <c r="L12" s="110" t="n">
        <v>0</v>
      </c>
      <c r="M12" s="110" t="n">
        <v>1006</v>
      </c>
      <c r="N12" s="110" t="n">
        <v>778</v>
      </c>
      <c r="O12" s="110" t="n">
        <v>111</v>
      </c>
      <c r="P12" s="110" t="n">
        <v>529</v>
      </c>
      <c r="Q12" s="110" t="n">
        <v>310</v>
      </c>
      <c r="R12" s="110" t="n">
        <v>5135</v>
      </c>
    </row>
    <row r="13" customFormat="false" ht="15" hidden="false" customHeight="true" outlineLevel="0" collapsed="false">
      <c r="E13" s="100" t="s">
        <v>17</v>
      </c>
      <c r="F13" s="110" t="n">
        <v>0</v>
      </c>
      <c r="G13" s="110" t="n">
        <v>0</v>
      </c>
      <c r="H13" s="110" t="n">
        <v>391</v>
      </c>
      <c r="I13" s="110" t="n">
        <v>0</v>
      </c>
      <c r="J13" s="110" t="n">
        <v>0</v>
      </c>
      <c r="K13" s="110" t="n">
        <v>0</v>
      </c>
      <c r="L13" s="110" t="n">
        <v>4034</v>
      </c>
      <c r="M13" s="110" t="n">
        <v>1565</v>
      </c>
      <c r="N13" s="110" t="n">
        <v>1095</v>
      </c>
      <c r="O13" s="110" t="n">
        <v>96</v>
      </c>
      <c r="P13" s="110" t="n">
        <v>143</v>
      </c>
      <c r="Q13" s="110" t="n">
        <v>1436</v>
      </c>
      <c r="R13" s="110" t="n">
        <v>8760</v>
      </c>
    </row>
    <row r="14" customFormat="false" ht="15" hidden="false" customHeight="true" outlineLevel="0" collapsed="false">
      <c r="D14" s="100" t="s">
        <v>18</v>
      </c>
      <c r="F14" s="110" t="n">
        <v>11759</v>
      </c>
      <c r="G14" s="110" t="n">
        <v>13423</v>
      </c>
      <c r="H14" s="110" t="n">
        <v>15039</v>
      </c>
      <c r="I14" s="110" t="n">
        <v>17198</v>
      </c>
      <c r="J14" s="110" t="n">
        <v>17531</v>
      </c>
      <c r="K14" s="110" t="n">
        <v>17207</v>
      </c>
      <c r="L14" s="110" t="n">
        <v>20830</v>
      </c>
      <c r="M14" s="110" t="n">
        <v>20908</v>
      </c>
      <c r="N14" s="110" t="n">
        <v>19062</v>
      </c>
      <c r="O14" s="110" t="n">
        <v>18748</v>
      </c>
      <c r="P14" s="110" t="n">
        <v>20345</v>
      </c>
      <c r="Q14" s="110" t="n">
        <v>17389</v>
      </c>
      <c r="R14" s="110" t="n">
        <v>209439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0</v>
      </c>
      <c r="I16" s="110" t="n">
        <v>1920</v>
      </c>
      <c r="J16" s="110" t="n">
        <v>1585</v>
      </c>
      <c r="K16" s="110" t="n">
        <v>1890</v>
      </c>
      <c r="L16" s="110" t="n">
        <v>3313</v>
      </c>
      <c r="M16" s="110" t="n">
        <v>1965</v>
      </c>
      <c r="N16" s="110" t="n">
        <v>1832</v>
      </c>
      <c r="O16" s="110" t="n">
        <v>1417</v>
      </c>
      <c r="P16" s="110" t="n">
        <v>1888</v>
      </c>
      <c r="Q16" s="110" t="n">
        <v>414</v>
      </c>
      <c r="R16" s="110" t="n">
        <v>16224</v>
      </c>
    </row>
    <row r="17" customFormat="false" ht="15" hidden="false" customHeight="true" outlineLevel="0" collapsed="false">
      <c r="D17" s="100" t="s">
        <v>105</v>
      </c>
      <c r="F17" s="110" t="n">
        <v>743</v>
      </c>
      <c r="G17" s="110" t="n">
        <v>804</v>
      </c>
      <c r="H17" s="110" t="n">
        <v>1198</v>
      </c>
      <c r="I17" s="110" t="n">
        <v>757</v>
      </c>
      <c r="J17" s="110" t="n">
        <v>1199</v>
      </c>
      <c r="K17" s="110" t="n">
        <v>861</v>
      </c>
      <c r="L17" s="110" t="n">
        <v>806</v>
      </c>
      <c r="M17" s="110" t="n">
        <v>785</v>
      </c>
      <c r="N17" s="110" t="n">
        <v>945</v>
      </c>
      <c r="O17" s="110" t="n">
        <v>782</v>
      </c>
      <c r="P17" s="110" t="n">
        <v>463</v>
      </c>
      <c r="Q17" s="110" t="n">
        <v>550</v>
      </c>
      <c r="R17" s="110" t="n">
        <v>9893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10414</v>
      </c>
      <c r="G19" s="109" t="n">
        <f aca="false">SUM(G20:G24)</f>
        <v>34087</v>
      </c>
      <c r="H19" s="109" t="n">
        <f aca="false">SUM(H20:H24)</f>
        <v>6659</v>
      </c>
      <c r="I19" s="109" t="n">
        <f aca="false">SUM(I20:I24)</f>
        <v>7425</v>
      </c>
      <c r="J19" s="109" t="n">
        <f aca="false">SUM(J20:J24)</f>
        <v>8693</v>
      </c>
      <c r="K19" s="109" t="n">
        <f aca="false">SUM(K20:K24)</f>
        <v>10450</v>
      </c>
      <c r="L19" s="109" t="n">
        <f aca="false">SUM(L20:L24)</f>
        <v>23640</v>
      </c>
      <c r="M19" s="109" t="n">
        <f aca="false">SUM(M20:M24)</f>
        <v>15835</v>
      </c>
      <c r="N19" s="109" t="n">
        <f aca="false">SUM(N20:N24)</f>
        <v>11951</v>
      </c>
      <c r="O19" s="109" t="n">
        <f aca="false">SUM(O20:O24)</f>
        <v>10651</v>
      </c>
      <c r="P19" s="109" t="n">
        <f aca="false">SUM(P20:P24)</f>
        <v>55276</v>
      </c>
      <c r="Q19" s="109" t="n">
        <f aca="false">SUM(Q20:Q24)</f>
        <v>8392</v>
      </c>
      <c r="R19" s="109" t="n">
        <f aca="false">SUM(R20:R24)</f>
        <v>203473</v>
      </c>
    </row>
    <row r="20" customFormat="false" ht="15" hidden="false" customHeight="true" outlineLevel="0" collapsed="false">
      <c r="D20" s="100" t="s">
        <v>21</v>
      </c>
      <c r="F20" s="110" t="n">
        <v>6203</v>
      </c>
      <c r="G20" s="110" t="n">
        <v>4170</v>
      </c>
      <c r="H20" s="110" t="n">
        <v>3732</v>
      </c>
      <c r="I20" s="110" t="n">
        <v>4570</v>
      </c>
      <c r="J20" s="110" t="n">
        <v>6109</v>
      </c>
      <c r="K20" s="110" t="n">
        <v>8512</v>
      </c>
      <c r="L20" s="110" t="n">
        <v>5354</v>
      </c>
      <c r="M20" s="110" t="n">
        <v>8224</v>
      </c>
      <c r="N20" s="110" t="n">
        <v>8473</v>
      </c>
      <c r="O20" s="110" t="n">
        <v>3977</v>
      </c>
      <c r="P20" s="110" t="n">
        <v>4961</v>
      </c>
      <c r="Q20" s="110" t="n">
        <v>3647</v>
      </c>
      <c r="R20" s="110" t="n">
        <f aca="false">SUM(F20:Q20)</f>
        <v>67932</v>
      </c>
    </row>
    <row r="21" customFormat="false" ht="15" hidden="false" customHeight="true" outlineLevel="0" collapsed="false">
      <c r="D21" s="100" t="s">
        <v>112</v>
      </c>
      <c r="F21" s="110" t="n">
        <v>1981</v>
      </c>
      <c r="G21" s="110" t="n">
        <v>1569</v>
      </c>
      <c r="H21" s="110" t="n">
        <v>1294</v>
      </c>
      <c r="I21" s="110" t="n">
        <v>1290</v>
      </c>
      <c r="J21" s="110" t="n">
        <v>1846</v>
      </c>
      <c r="K21" s="110" t="n">
        <v>1491</v>
      </c>
      <c r="L21" s="110" t="n">
        <v>1673</v>
      </c>
      <c r="M21" s="110" t="n">
        <v>3685</v>
      </c>
      <c r="N21" s="110" t="n">
        <v>1798</v>
      </c>
      <c r="O21" s="110" t="n">
        <v>2522</v>
      </c>
      <c r="P21" s="110" t="n">
        <v>1597</v>
      </c>
      <c r="Q21" s="110" t="n">
        <v>891</v>
      </c>
      <c r="R21" s="110" t="n">
        <f aca="false">SUM(F21:Q21)</f>
        <v>21637</v>
      </c>
      <c r="T21" s="110"/>
    </row>
    <row r="22" customFormat="false" ht="15" hidden="false" customHeight="true" outlineLevel="0" collapsed="false">
      <c r="D22" s="100" t="s">
        <v>24</v>
      </c>
      <c r="F22" s="110" t="n">
        <v>1259.259</v>
      </c>
      <c r="G22" s="110" t="n">
        <v>1300.598</v>
      </c>
      <c r="H22" s="110" t="n">
        <v>585.436</v>
      </c>
      <c r="I22" s="110" t="n">
        <v>1104.33</v>
      </c>
      <c r="J22" s="110" t="n">
        <v>562.762</v>
      </c>
      <c r="K22" s="110" t="n">
        <v>571.391</v>
      </c>
      <c r="L22" s="110" t="n">
        <v>790.155</v>
      </c>
      <c r="M22" s="110" t="n">
        <v>666.876</v>
      </c>
      <c r="N22" s="110" t="n">
        <v>738.613</v>
      </c>
      <c r="O22" s="110" t="n">
        <v>759.625</v>
      </c>
      <c r="P22" s="110" t="n">
        <v>493.347</v>
      </c>
      <c r="Q22" s="110" t="n">
        <v>512.727</v>
      </c>
      <c r="R22" s="110" t="n">
        <f aca="false">SUM(F22:Q22)</f>
        <v>9345.119</v>
      </c>
    </row>
    <row r="23" customFormat="false" ht="15" hidden="false" customHeight="true" outlineLevel="0" collapsed="false">
      <c r="D23" s="100" t="s">
        <v>23</v>
      </c>
      <c r="F23" s="110" t="n">
        <v>57</v>
      </c>
      <c r="G23" s="110" t="n">
        <v>25791</v>
      </c>
      <c r="H23" s="110" t="n">
        <v>55</v>
      </c>
      <c r="I23" s="110" t="n">
        <v>0</v>
      </c>
      <c r="J23" s="110" t="n">
        <v>83</v>
      </c>
      <c r="K23" s="110" t="n">
        <v>24</v>
      </c>
      <c r="L23" s="110" t="n">
        <v>15169</v>
      </c>
      <c r="M23" s="110" t="n">
        <v>998</v>
      </c>
      <c r="N23" s="110" t="n">
        <v>216</v>
      </c>
      <c r="O23" s="110" t="n">
        <v>1203</v>
      </c>
      <c r="P23" s="110" t="n">
        <v>47000</v>
      </c>
      <c r="Q23" s="110" t="n">
        <v>23</v>
      </c>
      <c r="R23" s="110" t="n">
        <f aca="false">SUM(F23:Q23)</f>
        <v>90619</v>
      </c>
    </row>
    <row r="24" customFormat="false" ht="15" hidden="false" customHeight="true" outlineLevel="0" collapsed="false">
      <c r="D24" s="100" t="s">
        <v>105</v>
      </c>
      <c r="F24" s="110" t="n">
        <f aca="false">4154-F21-F22</f>
        <v>913.741</v>
      </c>
      <c r="G24" s="110" t="n">
        <f aca="false">4126-G21-G22</f>
        <v>1256.402</v>
      </c>
      <c r="H24" s="110" t="n">
        <f aca="false">2872-H21-H22</f>
        <v>992.564</v>
      </c>
      <c r="I24" s="110" t="n">
        <f aca="false">2855-I21-I22</f>
        <v>460.67</v>
      </c>
      <c r="J24" s="110" t="n">
        <f aca="false">2501-J21-J22</f>
        <v>92.2380000000001</v>
      </c>
      <c r="K24" s="138" t="n">
        <f aca="false">1914-K21-K22</f>
        <v>-148.391</v>
      </c>
      <c r="L24" s="110" t="n">
        <f aca="false">3117-L21-L22</f>
        <v>653.845</v>
      </c>
      <c r="M24" s="110" t="n">
        <f aca="false">6613-M21-M22</f>
        <v>2261.124</v>
      </c>
      <c r="N24" s="110" t="n">
        <f aca="false">3262-N21-N22</f>
        <v>725.387</v>
      </c>
      <c r="O24" s="110" t="n">
        <f aca="false">5471-O21-O22</f>
        <v>2189.375</v>
      </c>
      <c r="P24" s="110" t="n">
        <f aca="false">3315-P21-P22</f>
        <v>1224.653</v>
      </c>
      <c r="Q24" s="110" t="n">
        <f aca="false">4722-Q21-Q22</f>
        <v>3318.273</v>
      </c>
      <c r="R24" s="110" t="n">
        <f aca="false">SUM(F24:Q24)</f>
        <v>13939.881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0</v>
      </c>
      <c r="G26" s="110" t="n">
        <v>58</v>
      </c>
      <c r="H26" s="110" t="n">
        <v>11</v>
      </c>
      <c r="I26" s="110" t="n">
        <v>4</v>
      </c>
      <c r="J26" s="110" t="n">
        <v>2</v>
      </c>
      <c r="K26" s="110" t="n">
        <v>39</v>
      </c>
      <c r="L26" s="110" t="n">
        <v>2</v>
      </c>
      <c r="M26" s="110" t="n">
        <v>9</v>
      </c>
      <c r="N26" s="110" t="n">
        <v>3</v>
      </c>
      <c r="O26" s="110" t="n">
        <v>0</v>
      </c>
      <c r="P26" s="110" t="n">
        <v>6</v>
      </c>
      <c r="Q26" s="110" t="n">
        <v>16</v>
      </c>
      <c r="R26" s="110" t="n">
        <v>150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102366</v>
      </c>
      <c r="G28" s="108" t="n">
        <f aca="false">SUM(G30:G36)</f>
        <v>78506</v>
      </c>
      <c r="H28" s="108" t="n">
        <f aca="false">SUM(H30:H36)</f>
        <v>108399</v>
      </c>
      <c r="I28" s="108" t="n">
        <f aca="false">SUM(I30:I36)</f>
        <v>89203</v>
      </c>
      <c r="J28" s="108" t="n">
        <f aca="false">SUM(J30:J36)</f>
        <v>95880</v>
      </c>
      <c r="K28" s="108" t="n">
        <f aca="false">SUM(K30:K36)</f>
        <v>76906</v>
      </c>
      <c r="L28" s="108" t="n">
        <f aca="false">SUM(L30:L36)</f>
        <v>102378</v>
      </c>
      <c r="M28" s="108" t="n">
        <f aca="false">SUM(M30:M36)</f>
        <v>103218</v>
      </c>
      <c r="N28" s="108" t="n">
        <f aca="false">SUM(N30:N36)</f>
        <v>95411</v>
      </c>
      <c r="O28" s="108" t="n">
        <f aca="false">SUM(O30:O36)</f>
        <v>85177</v>
      </c>
      <c r="P28" s="108" t="n">
        <f aca="false">SUM(P30:P36)</f>
        <v>94249</v>
      </c>
      <c r="Q28" s="108" t="n">
        <f aca="false">SUM(Q30:Q36)</f>
        <v>117308</v>
      </c>
      <c r="R28" s="108" t="n">
        <f aca="false">SUM(F28:Q28)</f>
        <v>1149001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18478</v>
      </c>
      <c r="G30" s="110" t="n">
        <v>15767</v>
      </c>
      <c r="H30" s="110" t="n">
        <v>17364</v>
      </c>
      <c r="I30" s="110" t="n">
        <v>15986</v>
      </c>
      <c r="J30" s="110" t="n">
        <v>17199</v>
      </c>
      <c r="K30" s="110" t="n">
        <v>14988</v>
      </c>
      <c r="L30" s="110" t="n">
        <v>15395</v>
      </c>
      <c r="M30" s="110" t="n">
        <v>15786</v>
      </c>
      <c r="N30" s="110" t="n">
        <v>15259</v>
      </c>
      <c r="O30" s="110" t="n">
        <v>15259</v>
      </c>
      <c r="P30" s="110" t="n">
        <v>15390</v>
      </c>
      <c r="Q30" s="110" t="n">
        <v>16841</v>
      </c>
      <c r="R30" s="110" t="n">
        <f aca="false">SUM(F30:Q30)</f>
        <v>193712</v>
      </c>
    </row>
    <row r="31" customFormat="false" ht="15" hidden="false" customHeight="true" outlineLevel="0" collapsed="false">
      <c r="D31" s="100" t="s">
        <v>29</v>
      </c>
      <c r="F31" s="110" t="n">
        <v>32300</v>
      </c>
      <c r="G31" s="110" t="n">
        <v>26464</v>
      </c>
      <c r="H31" s="110" t="n">
        <v>30385</v>
      </c>
      <c r="I31" s="110" t="n">
        <v>19970</v>
      </c>
      <c r="J31" s="110" t="n">
        <v>14044</v>
      </c>
      <c r="K31" s="110" t="n">
        <v>6463</v>
      </c>
      <c r="L31" s="110" t="n">
        <v>29862</v>
      </c>
      <c r="M31" s="110" t="n">
        <v>33027</v>
      </c>
      <c r="N31" s="110" t="n">
        <v>30174</v>
      </c>
      <c r="O31" s="110" t="n">
        <v>18624</v>
      </c>
      <c r="P31" s="110" t="n">
        <v>13828</v>
      </c>
      <c r="Q31" s="110" t="n">
        <v>12659</v>
      </c>
      <c r="R31" s="110" t="n">
        <f aca="false">SUM(F31:Q31)</f>
        <v>267800</v>
      </c>
    </row>
    <row r="32" customFormat="false" ht="15" hidden="false" customHeight="true" outlineLevel="0" collapsed="false">
      <c r="D32" s="100" t="s">
        <v>30</v>
      </c>
      <c r="F32" s="110" t="n">
        <v>0</v>
      </c>
      <c r="G32" s="110" t="n">
        <v>0</v>
      </c>
      <c r="H32" s="110" t="n">
        <v>1334</v>
      </c>
      <c r="I32" s="110" t="n">
        <v>2287</v>
      </c>
      <c r="J32" s="110" t="n">
        <v>2309</v>
      </c>
      <c r="K32" s="110" t="n">
        <v>2257</v>
      </c>
      <c r="L32" s="110" t="n">
        <v>7347</v>
      </c>
      <c r="M32" s="110" t="n">
        <v>4536</v>
      </c>
      <c r="N32" s="110" t="n">
        <v>3705</v>
      </c>
      <c r="O32" s="110" t="n">
        <v>1624</v>
      </c>
      <c r="P32" s="110" t="n">
        <v>2560</v>
      </c>
      <c r="Q32" s="110" t="n">
        <v>2160</v>
      </c>
      <c r="R32" s="110" t="n">
        <f aca="false">SUM(F32:Q32)</f>
        <v>30119</v>
      </c>
    </row>
    <row r="33" customFormat="false" ht="15" hidden="false" customHeight="true" outlineLevel="0" collapsed="false">
      <c r="D33" s="100" t="s">
        <v>77</v>
      </c>
      <c r="F33" s="110" t="n">
        <v>1419</v>
      </c>
      <c r="G33" s="110" t="n">
        <v>1254</v>
      </c>
      <c r="H33" s="110" t="n">
        <v>3371</v>
      </c>
      <c r="I33" s="110" t="n">
        <v>2384</v>
      </c>
      <c r="J33" s="110" t="n">
        <v>86</v>
      </c>
      <c r="K33" s="110" t="n">
        <v>2070</v>
      </c>
      <c r="L33" s="110" t="n">
        <v>3453</v>
      </c>
      <c r="M33" s="110" t="n">
        <v>479</v>
      </c>
      <c r="N33" s="110" t="n">
        <v>1016</v>
      </c>
      <c r="O33" s="110" t="n">
        <v>97</v>
      </c>
      <c r="P33" s="110" t="n">
        <v>3292</v>
      </c>
      <c r="Q33" s="110" t="n">
        <v>8415</v>
      </c>
      <c r="R33" s="110" t="n">
        <f aca="false">SUM(F33:Q33)</f>
        <v>27336</v>
      </c>
    </row>
    <row r="34" customFormat="false" ht="15" hidden="false" customHeight="true" outlineLevel="0" collapsed="false">
      <c r="D34" s="100" t="s">
        <v>32</v>
      </c>
      <c r="F34" s="110" t="n">
        <v>30</v>
      </c>
      <c r="G34" s="110" t="n">
        <v>30</v>
      </c>
      <c r="H34" s="110" t="n">
        <v>52</v>
      </c>
      <c r="I34" s="110" t="n">
        <v>0</v>
      </c>
      <c r="J34" s="110" t="n">
        <v>50</v>
      </c>
      <c r="K34" s="110" t="n">
        <v>80</v>
      </c>
      <c r="L34" s="110" t="n">
        <v>131</v>
      </c>
      <c r="M34" s="110" t="n">
        <v>0</v>
      </c>
      <c r="N34" s="110" t="n">
        <v>0</v>
      </c>
      <c r="O34" s="110" t="n">
        <v>74</v>
      </c>
      <c r="P34" s="110" t="n">
        <v>0</v>
      </c>
      <c r="Q34" s="110" t="n">
        <v>3282</v>
      </c>
      <c r="R34" s="110" t="n">
        <f aca="false">SUM(F34:Q34)</f>
        <v>3729</v>
      </c>
    </row>
    <row r="35" customFormat="false" ht="15" hidden="false" customHeight="true" outlineLevel="0" collapsed="false">
      <c r="D35" s="100" t="s">
        <v>78</v>
      </c>
      <c r="F35" s="110" t="n">
        <v>530</v>
      </c>
      <c r="G35" s="110" t="n">
        <v>-42</v>
      </c>
      <c r="H35" s="110" t="n">
        <v>1303</v>
      </c>
      <c r="I35" s="110" t="n">
        <v>605</v>
      </c>
      <c r="J35" s="110" t="n">
        <v>432</v>
      </c>
      <c r="K35" s="110" t="n">
        <v>-302</v>
      </c>
      <c r="L35" s="110" t="n">
        <v>425</v>
      </c>
      <c r="M35" s="110" t="n">
        <v>268</v>
      </c>
      <c r="N35" s="110" t="n">
        <v>1226</v>
      </c>
      <c r="O35" s="110" t="n">
        <v>627</v>
      </c>
      <c r="P35" s="110" t="n">
        <v>922</v>
      </c>
      <c r="Q35" s="110" t="n">
        <v>3756</v>
      </c>
      <c r="R35" s="110" t="n">
        <f aca="false">SUM(F35:Q35)</f>
        <v>9750</v>
      </c>
    </row>
    <row r="36" customFormat="false" ht="15" hidden="false" customHeight="true" outlineLevel="0" collapsed="false">
      <c r="D36" s="1" t="s">
        <v>79</v>
      </c>
      <c r="F36" s="110" t="n">
        <v>49609</v>
      </c>
      <c r="G36" s="110" t="n">
        <v>35033</v>
      </c>
      <c r="H36" s="110" t="n">
        <v>54590</v>
      </c>
      <c r="I36" s="110" t="n">
        <v>47971</v>
      </c>
      <c r="J36" s="110" t="n">
        <v>61760</v>
      </c>
      <c r="K36" s="110" t="n">
        <v>51350</v>
      </c>
      <c r="L36" s="110" t="n">
        <v>45765</v>
      </c>
      <c r="M36" s="110" t="n">
        <v>49122</v>
      </c>
      <c r="N36" s="110" t="n">
        <v>44031</v>
      </c>
      <c r="O36" s="110" t="n">
        <v>48872</v>
      </c>
      <c r="P36" s="110" t="n">
        <v>58257</v>
      </c>
      <c r="Q36" s="110" t="n">
        <v>70195</v>
      </c>
      <c r="R36" s="110" t="n">
        <f aca="false">SUM(F36:Q36)</f>
        <v>616555</v>
      </c>
    </row>
    <row r="37" customFormat="false" ht="1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10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-29715</v>
      </c>
      <c r="G38" s="112" t="n">
        <f aca="false">+G8-G28</f>
        <v>11109</v>
      </c>
      <c r="H38" s="112" t="n">
        <f aca="false">+H8-H28</f>
        <v>-33362</v>
      </c>
      <c r="I38" s="112" t="n">
        <f aca="false">+I8-I28</f>
        <v>11952</v>
      </c>
      <c r="J38" s="112" t="n">
        <f aca="false">+J8-J28</f>
        <v>-1747</v>
      </c>
      <c r="K38" s="112" t="n">
        <f aca="false">+K8-K28</f>
        <v>782</v>
      </c>
      <c r="L38" s="112" t="n">
        <f aca="false">+L8-L28</f>
        <v>1595</v>
      </c>
      <c r="M38" s="112" t="n">
        <f aca="false">+M8-M28</f>
        <v>13897</v>
      </c>
      <c r="N38" s="112" t="n">
        <f aca="false">+N8-N28</f>
        <v>-14521</v>
      </c>
      <c r="O38" s="112" t="n">
        <f aca="false">+O8-O28</f>
        <v>-1478</v>
      </c>
      <c r="P38" s="112" t="n">
        <f aca="false">+P8-P28</f>
        <v>54093</v>
      </c>
      <c r="Q38" s="112" t="n">
        <f aca="false">+Q8-Q28</f>
        <v>-25046</v>
      </c>
      <c r="R38" s="112" t="n">
        <f aca="false">SUM(F38:Q38)</f>
        <v>-12441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43563</v>
      </c>
      <c r="G40" s="108" t="n">
        <v>40446</v>
      </c>
      <c r="H40" s="108" t="n">
        <v>41241</v>
      </c>
      <c r="I40" s="108" t="n">
        <v>20965</v>
      </c>
      <c r="J40" s="108" t="n">
        <v>-16159</v>
      </c>
      <c r="K40" s="108" t="n">
        <v>7999</v>
      </c>
      <c r="L40" s="108" t="n">
        <v>34568</v>
      </c>
      <c r="M40" s="108" t="n">
        <v>57342</v>
      </c>
      <c r="N40" s="108" t="n">
        <v>24222</v>
      </c>
      <c r="O40" s="108" t="n">
        <v>12654</v>
      </c>
      <c r="P40" s="108" t="n">
        <v>2767</v>
      </c>
      <c r="Q40" s="108" t="n">
        <v>23185</v>
      </c>
      <c r="R40" s="108" t="n">
        <v>292793</v>
      </c>
    </row>
    <row r="41" customFormat="false" ht="15" hidden="false" customHeight="true" outlineLevel="0" collapsed="false">
      <c r="C41" s="100" t="s">
        <v>37</v>
      </c>
      <c r="F41" s="109" t="n">
        <v>45088</v>
      </c>
      <c r="G41" s="109" t="n">
        <v>18309</v>
      </c>
      <c r="H41" s="109" t="n">
        <v>11985</v>
      </c>
      <c r="I41" s="109" t="n">
        <v>-266</v>
      </c>
      <c r="J41" s="109" t="n">
        <v>-5</v>
      </c>
      <c r="K41" s="109" t="n">
        <v>-1609</v>
      </c>
      <c r="L41" s="109" t="n">
        <v>1398</v>
      </c>
      <c r="M41" s="109" t="n">
        <v>-3106</v>
      </c>
      <c r="N41" s="109" t="n">
        <v>-15850</v>
      </c>
      <c r="O41" s="109" t="n">
        <v>-193</v>
      </c>
      <c r="P41" s="109" t="n">
        <v>-1560</v>
      </c>
      <c r="Q41" s="109" t="n">
        <v>1971</v>
      </c>
      <c r="R41" s="109" t="n">
        <v>56162</v>
      </c>
    </row>
    <row r="42" customFormat="false" ht="15" hidden="false" customHeight="true" outlineLevel="0" collapsed="false">
      <c r="D42" s="100" t="s">
        <v>38</v>
      </c>
      <c r="F42" s="110" t="n">
        <v>50301</v>
      </c>
      <c r="G42" s="110" t="n">
        <v>24668</v>
      </c>
      <c r="H42" s="110" t="n">
        <v>16358</v>
      </c>
      <c r="I42" s="110" t="n">
        <v>1989</v>
      </c>
      <c r="J42" s="110" t="n">
        <v>3743</v>
      </c>
      <c r="K42" s="110" t="n">
        <v>2792</v>
      </c>
      <c r="L42" s="110" t="n">
        <v>3855</v>
      </c>
      <c r="M42" s="110" t="n">
        <v>3169</v>
      </c>
      <c r="N42" s="110" t="n">
        <v>2461</v>
      </c>
      <c r="O42" s="110" t="n">
        <v>1498</v>
      </c>
      <c r="P42" s="110" t="n">
        <v>1158</v>
      </c>
      <c r="Q42" s="110" t="n">
        <v>6422</v>
      </c>
      <c r="R42" s="110" t="n">
        <v>118414</v>
      </c>
    </row>
    <row r="43" customFormat="false" ht="15" hidden="false" customHeight="true" outlineLevel="0" collapsed="false">
      <c r="D43" s="100" t="s">
        <v>97</v>
      </c>
      <c r="F43" s="110" t="n">
        <v>5213</v>
      </c>
      <c r="G43" s="110" t="n">
        <v>6359</v>
      </c>
      <c r="H43" s="110" t="n">
        <v>4373</v>
      </c>
      <c r="I43" s="110" t="n">
        <v>2255</v>
      </c>
      <c r="J43" s="110" t="n">
        <v>3748</v>
      </c>
      <c r="K43" s="110" t="n">
        <v>4401</v>
      </c>
      <c r="L43" s="110" t="n">
        <v>2457</v>
      </c>
      <c r="M43" s="110" t="n">
        <v>6275</v>
      </c>
      <c r="N43" s="110" t="n">
        <v>18311</v>
      </c>
      <c r="O43" s="110" t="n">
        <v>1691</v>
      </c>
      <c r="P43" s="110" t="n">
        <v>2718</v>
      </c>
      <c r="Q43" s="110" t="n">
        <v>4451</v>
      </c>
      <c r="R43" s="110" t="n">
        <v>62252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-1525</v>
      </c>
      <c r="G45" s="109" t="n">
        <v>22137</v>
      </c>
      <c r="H45" s="109" t="n">
        <v>29256</v>
      </c>
      <c r="I45" s="109" t="n">
        <v>21231</v>
      </c>
      <c r="J45" s="109" t="n">
        <v>-16154</v>
      </c>
      <c r="K45" s="109" t="n">
        <v>9608</v>
      </c>
      <c r="L45" s="109" t="n">
        <v>33170</v>
      </c>
      <c r="M45" s="109" t="n">
        <v>60448</v>
      </c>
      <c r="N45" s="109" t="n">
        <v>40072</v>
      </c>
      <c r="O45" s="109" t="n">
        <v>12847</v>
      </c>
      <c r="P45" s="109" t="n">
        <v>4327</v>
      </c>
      <c r="Q45" s="109" t="n">
        <v>21214</v>
      </c>
      <c r="R45" s="109" t="n">
        <v>236631</v>
      </c>
    </row>
    <row r="46" customFormat="false" ht="15" hidden="false" customHeight="true" outlineLevel="0" collapsed="false">
      <c r="D46" s="100" t="s">
        <v>41</v>
      </c>
      <c r="F46" s="110" t="n">
        <v>-1512</v>
      </c>
      <c r="G46" s="110" t="n">
        <v>22137</v>
      </c>
      <c r="H46" s="110" t="n">
        <v>29256</v>
      </c>
      <c r="I46" s="110" t="n">
        <v>109762</v>
      </c>
      <c r="J46" s="110" t="n">
        <v>-16154</v>
      </c>
      <c r="K46" s="110" t="n">
        <v>9608</v>
      </c>
      <c r="L46" s="110" t="n">
        <v>33170</v>
      </c>
      <c r="M46" s="110" t="n">
        <v>60448</v>
      </c>
      <c r="N46" s="110" t="n">
        <v>40072</v>
      </c>
      <c r="O46" s="110" t="n">
        <v>12847</v>
      </c>
      <c r="P46" s="110" t="n">
        <v>4327</v>
      </c>
      <c r="Q46" s="110" t="n">
        <v>23002</v>
      </c>
      <c r="R46" s="110" t="n">
        <v>326963</v>
      </c>
    </row>
    <row r="47" customFormat="false" ht="15" hidden="false" customHeight="true" outlineLevel="0" collapsed="false">
      <c r="D47" s="100" t="s">
        <v>42</v>
      </c>
      <c r="F47" s="110" t="n">
        <v>13</v>
      </c>
      <c r="G47" s="110" t="n">
        <v>0</v>
      </c>
      <c r="H47" s="110" t="n">
        <v>0</v>
      </c>
      <c r="I47" s="110" t="n">
        <v>88531</v>
      </c>
      <c r="J47" s="110" t="n">
        <v>0</v>
      </c>
      <c r="K47" s="110" t="n">
        <v>0</v>
      </c>
      <c r="L47" s="110" t="n">
        <v>0</v>
      </c>
      <c r="M47" s="110" t="n">
        <v>0</v>
      </c>
      <c r="N47" s="110" t="n">
        <v>0</v>
      </c>
      <c r="O47" s="110" t="n">
        <v>0</v>
      </c>
      <c r="P47" s="110" t="n">
        <v>0</v>
      </c>
      <c r="Q47" s="110" t="n">
        <v>1788</v>
      </c>
      <c r="R47" s="110" t="n">
        <v>90332</v>
      </c>
    </row>
    <row r="48" customFormat="false" ht="15" hidden="false" customHeight="true" outlineLevel="0" collapsed="false">
      <c r="E48" s="1" t="s">
        <v>67</v>
      </c>
      <c r="F48" s="110" t="n">
        <v>10694</v>
      </c>
      <c r="G48" s="110" t="n">
        <v>8356</v>
      </c>
      <c r="H48" s="110" t="n">
        <v>16414</v>
      </c>
      <c r="I48" s="110" t="n">
        <v>97134</v>
      </c>
      <c r="J48" s="110" t="n">
        <v>17134</v>
      </c>
      <c r="K48" s="110" t="n">
        <v>38916</v>
      </c>
      <c r="L48" s="110" t="n">
        <v>36691</v>
      </c>
      <c r="M48" s="110" t="n">
        <v>15581</v>
      </c>
      <c r="N48" s="110" t="n">
        <v>1334</v>
      </c>
      <c r="O48" s="110" t="n">
        <v>0</v>
      </c>
      <c r="P48" s="110" t="n">
        <v>32713</v>
      </c>
      <c r="Q48" s="110" t="n">
        <v>5121</v>
      </c>
      <c r="R48" s="110" t="n">
        <v>280088</v>
      </c>
    </row>
    <row r="49" customFormat="false" ht="15" hidden="false" customHeight="true" outlineLevel="0" collapsed="false">
      <c r="E49" s="16" t="s">
        <v>80</v>
      </c>
      <c r="F49" s="110" t="n">
        <v>10681</v>
      </c>
      <c r="G49" s="110" t="n">
        <v>8356</v>
      </c>
      <c r="H49" s="110" t="n">
        <v>16414</v>
      </c>
      <c r="I49" s="110" t="n">
        <v>8603</v>
      </c>
      <c r="J49" s="110" t="n">
        <v>17134</v>
      </c>
      <c r="K49" s="110" t="n">
        <v>38916</v>
      </c>
      <c r="L49" s="110" t="n">
        <v>36691</v>
      </c>
      <c r="M49" s="110" t="n">
        <v>15581</v>
      </c>
      <c r="N49" s="110" t="n">
        <v>1334</v>
      </c>
      <c r="O49" s="110" t="n">
        <v>0</v>
      </c>
      <c r="P49" s="110" t="n">
        <v>32713</v>
      </c>
      <c r="Q49" s="110" t="n">
        <v>3333</v>
      </c>
      <c r="R49" s="110" t="n">
        <v>189756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13278</v>
      </c>
      <c r="G51" s="108" t="n">
        <v>20723</v>
      </c>
      <c r="H51" s="108" t="n">
        <v>-17468</v>
      </c>
      <c r="I51" s="108" t="n">
        <v>7288</v>
      </c>
      <c r="J51" s="108" t="n">
        <v>-19366</v>
      </c>
      <c r="K51" s="108" t="n">
        <v>-15740</v>
      </c>
      <c r="L51" s="108" t="n">
        <v>-5878</v>
      </c>
      <c r="M51" s="108" t="n">
        <v>30633</v>
      </c>
      <c r="N51" s="108" t="n">
        <v>-14166</v>
      </c>
      <c r="O51" s="108" t="n">
        <v>5997</v>
      </c>
      <c r="P51" s="108" t="n">
        <v>50219</v>
      </c>
      <c r="Q51" s="108" t="n">
        <v>51431</v>
      </c>
      <c r="R51" s="108" t="n">
        <v>106951</v>
      </c>
    </row>
    <row r="52" customFormat="false" ht="15" hidden="false" customHeight="false" outlineLevel="0" collapsed="false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customFormat="false" ht="15" hidden="false" customHeight="false" outlineLevel="0" collapsed="false">
      <c r="B53" s="103" t="s">
        <v>46</v>
      </c>
      <c r="J53" s="109"/>
      <c r="K53" s="109"/>
      <c r="L53" s="109"/>
      <c r="M53" s="109"/>
      <c r="N53" s="109"/>
      <c r="O53" s="109"/>
      <c r="P53" s="109"/>
      <c r="Q53" s="109"/>
      <c r="R53" s="110"/>
    </row>
    <row r="54" customFormat="false" ht="14.25" hidden="false" customHeight="true" outlineLevel="0" collapsed="false">
      <c r="B54" s="103"/>
      <c r="C54" s="130" t="s">
        <v>110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10"/>
    </row>
    <row r="55" customFormat="false" ht="30.75" hidden="false" customHeight="true" outlineLevel="0" collapsed="false">
      <c r="B55" s="103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</row>
    <row r="58" customFormat="false" ht="14.25" hidden="false" customHeight="false" outlineLevel="0" collapsed="false">
      <c r="B58" s="31" t="s">
        <v>51</v>
      </c>
    </row>
    <row r="59" customFormat="false" ht="14.25" hidden="false" customHeight="false" outlineLevel="0" collapsed="false">
      <c r="B59" s="31" t="s">
        <v>106</v>
      </c>
      <c r="F59" s="31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</row>
  </sheetData>
  <mergeCells count="2">
    <mergeCell ref="B6:E6"/>
    <mergeCell ref="C54:Q5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22.43"/>
    <col collapsed="false" customWidth="false" hidden="false" outlineLevel="0" max="6" min="6" style="100" width="9.14"/>
    <col collapsed="false" customWidth="true" hidden="false" outlineLevel="0" max="8" min="7" style="100" width="8.71"/>
    <col collapsed="false" customWidth="true" hidden="false" outlineLevel="0" max="9" min="9" style="100" width="8"/>
    <col collapsed="false" customWidth="true" hidden="false" outlineLevel="0" max="12" min="10" style="100" width="8.71"/>
    <col collapsed="false" customWidth="true" hidden="false" outlineLevel="0" max="13" min="13" style="100" width="8"/>
    <col collapsed="false" customWidth="true" hidden="false" outlineLevel="0" max="14" min="14" style="100" width="8.71"/>
    <col collapsed="false" customWidth="true" hidden="false" outlineLevel="0" max="15" min="15" style="100" width="8"/>
    <col collapsed="false" customWidth="true" hidden="false" outlineLevel="0" max="16" min="16" style="100" width="8.71"/>
    <col collapsed="false" customWidth="false" hidden="false" outlineLevel="0" max="17" min="17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129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95</v>
      </c>
      <c r="B4" s="102"/>
    </row>
    <row r="5" customFormat="false" ht="14.25" hidden="false" customHeight="false" outlineLevel="0" collapsed="false">
      <c r="B5" s="102"/>
    </row>
    <row r="6" customFormat="false" ht="6" hidden="false" customHeight="true" outlineLevel="0" collapsed="false"/>
    <row r="7" customFormat="false" ht="22.5" hidden="false" customHeight="true" outlineLevel="0" collapsed="false">
      <c r="A7" s="104"/>
      <c r="B7" s="105" t="s">
        <v>4</v>
      </c>
      <c r="C7" s="105"/>
      <c r="D7" s="105"/>
      <c r="E7" s="105"/>
      <c r="F7" s="105" t="s">
        <v>5</v>
      </c>
      <c r="G7" s="105" t="s">
        <v>6</v>
      </c>
      <c r="H7" s="105" t="s">
        <v>7</v>
      </c>
      <c r="I7" s="105" t="s">
        <v>8</v>
      </c>
      <c r="J7" s="105" t="s">
        <v>9</v>
      </c>
      <c r="K7" s="105" t="s">
        <v>10</v>
      </c>
      <c r="L7" s="105" t="s">
        <v>53</v>
      </c>
      <c r="M7" s="105" t="s">
        <v>54</v>
      </c>
      <c r="N7" s="105" t="s">
        <v>55</v>
      </c>
      <c r="O7" s="105" t="s">
        <v>56</v>
      </c>
      <c r="P7" s="105" t="s">
        <v>57</v>
      </c>
      <c r="Q7" s="105" t="s">
        <v>58</v>
      </c>
      <c r="R7" s="105" t="s">
        <v>11</v>
      </c>
      <c r="S7" s="140"/>
    </row>
    <row r="8" customFormat="false" ht="15" hidden="false" customHeight="true" outlineLevel="0" collapsed="false">
      <c r="O8" s="110"/>
    </row>
    <row r="9" customFormat="false" ht="15" hidden="false" customHeight="true" outlineLevel="0" collapsed="false">
      <c r="B9" s="107" t="s">
        <v>12</v>
      </c>
      <c r="C9" s="107"/>
      <c r="D9" s="107"/>
      <c r="E9" s="107"/>
      <c r="F9" s="108" t="n">
        <f aca="false">F10+F20+F28</f>
        <v>72633</v>
      </c>
      <c r="G9" s="108" t="n">
        <f aca="false">G10+G20+G28</f>
        <v>64290</v>
      </c>
      <c r="H9" s="108" t="n">
        <f aca="false">H10+H20+H28</f>
        <v>68074</v>
      </c>
      <c r="I9" s="108" t="n">
        <f aca="false">I10+I20+I28</f>
        <v>95026</v>
      </c>
      <c r="J9" s="108" t="n">
        <f aca="false">J10+J20+J28</f>
        <v>89732</v>
      </c>
      <c r="K9" s="108" t="n">
        <f aca="false">K10+K20+K28</f>
        <v>81298</v>
      </c>
      <c r="L9" s="108" t="n">
        <f aca="false">L10+L20+L28</f>
        <v>73667</v>
      </c>
      <c r="M9" s="108" t="n">
        <f aca="false">M10+M20+M28</f>
        <v>97521</v>
      </c>
      <c r="N9" s="108" t="n">
        <f aca="false">N10+N20+N28</f>
        <v>73648</v>
      </c>
      <c r="O9" s="108" t="n">
        <f aca="false">O10+O20+O28</f>
        <v>79856</v>
      </c>
      <c r="P9" s="108" t="n">
        <f aca="false">P10+P20+P28</f>
        <v>86690</v>
      </c>
      <c r="Q9" s="108" t="n">
        <f aca="false">Q10+Q20+Q28</f>
        <v>97203</v>
      </c>
      <c r="R9" s="108" t="n">
        <f aca="false">R10+R20+R28</f>
        <v>979638</v>
      </c>
    </row>
    <row r="10" customFormat="false" ht="15" hidden="false" customHeight="true" outlineLevel="0" collapsed="false">
      <c r="C10" s="100" t="s">
        <v>13</v>
      </c>
      <c r="F10" s="109" t="n">
        <v>63148</v>
      </c>
      <c r="G10" s="109" t="n">
        <v>55002</v>
      </c>
      <c r="H10" s="109" t="n">
        <v>61279</v>
      </c>
      <c r="I10" s="109" t="n">
        <v>88372</v>
      </c>
      <c r="J10" s="109" t="n">
        <v>80082</v>
      </c>
      <c r="K10" s="109" t="n">
        <v>69784</v>
      </c>
      <c r="L10" s="109" t="n">
        <v>66136</v>
      </c>
      <c r="M10" s="109" t="n">
        <v>90104</v>
      </c>
      <c r="N10" s="109" t="n">
        <v>59966</v>
      </c>
      <c r="O10" s="109" t="n">
        <v>71985</v>
      </c>
      <c r="P10" s="109" t="n">
        <v>77899</v>
      </c>
      <c r="Q10" s="109" t="n">
        <v>76100</v>
      </c>
      <c r="R10" s="109" t="n">
        <v>859857</v>
      </c>
    </row>
    <row r="11" customFormat="false" ht="15" hidden="false" customHeight="true" outlineLevel="0" collapsed="false">
      <c r="D11" s="100" t="s">
        <v>14</v>
      </c>
      <c r="F11" s="110" t="n">
        <v>49498</v>
      </c>
      <c r="G11" s="110" t="n">
        <v>41719</v>
      </c>
      <c r="H11" s="110" t="n">
        <v>43740</v>
      </c>
      <c r="I11" s="110" t="n">
        <v>71368</v>
      </c>
      <c r="J11" s="110" t="n">
        <v>61698</v>
      </c>
      <c r="K11" s="110" t="n">
        <v>50368</v>
      </c>
      <c r="L11" s="110" t="n">
        <v>48878</v>
      </c>
      <c r="M11" s="110" t="n">
        <v>70720</v>
      </c>
      <c r="N11" s="110" t="n">
        <v>42766</v>
      </c>
      <c r="O11" s="110" t="n">
        <v>52063</v>
      </c>
      <c r="P11" s="110" t="n">
        <v>61257</v>
      </c>
      <c r="Q11" s="110" t="n">
        <v>58659</v>
      </c>
      <c r="R11" s="110" t="n">
        <v>652734</v>
      </c>
    </row>
    <row r="12" customFormat="false" ht="15" hidden="false" customHeight="true" outlineLevel="0" collapsed="false">
      <c r="E12" s="31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</row>
    <row r="13" customFormat="false" ht="15" hidden="false" customHeight="true" outlineLevel="0" collapsed="false">
      <c r="E13" s="100" t="s">
        <v>16</v>
      </c>
      <c r="F13" s="110" t="n">
        <v>0</v>
      </c>
      <c r="G13" s="110" t="n">
        <v>0</v>
      </c>
      <c r="H13" s="110" t="n">
        <v>980</v>
      </c>
      <c r="I13" s="110" t="n">
        <v>711</v>
      </c>
      <c r="J13" s="110" t="n">
        <v>281</v>
      </c>
      <c r="K13" s="110" t="n">
        <v>209</v>
      </c>
      <c r="L13" s="110" t="n">
        <v>420</v>
      </c>
      <c r="M13" s="110" t="n">
        <v>329</v>
      </c>
      <c r="N13" s="110" t="n">
        <v>497</v>
      </c>
      <c r="O13" s="110" t="n">
        <v>665</v>
      </c>
      <c r="P13" s="110" t="n">
        <v>421</v>
      </c>
      <c r="Q13" s="110" t="n">
        <v>574</v>
      </c>
      <c r="R13" s="110" t="n">
        <v>5087</v>
      </c>
    </row>
    <row r="14" customFormat="false" ht="15" hidden="false" customHeight="true" outlineLevel="0" collapsed="false">
      <c r="E14" s="100" t="s">
        <v>17</v>
      </c>
      <c r="F14" s="110" t="n">
        <v>0</v>
      </c>
      <c r="G14" s="110" t="n">
        <v>0</v>
      </c>
      <c r="H14" s="110" t="n">
        <v>0</v>
      </c>
      <c r="I14" s="110" t="n">
        <v>0</v>
      </c>
      <c r="J14" s="110" t="n">
        <v>0</v>
      </c>
      <c r="K14" s="110" t="n">
        <v>4787</v>
      </c>
      <c r="L14" s="110" t="n">
        <v>0</v>
      </c>
      <c r="M14" s="110" t="n">
        <v>1034</v>
      </c>
      <c r="N14" s="110" t="n">
        <v>67</v>
      </c>
      <c r="O14" s="110" t="n">
        <v>35</v>
      </c>
      <c r="P14" s="110" t="n">
        <v>0</v>
      </c>
      <c r="Q14" s="110" t="n">
        <v>0</v>
      </c>
      <c r="R14" s="110" t="n">
        <v>5923</v>
      </c>
      <c r="T14" s="110"/>
    </row>
    <row r="15" customFormat="false" ht="15" hidden="false" customHeight="true" outlineLevel="0" collapsed="false">
      <c r="D15" s="100" t="s">
        <v>18</v>
      </c>
      <c r="F15" s="110" t="n">
        <v>12981</v>
      </c>
      <c r="G15" s="110" t="n">
        <v>12588</v>
      </c>
      <c r="H15" s="110" t="n">
        <v>16731</v>
      </c>
      <c r="I15" s="110" t="n">
        <v>16324</v>
      </c>
      <c r="J15" s="110" t="n">
        <v>17608</v>
      </c>
      <c r="K15" s="110" t="n">
        <v>18500</v>
      </c>
      <c r="L15" s="110" t="n">
        <v>16353</v>
      </c>
      <c r="M15" s="110" t="n">
        <v>18232</v>
      </c>
      <c r="N15" s="110" t="n">
        <v>16501</v>
      </c>
      <c r="O15" s="110" t="n">
        <v>18877</v>
      </c>
      <c r="P15" s="110" t="n">
        <v>16342</v>
      </c>
      <c r="Q15" s="110" t="n">
        <v>17124</v>
      </c>
      <c r="R15" s="110" t="n">
        <v>198161</v>
      </c>
    </row>
    <row r="16" customFormat="false" ht="15" hidden="false" customHeight="true" outlineLevel="0" collapsed="false">
      <c r="E16" s="31" t="s">
        <v>15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</row>
    <row r="17" customFormat="false" ht="15" hidden="false" customHeight="true" outlineLevel="0" collapsed="false">
      <c r="E17" s="100" t="s">
        <v>17</v>
      </c>
      <c r="F17" s="110" t="n">
        <v>0</v>
      </c>
      <c r="G17" s="110" t="n">
        <v>0</v>
      </c>
      <c r="H17" s="110" t="n">
        <v>1191</v>
      </c>
      <c r="I17" s="110" t="n">
        <v>0</v>
      </c>
      <c r="J17" s="110" t="n">
        <v>34</v>
      </c>
      <c r="K17" s="110" t="n">
        <v>1019</v>
      </c>
      <c r="L17" s="110" t="n">
        <v>0</v>
      </c>
      <c r="M17" s="110" t="n">
        <v>0</v>
      </c>
      <c r="N17" s="110" t="n">
        <v>143</v>
      </c>
      <c r="O17" s="110" t="n">
        <v>2516</v>
      </c>
      <c r="P17" s="110" t="n">
        <v>2122</v>
      </c>
      <c r="Q17" s="110" t="n">
        <v>2629</v>
      </c>
      <c r="R17" s="110" t="n">
        <v>9654</v>
      </c>
    </row>
    <row r="18" customFormat="false" ht="15" hidden="false" customHeight="true" outlineLevel="0" collapsed="false">
      <c r="D18" s="100" t="s">
        <v>105</v>
      </c>
      <c r="F18" s="110" t="n">
        <v>669</v>
      </c>
      <c r="G18" s="110" t="n">
        <v>695</v>
      </c>
      <c r="H18" s="110" t="n">
        <v>808</v>
      </c>
      <c r="I18" s="110" t="n">
        <v>680</v>
      </c>
      <c r="J18" s="110" t="n">
        <v>776</v>
      </c>
      <c r="K18" s="110" t="n">
        <v>916</v>
      </c>
      <c r="L18" s="110" t="n">
        <v>905</v>
      </c>
      <c r="M18" s="110" t="n">
        <v>1152</v>
      </c>
      <c r="N18" s="110" t="n">
        <v>699</v>
      </c>
      <c r="O18" s="110" t="n">
        <v>1045</v>
      </c>
      <c r="P18" s="110" t="n">
        <v>300</v>
      </c>
      <c r="Q18" s="110" t="n">
        <v>317</v>
      </c>
      <c r="R18" s="110" t="n">
        <v>8962</v>
      </c>
    </row>
    <row r="19" customFormat="false" ht="15" hidden="false" customHeight="true" outlineLevel="0" collapsed="false"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U19" s="100" t="s">
        <v>59</v>
      </c>
    </row>
    <row r="20" customFormat="false" ht="15" hidden="false" customHeight="true" outlineLevel="0" collapsed="false">
      <c r="C20" s="100" t="s">
        <v>20</v>
      </c>
      <c r="F20" s="109" t="n">
        <f aca="false">SUM(F21:F26)</f>
        <v>9480</v>
      </c>
      <c r="G20" s="109" t="n">
        <f aca="false">SUM(G21:G26)</f>
        <v>9281</v>
      </c>
      <c r="H20" s="109" t="n">
        <f aca="false">SUM(H21:H26)</f>
        <v>6786</v>
      </c>
      <c r="I20" s="109" t="n">
        <f aca="false">SUM(I21:I26)</f>
        <v>6652</v>
      </c>
      <c r="J20" s="109" t="n">
        <f aca="false">SUM(J21:J26)</f>
        <v>9630</v>
      </c>
      <c r="K20" s="109" t="n">
        <f aca="false">SUM(K21:K26)</f>
        <v>11511</v>
      </c>
      <c r="L20" s="109" t="n">
        <f aca="false">SUM(L21:L26)</f>
        <v>7525</v>
      </c>
      <c r="M20" s="109" t="n">
        <f aca="false">SUM(M21:M26)</f>
        <v>7393</v>
      </c>
      <c r="N20" s="109" t="n">
        <f aca="false">SUM(N21:N26)</f>
        <v>13668</v>
      </c>
      <c r="O20" s="109" t="n">
        <f aca="false">SUM(O21:O26)</f>
        <v>7868</v>
      </c>
      <c r="P20" s="109" t="n">
        <f aca="false">SUM(P21:P26)</f>
        <v>8733</v>
      </c>
      <c r="Q20" s="109" t="n">
        <f aca="false">SUM(Q21:Q26)</f>
        <v>21071</v>
      </c>
      <c r="R20" s="109" t="n">
        <f aca="false">SUM(R21:R26)</f>
        <v>119598</v>
      </c>
    </row>
    <row r="21" customFormat="false" ht="15" hidden="false" customHeight="true" outlineLevel="0" collapsed="false">
      <c r="D21" s="100" t="s">
        <v>21</v>
      </c>
      <c r="F21" s="110" t="n">
        <v>5889</v>
      </c>
      <c r="G21" s="110" t="n">
        <v>6668</v>
      </c>
      <c r="H21" s="110" t="n">
        <v>4787</v>
      </c>
      <c r="I21" s="110" t="n">
        <v>4835</v>
      </c>
      <c r="J21" s="110" t="n">
        <v>4448</v>
      </c>
      <c r="K21" s="110" t="n">
        <v>9871</v>
      </c>
      <c r="L21" s="110" t="n">
        <v>5006</v>
      </c>
      <c r="M21" s="110" t="n">
        <v>4955</v>
      </c>
      <c r="N21" s="110" t="n">
        <v>4293</v>
      </c>
      <c r="O21" s="110" t="n">
        <v>4013</v>
      </c>
      <c r="P21" s="110" t="n">
        <v>4309</v>
      </c>
      <c r="Q21" s="110" t="n">
        <v>15372</v>
      </c>
      <c r="R21" s="110" t="n">
        <f aca="false">SUM(F21:Q21)</f>
        <v>74446</v>
      </c>
    </row>
    <row r="22" customFormat="false" ht="15" hidden="false" customHeight="true" outlineLevel="0" collapsed="false">
      <c r="D22" s="100" t="s">
        <v>112</v>
      </c>
      <c r="F22" s="110" t="n">
        <v>1876</v>
      </c>
      <c r="G22" s="110" t="n">
        <v>1536</v>
      </c>
      <c r="H22" s="110" t="n">
        <v>1667</v>
      </c>
      <c r="I22" s="110" t="n">
        <v>1046</v>
      </c>
      <c r="J22" s="110" t="n">
        <v>1355</v>
      </c>
      <c r="K22" s="110" t="n">
        <v>1229</v>
      </c>
      <c r="L22" s="110" t="n">
        <v>1054</v>
      </c>
      <c r="M22" s="110" t="n">
        <v>1364</v>
      </c>
      <c r="N22" s="110" t="n">
        <v>1177</v>
      </c>
      <c r="O22" s="110" t="n">
        <v>2318</v>
      </c>
      <c r="P22" s="110" t="n">
        <v>1221</v>
      </c>
      <c r="Q22" s="110" t="n">
        <v>918</v>
      </c>
      <c r="R22" s="110" t="n">
        <f aca="false">SUM(F22:Q22)</f>
        <v>16761</v>
      </c>
      <c r="T22" s="110"/>
    </row>
    <row r="23" customFormat="false" ht="15" hidden="false" customHeight="true" outlineLevel="0" collapsed="false">
      <c r="D23" s="100" t="s">
        <v>24</v>
      </c>
      <c r="F23" s="110" t="n">
        <v>307.643</v>
      </c>
      <c r="G23" s="110" t="n">
        <v>186.139</v>
      </c>
      <c r="H23" s="110" t="n">
        <v>166.622</v>
      </c>
      <c r="I23" s="110" t="n">
        <v>110.037</v>
      </c>
      <c r="J23" s="110" t="n">
        <v>407.639</v>
      </c>
      <c r="K23" s="110" t="n">
        <v>513.901</v>
      </c>
      <c r="L23" s="110" t="n">
        <v>928.047</v>
      </c>
      <c r="M23" s="110" t="n">
        <v>16.921</v>
      </c>
      <c r="N23" s="110" t="n">
        <v>0</v>
      </c>
      <c r="O23" s="110" t="n">
        <v>153.294</v>
      </c>
      <c r="P23" s="110" t="n">
        <v>888.694</v>
      </c>
      <c r="Q23" s="110" t="n">
        <v>574.056</v>
      </c>
      <c r="R23" s="110" t="n">
        <f aca="false">SUM(F23:Q23)</f>
        <v>4252.993</v>
      </c>
    </row>
    <row r="24" customFormat="false" ht="15" hidden="false" customHeight="true" outlineLevel="0" collapsed="false">
      <c r="D24" s="100" t="s">
        <v>23</v>
      </c>
      <c r="F24" s="110" t="n">
        <v>0</v>
      </c>
      <c r="G24" s="110" t="n">
        <v>0</v>
      </c>
      <c r="H24" s="110" t="n">
        <v>258</v>
      </c>
      <c r="I24" s="110" t="n">
        <v>0</v>
      </c>
      <c r="J24" s="110" t="n">
        <v>25</v>
      </c>
      <c r="K24" s="110" t="n">
        <v>139</v>
      </c>
      <c r="L24" s="110" t="n">
        <v>3</v>
      </c>
      <c r="M24" s="110" t="n">
        <v>442</v>
      </c>
      <c r="N24" s="110" t="n">
        <v>223</v>
      </c>
      <c r="O24" s="110" t="n">
        <v>105</v>
      </c>
      <c r="P24" s="110" t="n">
        <v>23</v>
      </c>
      <c r="Q24" s="110" t="n">
        <v>4597</v>
      </c>
      <c r="R24" s="110" t="n">
        <f aca="false">SUM(F24:Q24)</f>
        <v>5815</v>
      </c>
    </row>
    <row r="25" customFormat="false" ht="15" hidden="false" customHeight="true" outlineLevel="0" collapsed="false">
      <c r="D25" s="100" t="s">
        <v>108</v>
      </c>
      <c r="F25" s="110" t="n">
        <v>0</v>
      </c>
      <c r="G25" s="110" t="n">
        <v>0</v>
      </c>
      <c r="H25" s="110" t="n">
        <v>0</v>
      </c>
      <c r="I25" s="110" t="n">
        <v>0</v>
      </c>
      <c r="J25" s="110" t="n">
        <v>0</v>
      </c>
      <c r="K25" s="110" t="n">
        <v>0</v>
      </c>
      <c r="L25" s="110" t="n">
        <v>0</v>
      </c>
      <c r="M25" s="110" t="n">
        <v>0</v>
      </c>
      <c r="N25" s="110" t="n">
        <v>7560</v>
      </c>
      <c r="O25" s="110" t="n">
        <v>0</v>
      </c>
      <c r="P25" s="110" t="n">
        <v>798</v>
      </c>
      <c r="Q25" s="110" t="n">
        <v>0</v>
      </c>
      <c r="R25" s="110" t="n">
        <f aca="false">SUM(F25:Q25)</f>
        <v>8358</v>
      </c>
    </row>
    <row r="26" customFormat="false" ht="15" hidden="false" customHeight="true" outlineLevel="0" collapsed="false">
      <c r="D26" s="100" t="s">
        <v>105</v>
      </c>
      <c r="F26" s="110" t="n">
        <f aca="false">3591-F22-F23-F25</f>
        <v>1407.357</v>
      </c>
      <c r="G26" s="110" t="n">
        <f aca="false">2613-G22-G23-G25</f>
        <v>890.861</v>
      </c>
      <c r="H26" s="110" t="n">
        <f aca="false">1741-H22-H23-H25</f>
        <v>-92.622</v>
      </c>
      <c r="I26" s="110" t="n">
        <f aca="false">1817-I22-I23-I25</f>
        <v>660.963</v>
      </c>
      <c r="J26" s="110" t="n">
        <f aca="false">5157-J22-J23-J25</f>
        <v>3394.361</v>
      </c>
      <c r="K26" s="110" t="n">
        <f aca="false">1501-K22-K23-K25</f>
        <v>-241.901</v>
      </c>
      <c r="L26" s="110" t="n">
        <f aca="false">2516-L22-L23-L25</f>
        <v>533.953</v>
      </c>
      <c r="M26" s="110" t="n">
        <f aca="false">1996-M22-M23-M25</f>
        <v>615.079</v>
      </c>
      <c r="N26" s="110" t="n">
        <f aca="false">9152-N22-N23-N25</f>
        <v>415</v>
      </c>
      <c r="O26" s="110" t="n">
        <f aca="false">3750-O22-O23-O25</f>
        <v>1278.706</v>
      </c>
      <c r="P26" s="110" t="n">
        <f aca="false">4401-P22-P23-P25</f>
        <v>1493.306</v>
      </c>
      <c r="Q26" s="110" t="n">
        <f aca="false">1102-Q22-Q23-Q25</f>
        <v>-390.056</v>
      </c>
      <c r="R26" s="110" t="n">
        <f aca="false">SUM(F26:Q26)</f>
        <v>9965.007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C28" s="100" t="s">
        <v>26</v>
      </c>
      <c r="F28" s="110" t="n">
        <v>5</v>
      </c>
      <c r="G28" s="110" t="n">
        <v>7</v>
      </c>
      <c r="H28" s="110" t="n">
        <v>9</v>
      </c>
      <c r="I28" s="110" t="n">
        <v>2</v>
      </c>
      <c r="J28" s="110" t="n">
        <v>20</v>
      </c>
      <c r="K28" s="110" t="n">
        <v>3</v>
      </c>
      <c r="L28" s="110" t="n">
        <v>6</v>
      </c>
      <c r="M28" s="110" t="n">
        <v>24</v>
      </c>
      <c r="N28" s="110" t="n">
        <v>14</v>
      </c>
      <c r="O28" s="110" t="n">
        <v>3</v>
      </c>
      <c r="P28" s="110" t="n">
        <v>58</v>
      </c>
      <c r="Q28" s="110" t="n">
        <v>32</v>
      </c>
      <c r="R28" s="110" t="n">
        <v>183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 t="n">
        <v>0</v>
      </c>
    </row>
    <row r="30" customFormat="false" ht="15" hidden="false" customHeight="true" outlineLevel="0" collapsed="false">
      <c r="B30" s="107" t="s">
        <v>27</v>
      </c>
      <c r="C30" s="107"/>
      <c r="D30" s="107"/>
      <c r="E30" s="107"/>
      <c r="F30" s="108" t="n">
        <f aca="false">SUM(F32:F38)</f>
        <v>88078</v>
      </c>
      <c r="G30" s="108" t="n">
        <f aca="false">SUM(G32:G38)</f>
        <v>89248</v>
      </c>
      <c r="H30" s="108" t="n">
        <f aca="false">SUM(H32:H38)</f>
        <v>95281</v>
      </c>
      <c r="I30" s="108" t="n">
        <f aca="false">SUM(I32:I38)</f>
        <v>77384</v>
      </c>
      <c r="J30" s="108" t="n">
        <f aca="false">SUM(J32:J38)</f>
        <v>83921</v>
      </c>
      <c r="K30" s="108" t="n">
        <f aca="false">SUM(K32:K38)</f>
        <v>68645</v>
      </c>
      <c r="L30" s="108" t="n">
        <f aca="false">SUM(L32:L38)</f>
        <v>90677</v>
      </c>
      <c r="M30" s="108" t="n">
        <f aca="false">SUM(M32:M38)</f>
        <v>83187</v>
      </c>
      <c r="N30" s="108" t="n">
        <f aca="false">SUM(N32:N38)</f>
        <v>89877</v>
      </c>
      <c r="O30" s="108" t="n">
        <f aca="false">SUM(O32:O38)</f>
        <v>85698</v>
      </c>
      <c r="P30" s="108" t="n">
        <f aca="false">SUM(P32:P38)</f>
        <v>88759</v>
      </c>
      <c r="Q30" s="108" t="n">
        <f aca="false">SUM(Q32:Q38)</f>
        <v>103674</v>
      </c>
      <c r="R30" s="108" t="n">
        <f aca="false">SUM(F30:Q30)</f>
        <v>1044429</v>
      </c>
    </row>
    <row r="31" customFormat="false" ht="15" hidden="false" customHeight="true" outlineLevel="0" collapsed="false"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</row>
    <row r="32" customFormat="false" ht="15" hidden="false" customHeight="true" outlineLevel="0" collapsed="false">
      <c r="D32" s="100" t="s">
        <v>28</v>
      </c>
      <c r="F32" s="110" t="n">
        <v>13058</v>
      </c>
      <c r="G32" s="110" t="n">
        <v>13485</v>
      </c>
      <c r="H32" s="110" t="n">
        <v>13370</v>
      </c>
      <c r="I32" s="110" t="n">
        <v>13160</v>
      </c>
      <c r="J32" s="110" t="n">
        <v>12777</v>
      </c>
      <c r="K32" s="110" t="n">
        <v>12910</v>
      </c>
      <c r="L32" s="110" t="n">
        <v>12608</v>
      </c>
      <c r="M32" s="110" t="n">
        <v>12910</v>
      </c>
      <c r="N32" s="110" t="n">
        <v>12376</v>
      </c>
      <c r="O32" s="110" t="n">
        <v>13093</v>
      </c>
      <c r="P32" s="110" t="n">
        <v>20578</v>
      </c>
      <c r="Q32" s="110" t="n">
        <v>24388</v>
      </c>
      <c r="R32" s="110" t="n">
        <f aca="false">SUM(F32:Q32)</f>
        <v>174713</v>
      </c>
    </row>
    <row r="33" customFormat="false" ht="15" hidden="false" customHeight="true" outlineLevel="0" collapsed="false">
      <c r="D33" s="100" t="s">
        <v>29</v>
      </c>
      <c r="F33" s="110" t="n">
        <v>31894</v>
      </c>
      <c r="G33" s="110" t="n">
        <v>36805</v>
      </c>
      <c r="H33" s="110" t="n">
        <v>35123</v>
      </c>
      <c r="I33" s="110" t="n">
        <v>24680</v>
      </c>
      <c r="J33" s="110" t="n">
        <v>15743</v>
      </c>
      <c r="K33" s="110" t="n">
        <v>12317</v>
      </c>
      <c r="L33" s="110" t="n">
        <v>34176</v>
      </c>
      <c r="M33" s="110" t="n">
        <v>30670</v>
      </c>
      <c r="N33" s="110" t="n">
        <v>33042</v>
      </c>
      <c r="O33" s="110" t="n">
        <v>23329</v>
      </c>
      <c r="P33" s="110" t="n">
        <v>15104</v>
      </c>
      <c r="Q33" s="110" t="n">
        <v>17225</v>
      </c>
      <c r="R33" s="110" t="n">
        <f aca="false">SUM(F33:Q33)</f>
        <v>310108</v>
      </c>
    </row>
    <row r="34" customFormat="false" ht="15" hidden="false" customHeight="true" outlineLevel="0" collapsed="false">
      <c r="D34" s="100" t="s">
        <v>30</v>
      </c>
      <c r="F34" s="110" t="n">
        <v>0</v>
      </c>
      <c r="G34" s="110" t="n">
        <v>0</v>
      </c>
      <c r="H34" s="110" t="n">
        <v>2171</v>
      </c>
      <c r="I34" s="110" t="n">
        <v>711</v>
      </c>
      <c r="J34" s="110" t="n">
        <v>315</v>
      </c>
      <c r="K34" s="110" t="n">
        <v>6015</v>
      </c>
      <c r="L34" s="110" t="n">
        <v>420</v>
      </c>
      <c r="M34" s="110" t="n">
        <v>1363</v>
      </c>
      <c r="N34" s="110" t="n">
        <v>707</v>
      </c>
      <c r="O34" s="110" t="n">
        <v>3216</v>
      </c>
      <c r="P34" s="110" t="n">
        <v>2543</v>
      </c>
      <c r="Q34" s="110" t="n">
        <v>3203</v>
      </c>
      <c r="R34" s="110" t="n">
        <f aca="false">SUM(F34:Q34)</f>
        <v>20664</v>
      </c>
    </row>
    <row r="35" customFormat="false" ht="15" hidden="false" customHeight="true" outlineLevel="0" collapsed="false">
      <c r="D35" s="100" t="s">
        <v>77</v>
      </c>
      <c r="F35" s="110" t="n">
        <v>1690</v>
      </c>
      <c r="G35" s="110" t="n">
        <v>899</v>
      </c>
      <c r="H35" s="110" t="n">
        <v>1032</v>
      </c>
      <c r="I35" s="110" t="n">
        <v>1421</v>
      </c>
      <c r="J35" s="110" t="n">
        <v>1438</v>
      </c>
      <c r="K35" s="110" t="n">
        <v>341</v>
      </c>
      <c r="L35" s="110" t="n">
        <v>709</v>
      </c>
      <c r="M35" s="110" t="n">
        <v>741</v>
      </c>
      <c r="N35" s="110" t="n">
        <v>977</v>
      </c>
      <c r="O35" s="110" t="n">
        <v>507</v>
      </c>
      <c r="P35" s="110" t="n">
        <v>510</v>
      </c>
      <c r="Q35" s="110" t="n">
        <v>3545</v>
      </c>
      <c r="R35" s="110" t="n">
        <f aca="false">SUM(F35:Q35)</f>
        <v>13810</v>
      </c>
    </row>
    <row r="36" customFormat="false" ht="15" hidden="false" customHeight="true" outlineLevel="0" collapsed="false">
      <c r="D36" s="100" t="s">
        <v>32</v>
      </c>
      <c r="F36" s="110" t="n">
        <v>0</v>
      </c>
      <c r="G36" s="110" t="n">
        <v>0</v>
      </c>
      <c r="H36" s="110" t="n">
        <v>50</v>
      </c>
      <c r="I36" s="110" t="n">
        <v>0</v>
      </c>
      <c r="J36" s="110" t="n">
        <v>870</v>
      </c>
      <c r="K36" s="110" t="n">
        <v>23</v>
      </c>
      <c r="L36" s="110" t="n">
        <v>30</v>
      </c>
      <c r="M36" s="110" t="n">
        <v>0</v>
      </c>
      <c r="N36" s="110" t="n">
        <v>80</v>
      </c>
      <c r="O36" s="110" t="n">
        <v>0</v>
      </c>
      <c r="P36" s="110" t="n">
        <v>0</v>
      </c>
      <c r="Q36" s="110" t="n">
        <v>2508</v>
      </c>
      <c r="R36" s="110" t="n">
        <f aca="false">SUM(F36:Q36)</f>
        <v>3561</v>
      </c>
    </row>
    <row r="37" customFormat="false" ht="15" hidden="false" customHeight="true" outlineLevel="0" collapsed="false">
      <c r="D37" s="100" t="s">
        <v>78</v>
      </c>
      <c r="F37" s="110" t="n">
        <v>746</v>
      </c>
      <c r="G37" s="110" t="n">
        <v>730</v>
      </c>
      <c r="H37" s="110" t="n">
        <v>1305</v>
      </c>
      <c r="I37" s="110" t="n">
        <v>368</v>
      </c>
      <c r="J37" s="110" t="n">
        <v>2533</v>
      </c>
      <c r="K37" s="110" t="n">
        <v>1754</v>
      </c>
      <c r="L37" s="110" t="n">
        <v>2632</v>
      </c>
      <c r="M37" s="110" t="n">
        <v>1632</v>
      </c>
      <c r="N37" s="110" t="n">
        <v>1982</v>
      </c>
      <c r="O37" s="110" t="n">
        <v>1106</v>
      </c>
      <c r="P37" s="110" t="n">
        <v>-2658</v>
      </c>
      <c r="Q37" s="110" t="n">
        <v>-11999</v>
      </c>
      <c r="R37" s="110" t="n">
        <f aca="false">SUM(F37:Q37)</f>
        <v>131</v>
      </c>
    </row>
    <row r="38" customFormat="false" ht="15" hidden="false" customHeight="true" outlineLevel="0" collapsed="false">
      <c r="D38" s="1" t="s">
        <v>79</v>
      </c>
      <c r="F38" s="110" t="n">
        <v>40690</v>
      </c>
      <c r="G38" s="110" t="n">
        <v>37329</v>
      </c>
      <c r="H38" s="110" t="n">
        <v>42230</v>
      </c>
      <c r="I38" s="110" t="n">
        <v>37044</v>
      </c>
      <c r="J38" s="110" t="n">
        <v>50245</v>
      </c>
      <c r="K38" s="110" t="n">
        <v>35285</v>
      </c>
      <c r="L38" s="110" t="n">
        <v>40102</v>
      </c>
      <c r="M38" s="110" t="n">
        <v>35871</v>
      </c>
      <c r="N38" s="110" t="n">
        <v>40713</v>
      </c>
      <c r="O38" s="110" t="n">
        <v>44447</v>
      </c>
      <c r="P38" s="110" t="n">
        <v>52682</v>
      </c>
      <c r="Q38" s="110" t="n">
        <v>64804</v>
      </c>
      <c r="R38" s="110" t="n">
        <f aca="false">SUM(F38:Q38)</f>
        <v>521442</v>
      </c>
    </row>
    <row r="39" customFormat="false" ht="15" hidden="false" customHeight="true" outlineLevel="0" collapsed="false"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</row>
    <row r="40" customFormat="false" ht="15" hidden="false" customHeight="true" outlineLevel="0" collapsed="false">
      <c r="B40" s="107" t="s">
        <v>35</v>
      </c>
      <c r="C40" s="107"/>
      <c r="D40" s="107"/>
      <c r="E40" s="107"/>
      <c r="F40" s="112" t="n">
        <f aca="false">+F9-F30</f>
        <v>-15445</v>
      </c>
      <c r="G40" s="112" t="n">
        <f aca="false">+G9-G30</f>
        <v>-24958</v>
      </c>
      <c r="H40" s="112" t="n">
        <f aca="false">+H9-H30</f>
        <v>-27207</v>
      </c>
      <c r="I40" s="112" t="n">
        <f aca="false">+I9-I30</f>
        <v>17642</v>
      </c>
      <c r="J40" s="112" t="n">
        <f aca="false">+J9-J30</f>
        <v>5811</v>
      </c>
      <c r="K40" s="112" t="n">
        <f aca="false">+K9-K30</f>
        <v>12653</v>
      </c>
      <c r="L40" s="112" t="n">
        <f aca="false">+L9-L30</f>
        <v>-17010</v>
      </c>
      <c r="M40" s="112" t="n">
        <f aca="false">+M9-M30</f>
        <v>14334</v>
      </c>
      <c r="N40" s="112" t="n">
        <f aca="false">+N9-N30</f>
        <v>-16229</v>
      </c>
      <c r="O40" s="112" t="n">
        <f aca="false">+O9-O30</f>
        <v>-5842</v>
      </c>
      <c r="P40" s="112" t="n">
        <f aca="false">+P9-P30</f>
        <v>-2069</v>
      </c>
      <c r="Q40" s="112" t="n">
        <f aca="false">+Q9-Q30</f>
        <v>-6471</v>
      </c>
      <c r="R40" s="112" t="n">
        <f aca="false">SUM(F40:Q40)</f>
        <v>-64791</v>
      </c>
    </row>
    <row r="41" customFormat="false" ht="15" hidden="false" customHeight="true" outlineLevel="0" collapsed="false"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</row>
    <row r="42" customFormat="false" ht="15" hidden="false" customHeight="true" outlineLevel="0" collapsed="false">
      <c r="B42" s="107" t="s">
        <v>36</v>
      </c>
      <c r="C42" s="107"/>
      <c r="D42" s="107"/>
      <c r="E42" s="107"/>
      <c r="F42" s="108" t="n">
        <v>94244</v>
      </c>
      <c r="G42" s="108" t="n">
        <v>7642</v>
      </c>
      <c r="H42" s="108" t="n">
        <v>7844</v>
      </c>
      <c r="I42" s="108" t="n">
        <v>9267</v>
      </c>
      <c r="J42" s="108" t="n">
        <v>-24986</v>
      </c>
      <c r="K42" s="108" t="n">
        <v>-26615</v>
      </c>
      <c r="L42" s="108" t="n">
        <v>-6042</v>
      </c>
      <c r="M42" s="108" t="n">
        <v>48408</v>
      </c>
      <c r="N42" s="108" t="n">
        <v>-6970</v>
      </c>
      <c r="O42" s="108" t="n">
        <v>13663</v>
      </c>
      <c r="P42" s="108" t="n">
        <v>-15665</v>
      </c>
      <c r="Q42" s="108" t="n">
        <v>9331</v>
      </c>
      <c r="R42" s="108" t="n">
        <v>110121</v>
      </c>
    </row>
    <row r="43" customFormat="false" ht="15" hidden="false" customHeight="true" outlineLevel="0" collapsed="false">
      <c r="C43" s="100" t="s">
        <v>37</v>
      </c>
      <c r="F43" s="109" t="n">
        <v>104988</v>
      </c>
      <c r="G43" s="109" t="n">
        <v>-6013</v>
      </c>
      <c r="H43" s="109" t="n">
        <v>-2081</v>
      </c>
      <c r="I43" s="109" t="n">
        <v>730</v>
      </c>
      <c r="J43" s="109" t="n">
        <v>-674</v>
      </c>
      <c r="K43" s="109" t="n">
        <v>-2930</v>
      </c>
      <c r="L43" s="109" t="n">
        <v>-2462</v>
      </c>
      <c r="M43" s="109" t="n">
        <v>34093</v>
      </c>
      <c r="N43" s="109" t="n">
        <v>-869</v>
      </c>
      <c r="O43" s="109" t="n">
        <v>1054</v>
      </c>
      <c r="P43" s="109" t="n">
        <v>-2169</v>
      </c>
      <c r="Q43" s="109" t="n">
        <v>-2913</v>
      </c>
      <c r="R43" s="109" t="n">
        <v>120754</v>
      </c>
    </row>
    <row r="44" customFormat="false" ht="15" hidden="false" customHeight="true" outlineLevel="0" collapsed="false">
      <c r="D44" s="100" t="s">
        <v>38</v>
      </c>
      <c r="F44" s="110" t="n">
        <v>111684</v>
      </c>
      <c r="G44" s="110" t="n">
        <v>1225</v>
      </c>
      <c r="H44" s="110" t="n">
        <v>2113</v>
      </c>
      <c r="I44" s="110" t="n">
        <v>2452</v>
      </c>
      <c r="J44" s="110" t="n">
        <v>4989</v>
      </c>
      <c r="K44" s="110" t="n">
        <v>2654</v>
      </c>
      <c r="L44" s="110" t="n">
        <v>3418</v>
      </c>
      <c r="M44" s="110" t="n">
        <v>40663</v>
      </c>
      <c r="N44" s="110" t="n">
        <v>3141</v>
      </c>
      <c r="O44" s="110" t="n">
        <v>3369</v>
      </c>
      <c r="P44" s="110" t="n">
        <v>69110</v>
      </c>
      <c r="Q44" s="110" t="n">
        <v>39263</v>
      </c>
      <c r="R44" s="110" t="n">
        <v>284081</v>
      </c>
    </row>
    <row r="45" customFormat="false" ht="15" hidden="false" customHeight="true" outlineLevel="0" collapsed="false">
      <c r="D45" s="100" t="s">
        <v>97</v>
      </c>
      <c r="F45" s="110" t="n">
        <v>6696</v>
      </c>
      <c r="G45" s="110" t="n">
        <v>7238</v>
      </c>
      <c r="H45" s="110" t="n">
        <v>4194</v>
      </c>
      <c r="I45" s="110" t="n">
        <v>1722</v>
      </c>
      <c r="J45" s="110" t="n">
        <v>5663</v>
      </c>
      <c r="K45" s="110" t="n">
        <v>5584</v>
      </c>
      <c r="L45" s="110" t="n">
        <v>5880</v>
      </c>
      <c r="M45" s="110" t="n">
        <v>6570</v>
      </c>
      <c r="N45" s="110" t="n">
        <v>4010</v>
      </c>
      <c r="O45" s="110" t="n">
        <v>2315</v>
      </c>
      <c r="P45" s="110" t="n">
        <v>71279</v>
      </c>
      <c r="Q45" s="110" t="n">
        <v>42176</v>
      </c>
      <c r="R45" s="110" t="n">
        <v>163327</v>
      </c>
    </row>
    <row r="46" customFormat="false" ht="15" hidden="false" customHeight="true" outlineLevel="0" collapsed="false"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</row>
    <row r="47" customFormat="false" ht="15" hidden="false" customHeight="true" outlineLevel="0" collapsed="false">
      <c r="C47" s="100" t="s">
        <v>40</v>
      </c>
      <c r="F47" s="109" t="n">
        <v>-10744</v>
      </c>
      <c r="G47" s="109" t="n">
        <v>13655</v>
      </c>
      <c r="H47" s="109" t="n">
        <v>9925</v>
      </c>
      <c r="I47" s="109" t="n">
        <v>8537</v>
      </c>
      <c r="J47" s="109" t="n">
        <v>-24312</v>
      </c>
      <c r="K47" s="109" t="n">
        <v>-23685</v>
      </c>
      <c r="L47" s="109" t="n">
        <v>-3580</v>
      </c>
      <c r="M47" s="109" t="n">
        <v>14315</v>
      </c>
      <c r="N47" s="109" t="n">
        <v>-6101</v>
      </c>
      <c r="O47" s="109" t="n">
        <v>12609</v>
      </c>
      <c r="P47" s="109" t="n">
        <v>-13496</v>
      </c>
      <c r="Q47" s="109" t="n">
        <v>12244</v>
      </c>
      <c r="R47" s="109" t="n">
        <v>-10633</v>
      </c>
    </row>
    <row r="48" customFormat="false" ht="15" hidden="false" customHeight="true" outlineLevel="0" collapsed="false">
      <c r="D48" s="100" t="s">
        <v>41</v>
      </c>
      <c r="F48" s="110" t="n">
        <v>11613</v>
      </c>
      <c r="G48" s="110" t="n">
        <v>91659</v>
      </c>
      <c r="H48" s="110" t="n">
        <v>66978</v>
      </c>
      <c r="I48" s="110" t="n">
        <v>29006</v>
      </c>
      <c r="J48" s="110" t="n">
        <v>-11395</v>
      </c>
      <c r="K48" s="110" t="n">
        <v>-10442</v>
      </c>
      <c r="L48" s="110" t="n">
        <v>35540</v>
      </c>
      <c r="M48" s="110" t="n">
        <v>32649</v>
      </c>
      <c r="N48" s="110" t="n">
        <v>71387</v>
      </c>
      <c r="O48" s="110" t="n">
        <v>29969</v>
      </c>
      <c r="P48" s="110" t="n">
        <v>606</v>
      </c>
      <c r="Q48" s="110" t="n">
        <v>22736</v>
      </c>
      <c r="R48" s="110" t="n">
        <v>370306</v>
      </c>
    </row>
    <row r="49" customFormat="false" ht="15" hidden="false" customHeight="true" outlineLevel="0" collapsed="false">
      <c r="D49" s="100" t="s">
        <v>97</v>
      </c>
      <c r="F49" s="110" t="n">
        <v>22357</v>
      </c>
      <c r="G49" s="110" t="n">
        <v>78004</v>
      </c>
      <c r="H49" s="110" t="n">
        <v>57053</v>
      </c>
      <c r="I49" s="110" t="n">
        <v>20469</v>
      </c>
      <c r="J49" s="110" t="n">
        <v>12917</v>
      </c>
      <c r="K49" s="110" t="n">
        <v>13243</v>
      </c>
      <c r="L49" s="110" t="n">
        <v>39120</v>
      </c>
      <c r="M49" s="110" t="n">
        <v>18334</v>
      </c>
      <c r="N49" s="110" t="n">
        <v>77488</v>
      </c>
      <c r="O49" s="110" t="n">
        <v>17360</v>
      </c>
      <c r="P49" s="110" t="n">
        <v>14102</v>
      </c>
      <c r="Q49" s="110" t="n">
        <v>10492</v>
      </c>
      <c r="R49" s="110" t="n">
        <v>380939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80912</v>
      </c>
      <c r="G51" s="108" t="n">
        <v>-21627</v>
      </c>
      <c r="H51" s="108" t="n">
        <v>-6509</v>
      </c>
      <c r="I51" s="108" t="n">
        <v>5924</v>
      </c>
      <c r="J51" s="108" t="n">
        <v>-61110</v>
      </c>
      <c r="K51" s="108" t="n">
        <v>42385</v>
      </c>
      <c r="L51" s="108" t="n">
        <v>-26000</v>
      </c>
      <c r="M51" s="108" t="n">
        <v>42549</v>
      </c>
      <c r="N51" s="108" t="n">
        <v>-25396</v>
      </c>
      <c r="O51" s="108" t="n">
        <v>2263</v>
      </c>
      <c r="P51" s="108" t="n">
        <v>-29340</v>
      </c>
      <c r="Q51" s="108" t="n">
        <v>2012</v>
      </c>
      <c r="R51" s="108" t="n">
        <v>6063</v>
      </c>
    </row>
    <row r="52" customFormat="false" ht="14.25" hidden="false" customHeight="false" outlineLevel="0" collapsed="false">
      <c r="F52" s="110"/>
      <c r="G52" s="110"/>
      <c r="H52" s="110"/>
      <c r="I52" s="110"/>
    </row>
    <row r="53" customFormat="false" ht="15" hidden="false" customHeight="false" outlineLevel="0" collapsed="false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customFormat="false" ht="15" hidden="false" customHeight="false" outlineLevel="0" collapsed="false">
      <c r="B54" s="103" t="s">
        <v>46</v>
      </c>
    </row>
    <row r="55" customFormat="false" ht="14.25" hidden="false" customHeight="false" outlineLevel="0" collapsed="false">
      <c r="B55" s="103"/>
      <c r="C55" s="31" t="s">
        <v>98</v>
      </c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10"/>
    </row>
    <row r="56" customFormat="false" ht="14.25" hidden="false" customHeight="false" outlineLevel="0" collapsed="false">
      <c r="B56" s="31"/>
      <c r="C56" s="31" t="s">
        <v>99</v>
      </c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10"/>
    </row>
    <row r="58" customFormat="false" ht="14.25" hidden="false" customHeight="false" outlineLevel="0" collapsed="false">
      <c r="R58" s="110"/>
    </row>
    <row r="59" customFormat="false" ht="14.25" hidden="false" customHeight="false" outlineLevel="0" collapsed="false">
      <c r="B59" s="31" t="s">
        <v>51</v>
      </c>
    </row>
    <row r="60" customFormat="false" ht="14.25" hidden="false" customHeight="false" outlineLevel="0" collapsed="false">
      <c r="B60" s="31" t="s">
        <v>106</v>
      </c>
    </row>
  </sheetData>
  <mergeCells count="1">
    <mergeCell ref="B7:E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2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68" activeCellId="0" sqref="A68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29"/>
    <col collapsed="false" customWidth="true" hidden="false" outlineLevel="0" max="17" min="6" style="1" width="10.58"/>
    <col collapsed="false" customWidth="true" hidden="false" outlineLevel="0" max="18" min="18" style="1" width="12.42"/>
    <col collapsed="false" customWidth="false" hidden="false" outlineLevel="0" max="1024" min="19" style="1" width="9.14"/>
  </cols>
  <sheetData>
    <row r="1" customFormat="false" ht="9.75" hidden="false" customHeight="true" outlineLevel="0" collapsed="false"/>
    <row r="2" customFormat="false" ht="15" hidden="false" customHeight="false" outlineLevel="0" collapsed="false">
      <c r="A2" s="2" t="s">
        <v>0</v>
      </c>
      <c r="B2" s="2"/>
      <c r="C2" s="2"/>
      <c r="D2" s="2"/>
      <c r="E2" s="2"/>
    </row>
    <row r="3" customFormat="false" ht="15" hidden="false" customHeight="false" outlineLevel="0" collapsed="false">
      <c r="A3" s="2" t="s">
        <v>63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 t="s">
        <v>3</v>
      </c>
      <c r="B5" s="3"/>
    </row>
    <row r="6" customFormat="false" ht="6" hidden="false" customHeight="true" outlineLevel="0" collapsed="false"/>
    <row r="7" s="6" customFormat="true" ht="23.25" hidden="false" customHeight="true" outlineLevel="0" collapsed="false">
      <c r="A7" s="5" t="s">
        <v>4</v>
      </c>
      <c r="B7" s="5"/>
      <c r="C7" s="5"/>
      <c r="D7" s="5"/>
      <c r="E7" s="5"/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53</v>
      </c>
      <c r="M7" s="5" t="s">
        <v>54</v>
      </c>
      <c r="N7" s="5" t="s">
        <v>64</v>
      </c>
      <c r="O7" s="5" t="s">
        <v>56</v>
      </c>
      <c r="P7" s="5" t="s">
        <v>57</v>
      </c>
      <c r="Q7" s="5" t="s">
        <v>58</v>
      </c>
      <c r="R7" s="5" t="s">
        <v>11</v>
      </c>
    </row>
    <row r="8" customFormat="false" ht="15" hidden="false" customHeight="false" outlineLevel="0" collapsed="false"/>
    <row r="9" customFormat="false" ht="15" hidden="false" customHeight="false" outlineLevel="0" collapsed="false">
      <c r="B9" s="7" t="s">
        <v>12</v>
      </c>
      <c r="C9" s="7"/>
      <c r="D9" s="7"/>
      <c r="E9" s="7"/>
      <c r="F9" s="34" t="n">
        <f aca="false">+F10+F21+F28</f>
        <v>260732</v>
      </c>
      <c r="G9" s="34" t="n">
        <f aca="false">+G10+G21+G28</f>
        <v>219562</v>
      </c>
      <c r="H9" s="34" t="n">
        <f aca="false">+H10+H21+H28</f>
        <v>216161</v>
      </c>
      <c r="I9" s="34" t="n">
        <f aca="false">+I10+I21+I28</f>
        <v>291920</v>
      </c>
      <c r="J9" s="34" t="n">
        <f aca="false">+J10+J21+J28</f>
        <v>256414.52</v>
      </c>
      <c r="K9" s="34" t="n">
        <f aca="false">+K10+K21+K28</f>
        <v>245568</v>
      </c>
      <c r="L9" s="34" t="n">
        <f aca="false">+L10+L21+L28</f>
        <v>256071</v>
      </c>
      <c r="M9" s="34" t="n">
        <f aca="false">+M10+M21+M28</f>
        <v>259252</v>
      </c>
      <c r="N9" s="34" t="n">
        <f aca="false">+N10+N21+N28</f>
        <v>231445</v>
      </c>
      <c r="O9" s="34" t="n">
        <f aca="false">+O10+O21+O28</f>
        <v>253089</v>
      </c>
      <c r="P9" s="34" t="n">
        <f aca="false">+P10+P21+P28</f>
        <v>284014</v>
      </c>
      <c r="Q9" s="34" t="n">
        <f aca="false">+Q10+Q21+Q28</f>
        <v>231310</v>
      </c>
      <c r="R9" s="34" t="n">
        <f aca="false">+R10+R21+R28</f>
        <v>3005538.52</v>
      </c>
    </row>
    <row r="10" customFormat="false" ht="15" hidden="false" customHeight="false" outlineLevel="0" collapsed="false">
      <c r="C10" s="1" t="s">
        <v>13</v>
      </c>
      <c r="F10" s="34" t="n">
        <f aca="false">+F11+F16+F19</f>
        <v>231038</v>
      </c>
      <c r="G10" s="34" t="n">
        <f aca="false">+G11+G16+G19</f>
        <v>203007</v>
      </c>
      <c r="H10" s="34" t="n">
        <f aca="false">+H11+H16+H19</f>
        <v>189675</v>
      </c>
      <c r="I10" s="34" t="n">
        <f aca="false">+I11+I16+I19</f>
        <v>271706</v>
      </c>
      <c r="J10" s="34" t="n">
        <f aca="false">+J11+J16+J19</f>
        <v>234357</v>
      </c>
      <c r="K10" s="34" t="n">
        <f aca="false">+K11+K16+K19</f>
        <v>213671</v>
      </c>
      <c r="L10" s="34" t="n">
        <f aca="false">+L11+L16+L19</f>
        <v>230611</v>
      </c>
      <c r="M10" s="34" t="n">
        <f aca="false">+M11+M16+M19</f>
        <v>242356</v>
      </c>
      <c r="N10" s="34" t="n">
        <f aca="false">+N11+N16+N19</f>
        <v>213506</v>
      </c>
      <c r="O10" s="34" t="n">
        <f aca="false">+O11+O16+O19</f>
        <v>219387</v>
      </c>
      <c r="P10" s="34" t="n">
        <f aca="false">+P11+P16+P19</f>
        <v>269925</v>
      </c>
      <c r="Q10" s="34" t="n">
        <f aca="false">+Q11+Q16+Q19</f>
        <v>223482</v>
      </c>
      <c r="R10" s="34" t="n">
        <f aca="false">+R11+R16+R19</f>
        <v>2742721</v>
      </c>
    </row>
    <row r="11" customFormat="false" ht="14.25" hidden="false" customHeight="false" outlineLevel="0" collapsed="false">
      <c r="D11" s="1" t="s">
        <v>14</v>
      </c>
      <c r="F11" s="35" t="n">
        <v>182150</v>
      </c>
      <c r="G11" s="35" t="n">
        <v>154141</v>
      </c>
      <c r="H11" s="35" t="n">
        <v>133367</v>
      </c>
      <c r="I11" s="35" t="n">
        <v>219045</v>
      </c>
      <c r="J11" s="35" t="n">
        <v>183711</v>
      </c>
      <c r="K11" s="35" t="n">
        <v>159364</v>
      </c>
      <c r="L11" s="35" t="n">
        <v>170833</v>
      </c>
      <c r="M11" s="35" t="n">
        <v>186077</v>
      </c>
      <c r="N11" s="35" t="n">
        <v>154228</v>
      </c>
      <c r="O11" s="35" t="n">
        <v>162115</v>
      </c>
      <c r="P11" s="35" t="n">
        <v>210746</v>
      </c>
      <c r="Q11" s="35" t="n">
        <f aca="false">162331+37</f>
        <v>162368</v>
      </c>
      <c r="R11" s="35" t="n">
        <f aca="false">SUM(F11:Q11)</f>
        <v>2078145</v>
      </c>
    </row>
    <row r="12" customFormat="false" ht="14.25" hidden="false" customHeight="false" outlineLevel="0" collapsed="false">
      <c r="E12" s="6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customFormat="false" ht="14.25" hidden="false" customHeight="false" outlineLevel="0" collapsed="false">
      <c r="E13" s="1" t="s">
        <v>16</v>
      </c>
      <c r="F13" s="35" t="n">
        <v>0</v>
      </c>
      <c r="G13" s="35" t="n">
        <v>6602</v>
      </c>
      <c r="H13" s="35" t="n">
        <v>0</v>
      </c>
      <c r="I13" s="35" t="n">
        <v>2473</v>
      </c>
      <c r="J13" s="35" t="n">
        <v>2351</v>
      </c>
      <c r="K13" s="35" t="n">
        <v>1216</v>
      </c>
      <c r="L13" s="35" t="n">
        <v>3419</v>
      </c>
      <c r="M13" s="35" t="n">
        <v>4663</v>
      </c>
      <c r="N13" s="35" t="n">
        <v>1519</v>
      </c>
      <c r="O13" s="35" t="n">
        <v>1928</v>
      </c>
      <c r="P13" s="35" t="n">
        <v>0</v>
      </c>
      <c r="Q13" s="35" t="n">
        <v>3470</v>
      </c>
      <c r="R13" s="35" t="n">
        <f aca="false">+F13+G13+H13+I13+J13+K13+L13+M13+N13+O13+P13+Q13</f>
        <v>27641</v>
      </c>
    </row>
    <row r="14" customFormat="false" ht="14.25" hidden="false" customHeight="false" outlineLevel="0" collapsed="false">
      <c r="E14" s="1" t="s">
        <v>17</v>
      </c>
      <c r="F14" s="35" t="n">
        <v>0</v>
      </c>
      <c r="G14" s="35" t="n">
        <v>0</v>
      </c>
      <c r="H14" s="35" t="n">
        <v>0</v>
      </c>
      <c r="I14" s="35" t="n">
        <v>96</v>
      </c>
      <c r="J14" s="35" t="n">
        <v>699</v>
      </c>
      <c r="K14" s="35" t="n">
        <v>1751</v>
      </c>
      <c r="L14" s="35" t="n">
        <v>183</v>
      </c>
      <c r="M14" s="35" t="n">
        <v>32</v>
      </c>
      <c r="N14" s="35" t="n">
        <v>1972</v>
      </c>
      <c r="O14" s="35" t="n">
        <v>81</v>
      </c>
      <c r="P14" s="35" t="n">
        <v>438</v>
      </c>
      <c r="Q14" s="35" t="n">
        <v>149</v>
      </c>
      <c r="R14" s="35" t="n">
        <f aca="false">+F14+G14+H14+I14+J14+K14+L14+M14+N14+O14+P14+Q14</f>
        <v>5401</v>
      </c>
    </row>
    <row r="15" customFormat="false" ht="6" hidden="false" customHeight="true" outlineLevel="0" collapsed="false"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 t="s">
        <v>59</v>
      </c>
    </row>
    <row r="16" customFormat="false" ht="14.25" hidden="false" customHeight="false" outlineLevel="0" collapsed="false">
      <c r="D16" s="1" t="s">
        <v>18</v>
      </c>
      <c r="F16" s="35" t="n">
        <v>47270</v>
      </c>
      <c r="G16" s="35" t="n">
        <v>47185</v>
      </c>
      <c r="H16" s="35" t="n">
        <v>54727</v>
      </c>
      <c r="I16" s="35" t="n">
        <v>51781</v>
      </c>
      <c r="J16" s="35" t="n">
        <v>48617</v>
      </c>
      <c r="K16" s="35" t="n">
        <v>52166</v>
      </c>
      <c r="L16" s="35" t="n">
        <v>57169</v>
      </c>
      <c r="M16" s="35" t="n">
        <v>53359</v>
      </c>
      <c r="N16" s="35" t="n">
        <v>57562</v>
      </c>
      <c r="O16" s="35" t="n">
        <v>55532</v>
      </c>
      <c r="P16" s="35" t="n">
        <v>57919</v>
      </c>
      <c r="Q16" s="35" t="n">
        <v>60276</v>
      </c>
      <c r="R16" s="35" t="n">
        <f aca="false">+F16+G16+H16+I16+J16+K16+L16+M16+N16+O16+P16+Q16</f>
        <v>643563</v>
      </c>
    </row>
    <row r="17" customFormat="false" ht="14.25" hidden="false" customHeight="false" outlineLevel="0" collapsed="false">
      <c r="E17" s="6" t="s">
        <v>15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customFormat="false" ht="14.25" hidden="false" customHeight="false" outlineLevel="0" collapsed="false">
      <c r="E18" s="1" t="s">
        <v>17</v>
      </c>
      <c r="F18" s="35" t="n">
        <v>0</v>
      </c>
      <c r="G18" s="35" t="n">
        <v>68</v>
      </c>
      <c r="H18" s="35" t="n">
        <v>30</v>
      </c>
      <c r="I18" s="35" t="n">
        <v>121</v>
      </c>
      <c r="J18" s="35" t="n">
        <v>50</v>
      </c>
      <c r="K18" s="35" t="n">
        <v>157</v>
      </c>
      <c r="L18" s="35" t="n">
        <v>65</v>
      </c>
      <c r="M18" s="35" t="n">
        <v>479</v>
      </c>
      <c r="N18" s="35" t="n">
        <v>1636</v>
      </c>
      <c r="O18" s="35" t="n">
        <v>524</v>
      </c>
      <c r="P18" s="35" t="n">
        <v>86</v>
      </c>
      <c r="Q18" s="35" t="n">
        <v>451</v>
      </c>
      <c r="R18" s="35" t="n">
        <f aca="false">+F18+G18+H18+I18+J18+K18+L18+M18+N18+O18+P18+Q18</f>
        <v>3667</v>
      </c>
    </row>
    <row r="19" customFormat="false" ht="14.25" hidden="false" customHeight="false" outlineLevel="0" collapsed="false">
      <c r="D19" s="1" t="s">
        <v>19</v>
      </c>
      <c r="F19" s="35" t="n">
        <v>1618</v>
      </c>
      <c r="G19" s="35" t="n">
        <v>1681</v>
      </c>
      <c r="H19" s="35" t="n">
        <v>1581</v>
      </c>
      <c r="I19" s="35" t="n">
        <v>880</v>
      </c>
      <c r="J19" s="35" t="n">
        <v>2029</v>
      </c>
      <c r="K19" s="35" t="n">
        <v>2141</v>
      </c>
      <c r="L19" s="35" t="n">
        <v>2609</v>
      </c>
      <c r="M19" s="35" t="n">
        <v>2920</v>
      </c>
      <c r="N19" s="35" t="n">
        <v>1716</v>
      </c>
      <c r="O19" s="35" t="n">
        <v>1740</v>
      </c>
      <c r="P19" s="35" t="n">
        <v>1260</v>
      </c>
      <c r="Q19" s="35" t="n">
        <v>838</v>
      </c>
      <c r="R19" s="35" t="n">
        <f aca="false">+F19+G19+H19+I19+J19+K19+L19+M19+N19+O19+P19+Q19</f>
        <v>21013</v>
      </c>
    </row>
    <row r="20" customFormat="false" ht="14.25" hidden="false" customHeight="false" outlineLevel="0" collapsed="false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customFormat="false" ht="15" hidden="false" customHeight="false" outlineLevel="0" collapsed="false">
      <c r="C21" s="1" t="s">
        <v>20</v>
      </c>
      <c r="F21" s="34" t="n">
        <f aca="false">SUM(F22:F26)</f>
        <v>29694</v>
      </c>
      <c r="G21" s="34" t="n">
        <f aca="false">SUM(G22:G26)</f>
        <v>16464</v>
      </c>
      <c r="H21" s="34" t="n">
        <f aca="false">SUM(H22:H26)</f>
        <v>26477</v>
      </c>
      <c r="I21" s="34" t="n">
        <f aca="false">SUM(I22:I26)</f>
        <v>20109</v>
      </c>
      <c r="J21" s="34" t="n">
        <f aca="false">SUM(J22:J26)</f>
        <v>22057.52</v>
      </c>
      <c r="K21" s="34" t="n">
        <f aca="false">SUM(K22:K26)</f>
        <v>31853</v>
      </c>
      <c r="L21" s="34" t="n">
        <f aca="false">SUM(L22:L26)</f>
        <v>25412</v>
      </c>
      <c r="M21" s="34" t="n">
        <f aca="false">SUM(M22:M26)</f>
        <v>16893</v>
      </c>
      <c r="N21" s="34" t="n">
        <f aca="false">SUM(N22:N26)</f>
        <v>17930</v>
      </c>
      <c r="O21" s="34" t="n">
        <f aca="false">SUM(O22:O26)</f>
        <v>33698</v>
      </c>
      <c r="P21" s="34" t="n">
        <f aca="false">SUM(P22:P26)</f>
        <v>14075</v>
      </c>
      <c r="Q21" s="34" t="n">
        <f aca="false">SUM(Q22:Q26)</f>
        <v>7801</v>
      </c>
      <c r="R21" s="34" t="n">
        <f aca="false">SUM(R22:R26)</f>
        <v>262463.52</v>
      </c>
    </row>
    <row r="22" customFormat="false" ht="14.25" hidden="false" customHeight="false" outlineLevel="0" collapsed="false">
      <c r="D22" s="1" t="s">
        <v>21</v>
      </c>
      <c r="F22" s="35" t="n">
        <v>18660</v>
      </c>
      <c r="G22" s="35" t="n">
        <v>4560</v>
      </c>
      <c r="H22" s="35" t="n">
        <v>16121</v>
      </c>
      <c r="I22" s="35" t="n">
        <v>9043</v>
      </c>
      <c r="J22" s="35" t="n">
        <v>12423</v>
      </c>
      <c r="K22" s="35" t="n">
        <v>20824</v>
      </c>
      <c r="L22" s="35" t="n">
        <v>13616</v>
      </c>
      <c r="M22" s="35" t="n">
        <v>4679</v>
      </c>
      <c r="N22" s="35" t="n">
        <v>5606</v>
      </c>
      <c r="O22" s="35" t="n">
        <v>8977</v>
      </c>
      <c r="P22" s="35" t="n">
        <v>6085</v>
      </c>
      <c r="Q22" s="35" t="n">
        <v>4738</v>
      </c>
      <c r="R22" s="35" t="n">
        <f aca="false">+F22+G22+H22+I22+J22+K22+L22+M22+N22+O22+P22+Q22</f>
        <v>125332</v>
      </c>
    </row>
    <row r="23" customFormat="false" ht="14.25" hidden="false" customHeight="false" outlineLevel="0" collapsed="false">
      <c r="D23" s="1" t="s">
        <v>22</v>
      </c>
      <c r="F23" s="35" t="n">
        <v>6785</v>
      </c>
      <c r="G23" s="35" t="n">
        <v>2563</v>
      </c>
      <c r="H23" s="35" t="n">
        <v>5371</v>
      </c>
      <c r="I23" s="35" t="n">
        <v>1262</v>
      </c>
      <c r="J23" s="35" t="n">
        <v>2784</v>
      </c>
      <c r="K23" s="35" t="n">
        <v>3106</v>
      </c>
      <c r="L23" s="35" t="n">
        <v>2262</v>
      </c>
      <c r="M23" s="35" t="n">
        <v>1253</v>
      </c>
      <c r="N23" s="35" t="n">
        <v>972</v>
      </c>
      <c r="O23" s="35" t="n">
        <v>2508</v>
      </c>
      <c r="P23" s="35" t="n">
        <v>2407</v>
      </c>
      <c r="Q23" s="35" t="n">
        <v>417</v>
      </c>
      <c r="R23" s="35" t="n">
        <f aca="false">+F23+G23+H23+I23+J23+K23+L23+M23+N23+O23+P23+Q23</f>
        <v>31690</v>
      </c>
    </row>
    <row r="24" customFormat="false" ht="14.25" hidden="false" customHeight="false" outlineLevel="0" collapsed="false">
      <c r="D24" s="1" t="s">
        <v>23</v>
      </c>
      <c r="F24" s="35" t="n">
        <v>0</v>
      </c>
      <c r="G24" s="35" t="n">
        <v>7</v>
      </c>
      <c r="H24" s="35" t="n">
        <v>2</v>
      </c>
      <c r="I24" s="35" t="n">
        <v>0</v>
      </c>
      <c r="J24" s="35" t="n">
        <v>23.52</v>
      </c>
      <c r="K24" s="35" t="n">
        <v>191</v>
      </c>
      <c r="L24" s="35" t="n">
        <v>7</v>
      </c>
      <c r="M24" s="35" t="n">
        <v>7</v>
      </c>
      <c r="N24" s="35" t="n">
        <v>4</v>
      </c>
      <c r="O24" s="35" t="n">
        <v>5</v>
      </c>
      <c r="P24" s="35" t="n">
        <v>14</v>
      </c>
      <c r="Q24" s="35" t="n">
        <v>61</v>
      </c>
      <c r="R24" s="35" t="n">
        <f aca="false">+F24+G24+H24+I24+J24+K24+L24+M24+N24+O24+P24+Q24</f>
        <v>321.52</v>
      </c>
    </row>
    <row r="25" customFormat="false" ht="14.25" hidden="false" customHeight="false" outlineLevel="0" collapsed="false">
      <c r="D25" s="1" t="s">
        <v>24</v>
      </c>
      <c r="F25" s="35" t="n">
        <v>1224</v>
      </c>
      <c r="G25" s="35" t="n">
        <v>1153</v>
      </c>
      <c r="H25" s="35" t="n">
        <v>1529</v>
      </c>
      <c r="I25" s="35" t="n">
        <v>1517</v>
      </c>
      <c r="J25" s="35" t="n">
        <v>2182</v>
      </c>
      <c r="K25" s="35" t="n">
        <v>2400</v>
      </c>
      <c r="L25" s="35" t="n">
        <v>2026</v>
      </c>
      <c r="M25" s="35" t="n">
        <v>2031</v>
      </c>
      <c r="N25" s="35" t="n">
        <v>1931</v>
      </c>
      <c r="O25" s="35" t="n">
        <v>1823</v>
      </c>
      <c r="P25" s="35" t="n">
        <v>1493</v>
      </c>
      <c r="Q25" s="35" t="n">
        <v>486</v>
      </c>
      <c r="R25" s="35" t="n">
        <f aca="false">+F25+G25+H25+I25+J25+K25+L25+M25+N25+O25+P25+Q25</f>
        <v>19795</v>
      </c>
      <c r="S25" s="35"/>
    </row>
    <row r="26" customFormat="false" ht="14.25" hidden="false" customHeight="false" outlineLevel="0" collapsed="false">
      <c r="D26" s="1" t="s">
        <v>25</v>
      </c>
      <c r="F26" s="35" t="n">
        <v>3025</v>
      </c>
      <c r="G26" s="35" t="n">
        <v>8181</v>
      </c>
      <c r="H26" s="35" t="n">
        <v>3454</v>
      </c>
      <c r="I26" s="35" t="n">
        <v>8287</v>
      </c>
      <c r="J26" s="35" t="n">
        <v>4645</v>
      </c>
      <c r="K26" s="35" t="n">
        <v>5332</v>
      </c>
      <c r="L26" s="35" t="n">
        <v>7501</v>
      </c>
      <c r="M26" s="35" t="n">
        <v>8923</v>
      </c>
      <c r="N26" s="35" t="n">
        <v>9417</v>
      </c>
      <c r="O26" s="35" t="n">
        <v>20385</v>
      </c>
      <c r="P26" s="35" t="n">
        <v>4076</v>
      </c>
      <c r="Q26" s="35" t="n">
        <v>2099</v>
      </c>
      <c r="R26" s="35" t="n">
        <f aca="false">+F26+G26+H26+I26+J26+K26+L26+M26+N26+O26+P26+Q26</f>
        <v>85325</v>
      </c>
      <c r="S26" s="35"/>
    </row>
    <row r="27" customFormat="false" ht="14.25" hidden="false" customHeight="false" outlineLevel="0" collapsed="false"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customFormat="false" ht="15" hidden="false" customHeight="false" outlineLevel="0" collapsed="false">
      <c r="C28" s="1" t="s">
        <v>26</v>
      </c>
      <c r="F28" s="38" t="n">
        <v>0</v>
      </c>
      <c r="G28" s="38" t="n">
        <v>91</v>
      </c>
      <c r="H28" s="38" t="n">
        <v>9</v>
      </c>
      <c r="I28" s="38" t="n">
        <v>105</v>
      </c>
      <c r="J28" s="38" t="n">
        <v>0</v>
      </c>
      <c r="K28" s="38" t="n">
        <v>44</v>
      </c>
      <c r="L28" s="38" t="n">
        <v>48</v>
      </c>
      <c r="M28" s="38" t="n">
        <v>3</v>
      </c>
      <c r="N28" s="38" t="n">
        <v>9</v>
      </c>
      <c r="O28" s="38" t="n">
        <v>4</v>
      </c>
      <c r="P28" s="38" t="n">
        <v>14</v>
      </c>
      <c r="Q28" s="38" t="n">
        <v>27</v>
      </c>
      <c r="R28" s="38" t="n">
        <f aca="false">+F28+G28+H28+I28+J28+K28+L28+M28+N28+O28+P28+Q28</f>
        <v>354</v>
      </c>
    </row>
    <row r="29" customFormat="false" ht="14.25" hidden="false" customHeight="false" outlineLevel="0" collapsed="false"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customFormat="false" ht="15" hidden="false" customHeight="false" outlineLevel="0" collapsed="false">
      <c r="B30" s="7" t="s">
        <v>27</v>
      </c>
      <c r="C30" s="7"/>
      <c r="D30" s="7"/>
      <c r="E30" s="7"/>
      <c r="F30" s="34" t="n">
        <f aca="false">SUM(F32:F38)</f>
        <v>274792</v>
      </c>
      <c r="G30" s="34" t="n">
        <f aca="false">SUM(G32:G38)</f>
        <v>335531.54</v>
      </c>
      <c r="H30" s="34" t="n">
        <f aca="false">SUM(H32:H38)</f>
        <v>407603</v>
      </c>
      <c r="I30" s="34" t="n">
        <f aca="false">SUM(I32:I38)</f>
        <v>336346</v>
      </c>
      <c r="J30" s="34" t="n">
        <f aca="false">SUM(J32:J38)</f>
        <v>456721</v>
      </c>
      <c r="K30" s="34" t="n">
        <f aca="false">SUM(K32:K38)</f>
        <v>395430</v>
      </c>
      <c r="L30" s="34" t="n">
        <f aca="false">SUM(L32:L38)</f>
        <v>377257</v>
      </c>
      <c r="M30" s="34" t="n">
        <f aca="false">SUM(M32:M38)</f>
        <v>380188</v>
      </c>
      <c r="N30" s="34" t="n">
        <f aca="false">SUM(N32:N38)</f>
        <v>412361</v>
      </c>
      <c r="O30" s="34" t="n">
        <f aca="false">SUM(O32:O38)</f>
        <v>317379</v>
      </c>
      <c r="P30" s="34" t="n">
        <f aca="false">SUM(P32:P38)</f>
        <v>412715</v>
      </c>
      <c r="Q30" s="34" t="n">
        <f aca="false">SUM(Q32:Q38)</f>
        <v>569315</v>
      </c>
      <c r="R30" s="34" t="n">
        <f aca="false">SUM(R32:R38)</f>
        <v>4675638.54</v>
      </c>
    </row>
    <row r="31" customFormat="false" ht="8.25" hidden="false" customHeight="true" outlineLevel="0" collapsed="false"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customFormat="false" ht="14.25" hidden="false" customHeight="false" outlineLevel="0" collapsed="false">
      <c r="D32" s="1" t="s">
        <v>28</v>
      </c>
      <c r="F32" s="35" t="n">
        <v>64119</v>
      </c>
      <c r="G32" s="35" t="n">
        <v>72280</v>
      </c>
      <c r="H32" s="35" t="n">
        <v>70474</v>
      </c>
      <c r="I32" s="35" t="n">
        <v>91942</v>
      </c>
      <c r="J32" s="35" t="n">
        <v>76503</v>
      </c>
      <c r="K32" s="35" t="n">
        <v>73180</v>
      </c>
      <c r="L32" s="35" t="n">
        <v>66621</v>
      </c>
      <c r="M32" s="35" t="n">
        <v>81710</v>
      </c>
      <c r="N32" s="35" t="n">
        <v>66906</v>
      </c>
      <c r="O32" s="35" t="n">
        <v>65099</v>
      </c>
      <c r="P32" s="35" t="n">
        <v>67208</v>
      </c>
      <c r="Q32" s="35" t="n">
        <v>96656</v>
      </c>
      <c r="R32" s="35" t="n">
        <f aca="false">+F32+G32+H32+I32+J32+K32+L32+M32+N32+O32+P32+Q32</f>
        <v>892698</v>
      </c>
    </row>
    <row r="33" customFormat="false" ht="14.25" hidden="false" customHeight="false" outlineLevel="0" collapsed="false">
      <c r="D33" s="1" t="s">
        <v>29</v>
      </c>
      <c r="F33" s="35" t="n">
        <v>47024</v>
      </c>
      <c r="G33" s="35" t="n">
        <v>31166</v>
      </c>
      <c r="H33" s="35" t="n">
        <v>47666</v>
      </c>
      <c r="I33" s="35" t="n">
        <v>23819</v>
      </c>
      <c r="J33" s="35" t="n">
        <v>28933</v>
      </c>
      <c r="K33" s="35" t="n">
        <v>29925</v>
      </c>
      <c r="L33" s="35" t="n">
        <v>59026</v>
      </c>
      <c r="M33" s="35" t="n">
        <v>23932</v>
      </c>
      <c r="N33" s="35" t="n">
        <v>47857</v>
      </c>
      <c r="O33" s="35" t="n">
        <v>31536</v>
      </c>
      <c r="P33" s="35" t="n">
        <v>31221</v>
      </c>
      <c r="Q33" s="35" t="n">
        <v>27327</v>
      </c>
      <c r="R33" s="35" t="n">
        <f aca="false">+F33+G33+H33+I33+J33+K33+L33+M33+N33+O33+P33+Q33</f>
        <v>429432</v>
      </c>
    </row>
    <row r="34" customFormat="false" ht="14.25" hidden="false" customHeight="false" outlineLevel="0" collapsed="false">
      <c r="D34" s="1" t="s">
        <v>30</v>
      </c>
      <c r="F34" s="35" t="n">
        <f aca="false">F13+F14+F18</f>
        <v>0</v>
      </c>
      <c r="G34" s="35" t="n">
        <f aca="false">G13+G14+G18</f>
        <v>6670</v>
      </c>
      <c r="H34" s="35" t="n">
        <f aca="false">H13+H14+H18</f>
        <v>30</v>
      </c>
      <c r="I34" s="35" t="n">
        <f aca="false">I13+I14+I18</f>
        <v>2690</v>
      </c>
      <c r="J34" s="35" t="n">
        <f aca="false">J13+J14+J18</f>
        <v>3100</v>
      </c>
      <c r="K34" s="35" t="n">
        <f aca="false">K13+K14+K18</f>
        <v>3124</v>
      </c>
      <c r="L34" s="35" t="n">
        <f aca="false">L13+L14+L18</f>
        <v>3667</v>
      </c>
      <c r="M34" s="35" t="n">
        <f aca="false">M13+M14+M18</f>
        <v>5174</v>
      </c>
      <c r="N34" s="35" t="n">
        <f aca="false">N13+N14+N18</f>
        <v>5127</v>
      </c>
      <c r="O34" s="35" t="n">
        <f aca="false">O13+O14+O18</f>
        <v>2533</v>
      </c>
      <c r="P34" s="35" t="n">
        <f aca="false">P13+P14+P18</f>
        <v>524</v>
      </c>
      <c r="Q34" s="35" t="n">
        <v>4070</v>
      </c>
      <c r="R34" s="35" t="n">
        <f aca="false">+F34+G34+H34+I34+J34+K34+L34+M34+N34+O34+P34+Q34</f>
        <v>36709</v>
      </c>
    </row>
    <row r="35" customFormat="false" ht="17.25" hidden="false" customHeight="true" outlineLevel="0" collapsed="false">
      <c r="D35" s="1" t="s">
        <v>65</v>
      </c>
      <c r="F35" s="35" t="n">
        <v>11</v>
      </c>
      <c r="G35" s="35" t="n">
        <v>7570</v>
      </c>
      <c r="H35" s="35" t="n">
        <v>3838</v>
      </c>
      <c r="I35" s="35" t="n">
        <v>23836</v>
      </c>
      <c r="J35" s="35" t="n">
        <v>44687</v>
      </c>
      <c r="K35" s="35" t="n">
        <v>8340</v>
      </c>
      <c r="L35" s="35" t="n">
        <v>6079</v>
      </c>
      <c r="M35" s="35" t="n">
        <v>50354</v>
      </c>
      <c r="N35" s="35" t="n">
        <v>9160</v>
      </c>
      <c r="O35" s="35" t="n">
        <v>5206</v>
      </c>
      <c r="P35" s="35" t="n">
        <v>12330</v>
      </c>
      <c r="Q35" s="35" t="n">
        <v>21356</v>
      </c>
      <c r="R35" s="35" t="n">
        <f aca="false">+F35+G35+H35+I35+J35+K35+L35+M35+N35+O35+P35+Q35</f>
        <v>192767</v>
      </c>
    </row>
    <row r="36" customFormat="false" ht="14.25" hidden="false" customHeight="false" outlineLevel="0" collapsed="false">
      <c r="D36" s="1" t="s">
        <v>32</v>
      </c>
      <c r="F36" s="35" t="n">
        <v>0</v>
      </c>
      <c r="G36" s="35" t="n">
        <v>45297</v>
      </c>
      <c r="H36" s="35" t="n">
        <v>39</v>
      </c>
      <c r="I36" s="35" t="n">
        <v>52</v>
      </c>
      <c r="J36" s="35" t="n">
        <v>18</v>
      </c>
      <c r="K36" s="35" t="n">
        <v>552</v>
      </c>
      <c r="L36" s="35" t="n">
        <v>18</v>
      </c>
      <c r="M36" s="35" t="n">
        <v>216</v>
      </c>
      <c r="N36" s="35" t="n">
        <v>523</v>
      </c>
      <c r="O36" s="35" t="n">
        <v>218</v>
      </c>
      <c r="P36" s="35" t="n">
        <v>149</v>
      </c>
      <c r="Q36" s="35" t="n">
        <v>438</v>
      </c>
      <c r="R36" s="35" t="n">
        <f aca="false">+F36+G36+H36+I36+J36+K36+L36+M36+N36+O36+P36+Q36</f>
        <v>47520</v>
      </c>
    </row>
    <row r="37" customFormat="false" ht="14.25" hidden="false" customHeight="false" outlineLevel="0" collapsed="false">
      <c r="D37" s="1" t="s">
        <v>33</v>
      </c>
      <c r="F37" s="35" t="n">
        <v>0</v>
      </c>
      <c r="G37" s="35" t="n">
        <v>18.54</v>
      </c>
      <c r="H37" s="35" t="n">
        <v>5669</v>
      </c>
      <c r="I37" s="35" t="n">
        <v>-3999</v>
      </c>
      <c r="J37" s="35" t="n">
        <v>4807</v>
      </c>
      <c r="K37" s="35" t="n">
        <v>295</v>
      </c>
      <c r="L37" s="35" t="n">
        <v>-197</v>
      </c>
      <c r="M37" s="35" t="n">
        <v>4754</v>
      </c>
      <c r="N37" s="35" t="n">
        <v>677</v>
      </c>
      <c r="O37" s="35" t="n">
        <v>669</v>
      </c>
      <c r="P37" s="35" t="n">
        <v>4557</v>
      </c>
      <c r="Q37" s="35" t="n">
        <v>626</v>
      </c>
      <c r="R37" s="35" t="n">
        <f aca="false">+F37+G37+H37+I37+J37+K37+L37+M37+N37+O37+P37+Q37</f>
        <v>17876.54</v>
      </c>
    </row>
    <row r="38" customFormat="false" ht="16.5" hidden="false" customHeight="false" outlineLevel="0" collapsed="false">
      <c r="D38" s="1" t="s">
        <v>66</v>
      </c>
      <c r="F38" s="35" t="n">
        <f aca="false">141166+22472-F34</f>
        <v>163638</v>
      </c>
      <c r="G38" s="35" t="n">
        <f aca="false">159911+19289-G34</f>
        <v>172530</v>
      </c>
      <c r="H38" s="35" t="n">
        <f aca="false">272062+7855-H34</f>
        <v>279887</v>
      </c>
      <c r="I38" s="35" t="n">
        <f aca="false">180468+20228-I34</f>
        <v>198006</v>
      </c>
      <c r="J38" s="35" t="n">
        <f aca="false">280680+21093-J34</f>
        <v>298673</v>
      </c>
      <c r="K38" s="35" t="n">
        <f aca="false">256538+26600-K34</f>
        <v>280014</v>
      </c>
      <c r="L38" s="35" t="n">
        <f aca="false">220369+25341-L34</f>
        <v>242043</v>
      </c>
      <c r="M38" s="35" t="n">
        <f aca="false">193953+25269-M34</f>
        <v>214048</v>
      </c>
      <c r="N38" s="35" t="n">
        <f aca="false">264909+22329-N34</f>
        <v>282111</v>
      </c>
      <c r="O38" s="35" t="n">
        <f aca="false">190992+23659-O34</f>
        <v>212118</v>
      </c>
      <c r="P38" s="35" t="n">
        <f aca="false">277228+20022-P34</f>
        <v>296726</v>
      </c>
      <c r="Q38" s="35" t="n">
        <f aca="false">395772+27140-Q34</f>
        <v>418842</v>
      </c>
      <c r="R38" s="35" t="n">
        <f aca="false">+F38+G38+H38+I38+J38+K38+L38+M38+N38+O38+P38+Q38</f>
        <v>3058636</v>
      </c>
    </row>
    <row r="39" customFormat="false" ht="14.25" hidden="false" customHeight="false" outlineLevel="0" collapsed="false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customFormat="false" ht="15" hidden="false" customHeight="false" outlineLevel="0" collapsed="false">
      <c r="B40" s="7" t="s">
        <v>35</v>
      </c>
      <c r="C40" s="7"/>
      <c r="D40" s="7"/>
      <c r="E40" s="7"/>
      <c r="F40" s="38" t="n">
        <f aca="false">+F9-F30</f>
        <v>-14060</v>
      </c>
      <c r="G40" s="38" t="n">
        <f aca="false">+G9-G30</f>
        <v>-115969.54</v>
      </c>
      <c r="H40" s="38" t="n">
        <f aca="false">+H9-H30</f>
        <v>-191442</v>
      </c>
      <c r="I40" s="38" t="n">
        <f aca="false">+I9-I30</f>
        <v>-44426</v>
      </c>
      <c r="J40" s="38" t="n">
        <f aca="false">+J9-J30</f>
        <v>-200306.48</v>
      </c>
      <c r="K40" s="38" t="n">
        <f aca="false">+K9-K30</f>
        <v>-149862</v>
      </c>
      <c r="L40" s="38" t="n">
        <f aca="false">+L9-L30</f>
        <v>-121186</v>
      </c>
      <c r="M40" s="38" t="n">
        <f aca="false">+M9-M30</f>
        <v>-120936</v>
      </c>
      <c r="N40" s="38" t="n">
        <f aca="false">+N9-N30</f>
        <v>-180916</v>
      </c>
      <c r="O40" s="38" t="n">
        <f aca="false">+O9-O30</f>
        <v>-64290</v>
      </c>
      <c r="P40" s="38" t="n">
        <f aca="false">+P9-P30</f>
        <v>-128701</v>
      </c>
      <c r="Q40" s="38" t="n">
        <f aca="false">+Q9-Q30</f>
        <v>-338005</v>
      </c>
      <c r="R40" s="38" t="n">
        <f aca="false">+R9-R30</f>
        <v>-1670100.02</v>
      </c>
    </row>
    <row r="41" customFormat="false" ht="14.25" hidden="false" customHeight="false" outlineLevel="0" collapsed="false"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r="42" customFormat="false" ht="15" hidden="false" customHeight="false" outlineLevel="0" collapsed="false">
      <c r="B42" s="7" t="s">
        <v>36</v>
      </c>
      <c r="C42" s="7"/>
      <c r="D42" s="7"/>
      <c r="E42" s="7"/>
      <c r="F42" s="34" t="n">
        <f aca="false">+F43+F47</f>
        <v>587435</v>
      </c>
      <c r="G42" s="34" t="n">
        <f aca="false">+G43+G47</f>
        <v>51781</v>
      </c>
      <c r="H42" s="34" t="n">
        <f aca="false">+H43+H47</f>
        <v>547735</v>
      </c>
      <c r="I42" s="34" t="n">
        <f aca="false">+I43+I47</f>
        <v>269647</v>
      </c>
      <c r="J42" s="34" t="n">
        <f aca="false">+J43+J47</f>
        <v>103322</v>
      </c>
      <c r="K42" s="34" t="n">
        <f aca="false">+K43+K47</f>
        <v>159903</v>
      </c>
      <c r="L42" s="34" t="n">
        <f aca="false">+L43+L47</f>
        <v>335638</v>
      </c>
      <c r="M42" s="34" t="n">
        <f aca="false">+M43+M47</f>
        <v>66586</v>
      </c>
      <c r="N42" s="34" t="n">
        <f aca="false">+N43+N47</f>
        <v>208513</v>
      </c>
      <c r="O42" s="34" t="n">
        <f aca="false">+O43+O47</f>
        <v>140752</v>
      </c>
      <c r="P42" s="34" t="n">
        <f aca="false">+P43+P47</f>
        <v>19647</v>
      </c>
      <c r="Q42" s="34" t="n">
        <f aca="false">+Q43+Q47</f>
        <v>-238778</v>
      </c>
      <c r="R42" s="34" t="n">
        <f aca="false">+R43+R47</f>
        <v>2252181</v>
      </c>
    </row>
    <row r="43" customFormat="false" ht="14.25" hidden="false" customHeight="false" outlineLevel="0" collapsed="false">
      <c r="C43" s="1" t="s">
        <v>37</v>
      </c>
      <c r="F43" s="39" t="n">
        <f aca="false">+F44-F45</f>
        <v>-93326</v>
      </c>
      <c r="G43" s="39" t="n">
        <f aca="false">+G44-G45</f>
        <v>14585</v>
      </c>
      <c r="H43" s="39" t="n">
        <f aca="false">+H44-H45</f>
        <v>15391</v>
      </c>
      <c r="I43" s="39" t="n">
        <f aca="false">+I44-I45</f>
        <v>163497</v>
      </c>
      <c r="J43" s="39" t="n">
        <f aca="false">+J44-J45</f>
        <v>-285</v>
      </c>
      <c r="K43" s="39" t="n">
        <f aca="false">+K44-K45</f>
        <v>25062</v>
      </c>
      <c r="L43" s="39" t="n">
        <f aca="false">+L44-L45</f>
        <v>155278</v>
      </c>
      <c r="M43" s="39" t="n">
        <f aca="false">+M44-M45</f>
        <v>-34210</v>
      </c>
      <c r="N43" s="39" t="n">
        <f aca="false">+N44-N45</f>
        <v>41563</v>
      </c>
      <c r="O43" s="39" t="n">
        <f aca="false">+O44-O45</f>
        <v>7225</v>
      </c>
      <c r="P43" s="39" t="n">
        <f aca="false">+P44-P45</f>
        <v>3145</v>
      </c>
      <c r="Q43" s="39" t="n">
        <f aca="false">+Q44-Q45</f>
        <v>33556</v>
      </c>
      <c r="R43" s="39" t="n">
        <f aca="false">+R44-R45</f>
        <v>331481</v>
      </c>
    </row>
    <row r="44" customFormat="false" ht="14.25" hidden="false" customHeight="false" outlineLevel="0" collapsed="false">
      <c r="D44" s="1" t="s">
        <v>38</v>
      </c>
      <c r="F44" s="35" t="n">
        <v>29556</v>
      </c>
      <c r="G44" s="35" t="n">
        <v>16716</v>
      </c>
      <c r="H44" s="35" t="n">
        <v>33177</v>
      </c>
      <c r="I44" s="35" t="n">
        <v>165801</v>
      </c>
      <c r="J44" s="35" t="n">
        <v>7789</v>
      </c>
      <c r="K44" s="35" t="n">
        <v>31908</v>
      </c>
      <c r="L44" s="35" t="n">
        <v>156789</v>
      </c>
      <c r="M44" s="35" t="n">
        <v>16773</v>
      </c>
      <c r="N44" s="35" t="n">
        <v>48156</v>
      </c>
      <c r="O44" s="35" t="n">
        <v>12049</v>
      </c>
      <c r="P44" s="35" t="n">
        <v>10095</v>
      </c>
      <c r="Q44" s="35" t="n">
        <v>39859</v>
      </c>
      <c r="R44" s="35" t="n">
        <f aca="false">+F44+G44+H44+I44+J44+K44+L44+M44+N44+O44+P44+Q44</f>
        <v>568668</v>
      </c>
    </row>
    <row r="45" customFormat="false" ht="14.25" hidden="false" customHeight="false" outlineLevel="0" collapsed="false">
      <c r="D45" s="1" t="s">
        <v>39</v>
      </c>
      <c r="F45" s="35" t="n">
        <v>122882</v>
      </c>
      <c r="G45" s="35" t="n">
        <v>2131</v>
      </c>
      <c r="H45" s="35" t="n">
        <v>17786</v>
      </c>
      <c r="I45" s="35" t="n">
        <v>2304</v>
      </c>
      <c r="J45" s="35" t="n">
        <v>8074</v>
      </c>
      <c r="K45" s="35" t="n">
        <v>6846</v>
      </c>
      <c r="L45" s="35" t="n">
        <v>1511</v>
      </c>
      <c r="M45" s="35" t="n">
        <v>50983</v>
      </c>
      <c r="N45" s="35" t="n">
        <v>6593</v>
      </c>
      <c r="O45" s="35" t="n">
        <v>4824</v>
      </c>
      <c r="P45" s="35" t="n">
        <v>6950</v>
      </c>
      <c r="Q45" s="35" t="n">
        <v>6303</v>
      </c>
      <c r="R45" s="35" t="n">
        <f aca="false">+F45+G45+H45+I45+J45+K45+L45+M45+N45+O45+P45+Q45</f>
        <v>237187</v>
      </c>
    </row>
    <row r="46" customFormat="false" ht="14.25" hidden="false" customHeight="false" outlineLevel="0" collapsed="false"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r="47" customFormat="false" ht="15" hidden="false" customHeight="false" outlineLevel="0" collapsed="false">
      <c r="C47" s="1" t="s">
        <v>40</v>
      </c>
      <c r="F47" s="34" t="n">
        <f aca="false">+F48-F49</f>
        <v>680761</v>
      </c>
      <c r="G47" s="34" t="n">
        <f aca="false">+G48-G49</f>
        <v>37196</v>
      </c>
      <c r="H47" s="34" t="n">
        <f aca="false">+H48-H49</f>
        <v>532344</v>
      </c>
      <c r="I47" s="34" t="n">
        <f aca="false">+I48-I49</f>
        <v>106150</v>
      </c>
      <c r="J47" s="34" t="n">
        <f aca="false">+J48-J49</f>
        <v>103607</v>
      </c>
      <c r="K47" s="34" t="n">
        <f aca="false">+K48-K49</f>
        <v>134841</v>
      </c>
      <c r="L47" s="34" t="n">
        <f aca="false">+L48-L49</f>
        <v>180360</v>
      </c>
      <c r="M47" s="34" t="n">
        <f aca="false">+M48-M49</f>
        <v>100796</v>
      </c>
      <c r="N47" s="34" t="n">
        <f aca="false">+N48-N49</f>
        <v>166950</v>
      </c>
      <c r="O47" s="34" t="n">
        <f aca="false">+O48-O49</f>
        <v>133527</v>
      </c>
      <c r="P47" s="34" t="n">
        <f aca="false">+P48-P49</f>
        <v>16502</v>
      </c>
      <c r="Q47" s="34" t="n">
        <f aca="false">+Q48-Q49</f>
        <v>-272334</v>
      </c>
      <c r="R47" s="34" t="n">
        <f aca="false">+R48-R49</f>
        <v>1920700</v>
      </c>
    </row>
    <row r="48" customFormat="false" ht="14.25" hidden="false" customHeight="false" outlineLevel="0" collapsed="false">
      <c r="D48" s="1" t="s">
        <v>41</v>
      </c>
      <c r="F48" s="35" t="n">
        <v>680761</v>
      </c>
      <c r="G48" s="35" t="n">
        <v>37196</v>
      </c>
      <c r="H48" s="35" t="n">
        <v>584122</v>
      </c>
      <c r="I48" s="35" t="n">
        <v>106150</v>
      </c>
      <c r="J48" s="35" t="n">
        <v>104400</v>
      </c>
      <c r="K48" s="35" t="n">
        <v>135290</v>
      </c>
      <c r="L48" s="35" t="n">
        <v>180360</v>
      </c>
      <c r="M48" s="35" t="n">
        <v>100967</v>
      </c>
      <c r="N48" s="35" t="n">
        <v>166950</v>
      </c>
      <c r="O48" s="35" t="n">
        <v>133733</v>
      </c>
      <c r="P48" s="35" t="n">
        <v>16600</v>
      </c>
      <c r="Q48" s="35" t="n">
        <v>-235975</v>
      </c>
      <c r="R48" s="35" t="n">
        <f aca="false">+F48+G48+H48+I48+J48+K48+L48+M48+N48+O48+P48+Q48</f>
        <v>2010554</v>
      </c>
    </row>
    <row r="49" customFormat="false" ht="14.25" hidden="false" customHeight="false" outlineLevel="0" collapsed="false">
      <c r="D49" s="1" t="s">
        <v>42</v>
      </c>
      <c r="F49" s="36" t="n">
        <f aca="false">F50-F51</f>
        <v>0</v>
      </c>
      <c r="G49" s="36" t="n">
        <f aca="false">G50-G51</f>
        <v>0</v>
      </c>
      <c r="H49" s="36" t="n">
        <f aca="false">H50-H51</f>
        <v>51778</v>
      </c>
      <c r="I49" s="36" t="n">
        <f aca="false">I50-I51</f>
        <v>0</v>
      </c>
      <c r="J49" s="36" t="n">
        <f aca="false">J50-J51</f>
        <v>793</v>
      </c>
      <c r="K49" s="36" t="n">
        <f aca="false">K50-K51</f>
        <v>449</v>
      </c>
      <c r="L49" s="36" t="n">
        <f aca="false">L50-L51</f>
        <v>0</v>
      </c>
      <c r="M49" s="36" t="n">
        <f aca="false">M50-M51</f>
        <v>171</v>
      </c>
      <c r="N49" s="36" t="n">
        <f aca="false">N50-N51</f>
        <v>0</v>
      </c>
      <c r="O49" s="36" t="n">
        <f aca="false">O50-O51</f>
        <v>206</v>
      </c>
      <c r="P49" s="36" t="n">
        <f aca="false">P50-P51</f>
        <v>98</v>
      </c>
      <c r="Q49" s="36" t="n">
        <f aca="false">Q50-Q51</f>
        <v>36359</v>
      </c>
      <c r="R49" s="35" t="n">
        <f aca="false">+F49+G49+H49+I49+J49+K49+L49+M49+N49+O49+P49+Q49</f>
        <v>89854</v>
      </c>
    </row>
    <row r="50" customFormat="false" ht="14.25" hidden="false" customHeight="false" outlineLevel="0" collapsed="false">
      <c r="E50" s="1" t="s">
        <v>67</v>
      </c>
      <c r="F50" s="35" t="n">
        <v>49893</v>
      </c>
      <c r="G50" s="35" t="n">
        <v>0</v>
      </c>
      <c r="H50" s="35" t="n">
        <v>202871</v>
      </c>
      <c r="I50" s="35" t="n">
        <v>38165</v>
      </c>
      <c r="J50" s="35" t="n">
        <v>793</v>
      </c>
      <c r="K50" s="35" t="n">
        <v>113424</v>
      </c>
      <c r="L50" s="35" t="n">
        <v>0</v>
      </c>
      <c r="M50" s="35" t="n">
        <v>171</v>
      </c>
      <c r="N50" s="35" t="n">
        <v>0</v>
      </c>
      <c r="O50" s="35" t="n">
        <v>52706</v>
      </c>
      <c r="P50" s="35" t="n">
        <v>43068</v>
      </c>
      <c r="Q50" s="35" t="n">
        <v>36359</v>
      </c>
      <c r="R50" s="35" t="n">
        <f aca="false">+F50+G50+H50+I50+J50+K50+L50+M50+N50+O50+P50+Q50</f>
        <v>537450</v>
      </c>
    </row>
    <row r="51" customFormat="false" ht="16.5" hidden="false" customHeight="false" outlineLevel="0" collapsed="false">
      <c r="E51" s="16" t="s">
        <v>68</v>
      </c>
      <c r="F51" s="35" t="n">
        <v>49893</v>
      </c>
      <c r="G51" s="35" t="n">
        <v>0</v>
      </c>
      <c r="H51" s="35" t="n">
        <v>151093</v>
      </c>
      <c r="I51" s="35" t="n">
        <v>38165</v>
      </c>
      <c r="J51" s="35" t="n">
        <v>0</v>
      </c>
      <c r="K51" s="35" t="n">
        <v>112975</v>
      </c>
      <c r="L51" s="35" t="n">
        <v>0</v>
      </c>
      <c r="M51" s="35" t="n">
        <v>0</v>
      </c>
      <c r="N51" s="35" t="n">
        <v>0</v>
      </c>
      <c r="O51" s="35" t="n">
        <v>52500</v>
      </c>
      <c r="P51" s="35" t="n">
        <v>42970</v>
      </c>
      <c r="Q51" s="35" t="n">
        <v>0</v>
      </c>
      <c r="R51" s="35" t="n">
        <f aca="false">+F51+G51+H51+I51+J51+K51+L51+M51+N51+O51+P51+Q51</f>
        <v>447596</v>
      </c>
    </row>
    <row r="52" customFormat="false" ht="14.25" hidden="false" customHeight="true" outlineLevel="0" collapsed="false"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r="53" s="7" customFormat="true" ht="16.5" hidden="false" customHeight="true" outlineLevel="0" collapsed="false">
      <c r="B53" s="7" t="s">
        <v>45</v>
      </c>
      <c r="F53" s="38" t="n">
        <v>510092.8</v>
      </c>
      <c r="G53" s="38" t="n">
        <v>-65167.8</v>
      </c>
      <c r="H53" s="38" t="n">
        <v>157553</v>
      </c>
      <c r="I53" s="38" t="n">
        <v>195775</v>
      </c>
      <c r="J53" s="38" t="n">
        <v>-97243</v>
      </c>
      <c r="K53" s="38" t="n">
        <v>-124467</v>
      </c>
      <c r="L53" s="38" t="n">
        <v>208254</v>
      </c>
      <c r="M53" s="38" t="n">
        <v>-52123</v>
      </c>
      <c r="N53" s="38" t="n">
        <v>28240</v>
      </c>
      <c r="O53" s="38" t="n">
        <v>12069</v>
      </c>
      <c r="P53" s="38" t="n">
        <v>-129661</v>
      </c>
      <c r="Q53" s="38" t="n">
        <v>-577242</v>
      </c>
      <c r="R53" s="38" t="n">
        <f aca="false">+F53+G53+H53+I53+J53+K53+L53+M53+N53+O53+P53+Q53</f>
        <v>66080</v>
      </c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35"/>
    </row>
    <row r="55" s="53" customFormat="true" ht="13.5" hidden="false" customHeight="false" outlineLevel="0" collapsed="false">
      <c r="B55" s="54" t="s">
        <v>46</v>
      </c>
    </row>
    <row r="56" s="53" customFormat="true" ht="50.25" hidden="false" customHeight="true" outlineLevel="0" collapsed="false">
      <c r="B56" s="54"/>
      <c r="C56" s="55" t="s">
        <v>69</v>
      </c>
      <c r="D56" s="55"/>
      <c r="E56" s="55"/>
      <c r="F56" s="55"/>
      <c r="G56" s="55"/>
      <c r="H56" s="55"/>
      <c r="I56" s="55"/>
      <c r="J56" s="55"/>
    </row>
    <row r="57" s="53" customFormat="true" ht="12.75" hidden="false" customHeight="true" outlineLevel="0" collapsed="false">
      <c r="A57" s="56" t="s">
        <v>48</v>
      </c>
      <c r="B57" s="57" t="s">
        <v>70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8"/>
      <c r="P57" s="58"/>
      <c r="Q57" s="58"/>
    </row>
    <row r="58" s="53" customFormat="true" ht="27.75" hidden="false" customHeight="true" outlineLevel="0" collapsed="false">
      <c r="A58" s="59" t="s">
        <v>61</v>
      </c>
      <c r="B58" s="57" t="s">
        <v>71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60"/>
      <c r="O58" s="60"/>
      <c r="P58" s="60"/>
      <c r="Q58" s="60"/>
      <c r="R58" s="60"/>
    </row>
    <row r="59" s="61" customFormat="true" ht="12.75" hidden="false" customHeight="false" outlineLevel="0" collapsed="false">
      <c r="A59" s="56" t="s">
        <v>72</v>
      </c>
      <c r="B59" s="61" t="s">
        <v>50</v>
      </c>
      <c r="E59" s="62"/>
      <c r="I59" s="63"/>
      <c r="J59" s="63"/>
      <c r="K59" s="63"/>
      <c r="L59" s="63"/>
      <c r="M59" s="63"/>
      <c r="N59" s="63"/>
      <c r="O59" s="63"/>
      <c r="P59" s="63"/>
      <c r="Q59" s="63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="61" customFormat="true" ht="9" hidden="false" customHeight="true" outlineLevel="0" collapsed="false">
      <c r="A60" s="56"/>
      <c r="B60" s="53"/>
      <c r="C60" s="64"/>
      <c r="D60" s="64"/>
      <c r="E60" s="64"/>
      <c r="F60" s="53"/>
      <c r="G60" s="53"/>
      <c r="H60" s="53"/>
      <c r="I60" s="63"/>
      <c r="J60" s="63"/>
      <c r="K60" s="63"/>
      <c r="L60" s="63"/>
      <c r="M60" s="63"/>
      <c r="N60" s="63"/>
      <c r="O60" s="63"/>
      <c r="P60" s="63"/>
      <c r="Q60" s="63"/>
      <c r="R60" s="65"/>
      <c r="S60" s="65"/>
      <c r="T60" s="65"/>
    </row>
    <row r="61" s="53" customFormat="true" ht="9" hidden="false" customHeight="true" outlineLevel="0" collapsed="false">
      <c r="B61" s="66"/>
      <c r="C61" s="66"/>
      <c r="D61" s="66"/>
      <c r="E61" s="66"/>
    </row>
    <row r="62" s="53" customFormat="true" ht="12.75" hidden="false" customHeight="false" outlineLevel="0" collapsed="false">
      <c r="A62" s="53" t="s">
        <v>51</v>
      </c>
    </row>
    <row r="63" customFormat="false" ht="16.5" hidden="false" customHeight="false" outlineLevel="0" collapsed="false">
      <c r="A63" s="30"/>
      <c r="B63" s="67"/>
      <c r="C63" s="32"/>
      <c r="D63" s="32"/>
      <c r="E63" s="32"/>
    </row>
    <row r="64" customFormat="false" ht="14.25" hidden="false" customHeight="false" outlineLevel="0" collapsed="false">
      <c r="A64" s="6"/>
    </row>
    <row r="65" customFormat="false" ht="14.25" hidden="false" customHeight="false" outlineLevel="0" collapsed="false">
      <c r="A65" s="33"/>
    </row>
    <row r="68" customFormat="false" ht="14.25" hidden="false" customHeight="false" outlineLevel="0" collapsed="false">
      <c r="A68" s="68"/>
    </row>
  </sheetData>
  <mergeCells count="4">
    <mergeCell ref="A7:E7"/>
    <mergeCell ref="C56:J56"/>
    <mergeCell ref="B57:N57"/>
    <mergeCell ref="B58:M58"/>
  </mergeCells>
  <printOptions headings="false" gridLines="false" gridLinesSet="true" horizontalCentered="true" verticalCentered="false"/>
  <pageMargins left="0" right="0" top="0.865972222222222" bottom="0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&amp;"Arial,Italic"&amp;9 Statistical Data Analysis Division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R30" activeCellId="0" sqref="R30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33.42"/>
    <col collapsed="false" customWidth="false" hidden="false" outlineLevel="0" max="6" min="6" style="100" width="9.14"/>
    <col collapsed="false" customWidth="true" hidden="false" outlineLevel="0" max="8" min="7" style="100" width="8.71"/>
    <col collapsed="false" customWidth="true" hidden="false" outlineLevel="0" max="9" min="9" style="100" width="8"/>
    <col collapsed="false" customWidth="true" hidden="false" outlineLevel="0" max="12" min="10" style="100" width="8.71"/>
    <col collapsed="false" customWidth="true" hidden="false" outlineLevel="0" max="13" min="13" style="100" width="8"/>
    <col collapsed="false" customWidth="true" hidden="false" outlineLevel="0" max="14" min="14" style="100" width="8.71"/>
    <col collapsed="false" customWidth="true" hidden="false" outlineLevel="0" max="15" min="15" style="100" width="8"/>
    <col collapsed="false" customWidth="true" hidden="false" outlineLevel="0" max="16" min="16" style="100" width="8.71"/>
    <col collapsed="false" customWidth="false" hidden="false" outlineLevel="0" max="17" min="17" style="100" width="9.14"/>
    <col collapsed="false" customWidth="true" hidden="false" outlineLevel="0" max="18" min="18" style="100" width="10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129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3</v>
      </c>
      <c r="B4" s="102"/>
    </row>
    <row r="5" customFormat="false" ht="14.25" hidden="false" customHeight="false" outlineLevel="0" collapsed="false">
      <c r="B5" s="102"/>
    </row>
    <row r="6" customFormat="false" ht="6" hidden="false" customHeight="true" outlineLevel="0" collapsed="false"/>
    <row r="7" customFormat="false" ht="21.75" hidden="false" customHeight="true" outlineLevel="0" collapsed="false">
      <c r="A7" s="104"/>
      <c r="B7" s="105" t="s">
        <v>4</v>
      </c>
      <c r="C7" s="105"/>
      <c r="D7" s="105"/>
      <c r="E7" s="105"/>
      <c r="F7" s="105" t="s">
        <v>107</v>
      </c>
      <c r="G7" s="105" t="s">
        <v>6</v>
      </c>
      <c r="H7" s="105" t="s">
        <v>7</v>
      </c>
      <c r="I7" s="105" t="s">
        <v>8</v>
      </c>
      <c r="J7" s="105" t="s">
        <v>9</v>
      </c>
      <c r="K7" s="105" t="s">
        <v>10</v>
      </c>
      <c r="L7" s="105" t="s">
        <v>53</v>
      </c>
      <c r="M7" s="105" t="s">
        <v>54</v>
      </c>
      <c r="N7" s="105" t="s">
        <v>64</v>
      </c>
      <c r="O7" s="105" t="s">
        <v>56</v>
      </c>
      <c r="P7" s="105" t="s">
        <v>57</v>
      </c>
      <c r="Q7" s="105" t="s">
        <v>58</v>
      </c>
      <c r="R7" s="105" t="s">
        <v>11</v>
      </c>
      <c r="S7" s="140"/>
    </row>
    <row r="8" customFormat="false" ht="15" hidden="false" customHeight="true" outlineLevel="0" collapsed="false">
      <c r="O8" s="110"/>
    </row>
    <row r="9" customFormat="false" ht="15" hidden="false" customHeight="true" outlineLevel="0" collapsed="false">
      <c r="B9" s="107" t="s">
        <v>12</v>
      </c>
      <c r="C9" s="107"/>
      <c r="D9" s="107"/>
      <c r="E9" s="107"/>
      <c r="F9" s="108" t="n">
        <f aca="false">F10+F20+F28</f>
        <v>72633</v>
      </c>
      <c r="G9" s="108" t="n">
        <f aca="false">G10+G20+G28</f>
        <v>64290</v>
      </c>
      <c r="H9" s="108" t="n">
        <f aca="false">H10+H20+H28</f>
        <v>68074</v>
      </c>
      <c r="I9" s="108" t="n">
        <f aca="false">I10+I20+I28</f>
        <v>95026</v>
      </c>
      <c r="J9" s="108" t="n">
        <f aca="false">J10+J20+J28</f>
        <v>89732</v>
      </c>
      <c r="K9" s="108" t="n">
        <f aca="false">K10+K20+K28</f>
        <v>81298</v>
      </c>
      <c r="L9" s="108" t="n">
        <f aca="false">L10+L20+L28</f>
        <v>73667</v>
      </c>
      <c r="M9" s="108" t="n">
        <f aca="false">M10+M20+M28</f>
        <v>97521</v>
      </c>
      <c r="N9" s="108" t="n">
        <f aca="false">N10+N20+N28</f>
        <v>73648</v>
      </c>
      <c r="O9" s="108" t="n">
        <f aca="false">O10+O20+O28</f>
        <v>79856</v>
      </c>
      <c r="P9" s="108" t="n">
        <f aca="false">P10+P20+P28</f>
        <v>86690</v>
      </c>
      <c r="Q9" s="108" t="n">
        <f aca="false">Q10+Q20+Q28</f>
        <v>97203</v>
      </c>
      <c r="R9" s="108" t="n">
        <f aca="false">R10+R20+R28</f>
        <v>979638</v>
      </c>
    </row>
    <row r="10" customFormat="false" ht="15" hidden="false" customHeight="true" outlineLevel="0" collapsed="false">
      <c r="C10" s="100" t="s">
        <v>13</v>
      </c>
      <c r="F10" s="109" t="n">
        <f aca="false">F11+F15+F18</f>
        <v>63148</v>
      </c>
      <c r="G10" s="109" t="n">
        <f aca="false">G11+G15+G18</f>
        <v>55002</v>
      </c>
      <c r="H10" s="109" t="n">
        <f aca="false">H11+H15+H18</f>
        <v>61279</v>
      </c>
      <c r="I10" s="109" t="n">
        <f aca="false">I11+I15+I18</f>
        <v>88372</v>
      </c>
      <c r="J10" s="109" t="n">
        <f aca="false">J11+J15+J18</f>
        <v>80082</v>
      </c>
      <c r="K10" s="109" t="n">
        <f aca="false">K11+K15+K18</f>
        <v>69784</v>
      </c>
      <c r="L10" s="109" t="n">
        <f aca="false">L11+L15+L18</f>
        <v>66136</v>
      </c>
      <c r="M10" s="109" t="n">
        <f aca="false">M11+M15+M18</f>
        <v>90104</v>
      </c>
      <c r="N10" s="109" t="n">
        <f aca="false">N11+N15+N18</f>
        <v>59966</v>
      </c>
      <c r="O10" s="109" t="n">
        <f aca="false">O11+O15+O18</f>
        <v>71985</v>
      </c>
      <c r="P10" s="109" t="n">
        <f aca="false">P11+P15+P18</f>
        <v>77899</v>
      </c>
      <c r="Q10" s="109" t="n">
        <f aca="false">Q11+Q15+Q18</f>
        <v>76100</v>
      </c>
      <c r="R10" s="109" t="n">
        <f aca="false">R11+R15+R18</f>
        <v>859857</v>
      </c>
    </row>
    <row r="11" customFormat="false" ht="15" hidden="false" customHeight="true" outlineLevel="0" collapsed="false">
      <c r="D11" s="100" t="s">
        <v>14</v>
      </c>
      <c r="F11" s="110" t="n">
        <v>49498</v>
      </c>
      <c r="G11" s="110" t="n">
        <v>41719</v>
      </c>
      <c r="H11" s="110" t="n">
        <v>43740</v>
      </c>
      <c r="I11" s="110" t="n">
        <v>71368</v>
      </c>
      <c r="J11" s="110" t="n">
        <v>61698</v>
      </c>
      <c r="K11" s="110" t="n">
        <v>50368</v>
      </c>
      <c r="L11" s="110" t="n">
        <v>48878</v>
      </c>
      <c r="M11" s="110" t="n">
        <v>70720</v>
      </c>
      <c r="N11" s="110" t="n">
        <v>42766</v>
      </c>
      <c r="O11" s="110" t="n">
        <v>52063</v>
      </c>
      <c r="P11" s="110" t="n">
        <v>61257</v>
      </c>
      <c r="Q11" s="110" t="n">
        <v>58659</v>
      </c>
      <c r="R11" s="110" t="n">
        <f aca="false">SUM(F11:Q11)</f>
        <v>652734</v>
      </c>
    </row>
    <row r="12" customFormat="false" ht="15" hidden="false" customHeight="true" outlineLevel="0" collapsed="false">
      <c r="E12" s="31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</row>
    <row r="13" customFormat="false" ht="15" hidden="false" customHeight="true" outlineLevel="0" collapsed="false">
      <c r="E13" s="100" t="s">
        <v>16</v>
      </c>
      <c r="F13" s="110" t="n">
        <v>0</v>
      </c>
      <c r="G13" s="110" t="n">
        <v>0</v>
      </c>
      <c r="H13" s="110" t="n">
        <v>980</v>
      </c>
      <c r="I13" s="110" t="n">
        <v>711</v>
      </c>
      <c r="J13" s="110" t="n">
        <v>281</v>
      </c>
      <c r="K13" s="110" t="n">
        <v>209</v>
      </c>
      <c r="L13" s="110" t="n">
        <v>420</v>
      </c>
      <c r="M13" s="110" t="n">
        <v>329</v>
      </c>
      <c r="N13" s="110" t="n">
        <v>497</v>
      </c>
      <c r="O13" s="110" t="n">
        <v>665</v>
      </c>
      <c r="P13" s="110" t="n">
        <v>421</v>
      </c>
      <c r="Q13" s="110" t="n">
        <v>574</v>
      </c>
      <c r="R13" s="110" t="n">
        <f aca="false">SUM(F13:Q13)</f>
        <v>5087</v>
      </c>
    </row>
    <row r="14" customFormat="false" ht="15" hidden="false" customHeight="true" outlineLevel="0" collapsed="false">
      <c r="E14" s="100" t="s">
        <v>17</v>
      </c>
      <c r="F14" s="110" t="n">
        <v>0</v>
      </c>
      <c r="G14" s="110" t="n">
        <v>0</v>
      </c>
      <c r="H14" s="110" t="n">
        <v>0</v>
      </c>
      <c r="I14" s="110" t="n">
        <v>0</v>
      </c>
      <c r="J14" s="110" t="n">
        <v>0</v>
      </c>
      <c r="K14" s="110" t="n">
        <v>4787</v>
      </c>
      <c r="L14" s="110" t="n">
        <v>0</v>
      </c>
      <c r="M14" s="110" t="n">
        <v>1034</v>
      </c>
      <c r="N14" s="110" t="n">
        <v>67</v>
      </c>
      <c r="O14" s="110" t="n">
        <v>35</v>
      </c>
      <c r="P14" s="110" t="n">
        <v>0</v>
      </c>
      <c r="Q14" s="110" t="n">
        <v>0</v>
      </c>
      <c r="R14" s="110" t="n">
        <f aca="false">SUM(F14:Q14)</f>
        <v>5923</v>
      </c>
      <c r="T14" s="110"/>
    </row>
    <row r="15" customFormat="false" ht="15" hidden="false" customHeight="true" outlineLevel="0" collapsed="false">
      <c r="D15" s="100" t="s">
        <v>18</v>
      </c>
      <c r="F15" s="110" t="n">
        <v>12981</v>
      </c>
      <c r="G15" s="110" t="n">
        <v>12588</v>
      </c>
      <c r="H15" s="110" t="n">
        <v>16731</v>
      </c>
      <c r="I15" s="110" t="n">
        <v>16324</v>
      </c>
      <c r="J15" s="110" t="n">
        <v>17608</v>
      </c>
      <c r="K15" s="110" t="n">
        <v>18500</v>
      </c>
      <c r="L15" s="110" t="n">
        <v>16353</v>
      </c>
      <c r="M15" s="110" t="n">
        <v>18232</v>
      </c>
      <c r="N15" s="110" t="n">
        <v>16501</v>
      </c>
      <c r="O15" s="110" t="n">
        <v>18877</v>
      </c>
      <c r="P15" s="110" t="n">
        <v>16342</v>
      </c>
      <c r="Q15" s="110" t="n">
        <v>17124</v>
      </c>
      <c r="R15" s="110" t="n">
        <f aca="false">SUM(F15:Q15)</f>
        <v>198161</v>
      </c>
    </row>
    <row r="16" customFormat="false" ht="15" hidden="false" customHeight="true" outlineLevel="0" collapsed="false">
      <c r="E16" s="31" t="s">
        <v>15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</row>
    <row r="17" customFormat="false" ht="15" hidden="false" customHeight="true" outlineLevel="0" collapsed="false">
      <c r="E17" s="100" t="s">
        <v>17</v>
      </c>
      <c r="F17" s="110" t="n">
        <v>0</v>
      </c>
      <c r="G17" s="110" t="n">
        <v>0</v>
      </c>
      <c r="H17" s="110" t="n">
        <v>1191</v>
      </c>
      <c r="I17" s="110" t="n">
        <v>0</v>
      </c>
      <c r="J17" s="110" t="n">
        <v>34</v>
      </c>
      <c r="K17" s="110" t="n">
        <v>1019</v>
      </c>
      <c r="L17" s="110" t="n">
        <v>0</v>
      </c>
      <c r="M17" s="110" t="n">
        <v>0</v>
      </c>
      <c r="N17" s="110" t="n">
        <v>143</v>
      </c>
      <c r="O17" s="110" t="n">
        <v>2516</v>
      </c>
      <c r="P17" s="110" t="n">
        <v>2122</v>
      </c>
      <c r="Q17" s="110" t="n">
        <v>2629</v>
      </c>
      <c r="R17" s="110" t="n">
        <f aca="false">SUM(F17:Q17)</f>
        <v>9654</v>
      </c>
    </row>
    <row r="18" customFormat="false" ht="15" hidden="false" customHeight="true" outlineLevel="0" collapsed="false">
      <c r="D18" s="100" t="s">
        <v>105</v>
      </c>
      <c r="F18" s="110" t="n">
        <v>669</v>
      </c>
      <c r="G18" s="110" t="n">
        <v>695</v>
      </c>
      <c r="H18" s="110" t="n">
        <v>808</v>
      </c>
      <c r="I18" s="110" t="n">
        <v>680</v>
      </c>
      <c r="J18" s="110" t="n">
        <v>776</v>
      </c>
      <c r="K18" s="110" t="n">
        <v>916</v>
      </c>
      <c r="L18" s="110" t="n">
        <v>905</v>
      </c>
      <c r="M18" s="110" t="n">
        <v>1152</v>
      </c>
      <c r="N18" s="110" t="n">
        <v>699</v>
      </c>
      <c r="O18" s="110" t="n">
        <v>1045</v>
      </c>
      <c r="P18" s="110" t="n">
        <v>300</v>
      </c>
      <c r="Q18" s="110" t="n">
        <v>317</v>
      </c>
      <c r="R18" s="110" t="n">
        <f aca="false">SUM(F18:Q18)</f>
        <v>8962</v>
      </c>
    </row>
    <row r="19" customFormat="false" ht="15" hidden="false" customHeight="true" outlineLevel="0" collapsed="false"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U19" s="100" t="s">
        <v>59</v>
      </c>
    </row>
    <row r="20" customFormat="false" ht="15" hidden="false" customHeight="true" outlineLevel="0" collapsed="false">
      <c r="C20" s="100" t="s">
        <v>20</v>
      </c>
      <c r="F20" s="109" t="n">
        <f aca="false">SUM(F21:F26)</f>
        <v>9480</v>
      </c>
      <c r="G20" s="109" t="n">
        <f aca="false">SUM(G21:G26)</f>
        <v>9281</v>
      </c>
      <c r="H20" s="109" t="n">
        <f aca="false">SUM(H21:H26)</f>
        <v>6786</v>
      </c>
      <c r="I20" s="109" t="n">
        <f aca="false">SUM(I21:I26)</f>
        <v>6652</v>
      </c>
      <c r="J20" s="109" t="n">
        <f aca="false">SUM(J21:J26)</f>
        <v>9630</v>
      </c>
      <c r="K20" s="109" t="n">
        <f aca="false">SUM(K21:K26)</f>
        <v>11511</v>
      </c>
      <c r="L20" s="109" t="n">
        <f aca="false">SUM(L21:L26)</f>
        <v>7525</v>
      </c>
      <c r="M20" s="109" t="n">
        <f aca="false">SUM(M21:M26)</f>
        <v>7393</v>
      </c>
      <c r="N20" s="109" t="n">
        <f aca="false">SUM(N21:N26)</f>
        <v>13668</v>
      </c>
      <c r="O20" s="109" t="n">
        <f aca="false">SUM(O21:O26)</f>
        <v>7868</v>
      </c>
      <c r="P20" s="109" t="n">
        <f aca="false">SUM(P21:P26)</f>
        <v>8733</v>
      </c>
      <c r="Q20" s="109" t="n">
        <f aca="false">SUM(Q21:Q26)</f>
        <v>21071</v>
      </c>
      <c r="R20" s="109" t="n">
        <f aca="false">SUM(R21:R26)</f>
        <v>119598</v>
      </c>
    </row>
    <row r="21" customFormat="false" ht="15" hidden="false" customHeight="true" outlineLevel="0" collapsed="false">
      <c r="D21" s="100" t="s">
        <v>21</v>
      </c>
      <c r="F21" s="110" t="n">
        <v>5889</v>
      </c>
      <c r="G21" s="110" t="n">
        <v>6668</v>
      </c>
      <c r="H21" s="110" t="n">
        <v>4787</v>
      </c>
      <c r="I21" s="110" t="n">
        <v>4835</v>
      </c>
      <c r="J21" s="110" t="n">
        <v>4448</v>
      </c>
      <c r="K21" s="110" t="n">
        <v>9871</v>
      </c>
      <c r="L21" s="110" t="n">
        <v>5006</v>
      </c>
      <c r="M21" s="110" t="n">
        <v>4955</v>
      </c>
      <c r="N21" s="110" t="n">
        <v>4293</v>
      </c>
      <c r="O21" s="110" t="n">
        <v>4013</v>
      </c>
      <c r="P21" s="110" t="n">
        <v>4309</v>
      </c>
      <c r="Q21" s="110" t="n">
        <v>15372</v>
      </c>
      <c r="R21" s="110" t="n">
        <f aca="false">SUM(F21:Q21)</f>
        <v>74446</v>
      </c>
    </row>
    <row r="22" customFormat="false" ht="15" hidden="false" customHeight="true" outlineLevel="0" collapsed="false">
      <c r="D22" s="100" t="s">
        <v>112</v>
      </c>
      <c r="F22" s="110" t="n">
        <v>1876</v>
      </c>
      <c r="G22" s="110" t="n">
        <v>1536</v>
      </c>
      <c r="H22" s="110" t="n">
        <v>1667</v>
      </c>
      <c r="I22" s="110" t="n">
        <v>1046</v>
      </c>
      <c r="J22" s="110" t="n">
        <v>1355</v>
      </c>
      <c r="K22" s="110" t="n">
        <v>1229</v>
      </c>
      <c r="L22" s="110" t="n">
        <v>1054</v>
      </c>
      <c r="M22" s="110" t="n">
        <v>1364</v>
      </c>
      <c r="N22" s="110" t="n">
        <v>1177</v>
      </c>
      <c r="O22" s="110" t="n">
        <v>2318</v>
      </c>
      <c r="P22" s="110" t="n">
        <v>1221</v>
      </c>
      <c r="Q22" s="110" t="n">
        <v>918</v>
      </c>
      <c r="R22" s="110" t="n">
        <f aca="false">SUM(F22:Q22)</f>
        <v>16761</v>
      </c>
      <c r="T22" s="110"/>
    </row>
    <row r="23" customFormat="false" ht="15" hidden="false" customHeight="true" outlineLevel="0" collapsed="false">
      <c r="D23" s="100" t="s">
        <v>24</v>
      </c>
      <c r="F23" s="110" t="n">
        <v>307.643</v>
      </c>
      <c r="G23" s="110" t="n">
        <v>186.139</v>
      </c>
      <c r="H23" s="110" t="n">
        <v>166.622</v>
      </c>
      <c r="I23" s="110" t="n">
        <v>110.037</v>
      </c>
      <c r="J23" s="110" t="n">
        <v>407.639</v>
      </c>
      <c r="K23" s="110" t="n">
        <v>513.901</v>
      </c>
      <c r="L23" s="110" t="n">
        <v>928.047</v>
      </c>
      <c r="M23" s="110" t="n">
        <v>16.921</v>
      </c>
      <c r="N23" s="110" t="n">
        <v>0</v>
      </c>
      <c r="O23" s="110" t="n">
        <v>153.294</v>
      </c>
      <c r="P23" s="110" t="n">
        <v>888.694</v>
      </c>
      <c r="Q23" s="110" t="n">
        <v>574.056</v>
      </c>
      <c r="R23" s="110" t="n">
        <f aca="false">SUM(F23:Q23)</f>
        <v>4252.993</v>
      </c>
    </row>
    <row r="24" customFormat="false" ht="15" hidden="false" customHeight="true" outlineLevel="0" collapsed="false">
      <c r="D24" s="100" t="s">
        <v>23</v>
      </c>
      <c r="F24" s="110" t="n">
        <v>0</v>
      </c>
      <c r="G24" s="110" t="n">
        <v>0</v>
      </c>
      <c r="H24" s="110" t="n">
        <v>258</v>
      </c>
      <c r="I24" s="110" t="n">
        <v>0</v>
      </c>
      <c r="J24" s="110" t="n">
        <v>25</v>
      </c>
      <c r="K24" s="110" t="n">
        <v>139</v>
      </c>
      <c r="L24" s="110" t="n">
        <v>3</v>
      </c>
      <c r="M24" s="110" t="n">
        <v>442</v>
      </c>
      <c r="N24" s="110" t="n">
        <v>223</v>
      </c>
      <c r="O24" s="110" t="n">
        <v>105</v>
      </c>
      <c r="P24" s="110" t="n">
        <v>23</v>
      </c>
      <c r="Q24" s="110" t="n">
        <v>4597</v>
      </c>
      <c r="R24" s="110" t="n">
        <f aca="false">SUM(F24:Q24)</f>
        <v>5815</v>
      </c>
    </row>
    <row r="25" customFormat="false" ht="15" hidden="false" customHeight="true" outlineLevel="0" collapsed="false">
      <c r="D25" s="100" t="s">
        <v>108</v>
      </c>
      <c r="F25" s="110" t="n">
        <v>0</v>
      </c>
      <c r="G25" s="110" t="n">
        <v>0</v>
      </c>
      <c r="H25" s="110" t="n">
        <v>0</v>
      </c>
      <c r="I25" s="110" t="n">
        <v>0</v>
      </c>
      <c r="J25" s="110" t="n">
        <v>0</v>
      </c>
      <c r="K25" s="110" t="n">
        <v>0</v>
      </c>
      <c r="L25" s="110" t="n">
        <v>0</v>
      </c>
      <c r="M25" s="110" t="n">
        <v>0</v>
      </c>
      <c r="N25" s="110" t="n">
        <v>7560</v>
      </c>
      <c r="O25" s="110" t="n">
        <v>0</v>
      </c>
      <c r="P25" s="110" t="n">
        <v>798</v>
      </c>
      <c r="Q25" s="110" t="n">
        <v>0</v>
      </c>
      <c r="R25" s="110" t="n">
        <f aca="false">SUM(F25:Q25)</f>
        <v>8358</v>
      </c>
    </row>
    <row r="26" customFormat="false" ht="15" hidden="false" customHeight="true" outlineLevel="0" collapsed="false">
      <c r="D26" s="100" t="s">
        <v>105</v>
      </c>
      <c r="F26" s="110" t="n">
        <f aca="false">3591-F22-F23-F25</f>
        <v>1407.357</v>
      </c>
      <c r="G26" s="110" t="n">
        <f aca="false">2613-G22-G23-G25</f>
        <v>890.861</v>
      </c>
      <c r="H26" s="110" t="n">
        <f aca="false">1741-H22-H23-H25</f>
        <v>-92.622</v>
      </c>
      <c r="I26" s="110" t="n">
        <f aca="false">1817-I22-I23-I25</f>
        <v>660.963</v>
      </c>
      <c r="J26" s="110" t="n">
        <f aca="false">5157-J22-J23-J25</f>
        <v>3394.361</v>
      </c>
      <c r="K26" s="110" t="n">
        <f aca="false">1501-K22-K23-K25</f>
        <v>-241.901</v>
      </c>
      <c r="L26" s="110" t="n">
        <f aca="false">2516-L22-L23-L25</f>
        <v>533.953</v>
      </c>
      <c r="M26" s="110" t="n">
        <f aca="false">1996-M22-M23-M25</f>
        <v>615.079</v>
      </c>
      <c r="N26" s="110" t="n">
        <f aca="false">9152-N22-N23-N25</f>
        <v>415</v>
      </c>
      <c r="O26" s="110" t="n">
        <f aca="false">3750-O22-O23-O25</f>
        <v>1278.706</v>
      </c>
      <c r="P26" s="110" t="n">
        <f aca="false">4401-P22-P23-P25</f>
        <v>1493.306</v>
      </c>
      <c r="Q26" s="110" t="n">
        <f aca="false">1102-Q22-Q23-Q25</f>
        <v>-390.056</v>
      </c>
      <c r="R26" s="110" t="n">
        <f aca="false">SUM(F26:Q26)</f>
        <v>9965.007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C28" s="100" t="s">
        <v>26</v>
      </c>
      <c r="F28" s="110" t="n">
        <v>5</v>
      </c>
      <c r="G28" s="110" t="n">
        <v>7</v>
      </c>
      <c r="H28" s="110" t="n">
        <v>9</v>
      </c>
      <c r="I28" s="110" t="n">
        <v>2</v>
      </c>
      <c r="J28" s="110" t="n">
        <v>20</v>
      </c>
      <c r="K28" s="110" t="n">
        <v>3</v>
      </c>
      <c r="L28" s="110" t="n">
        <v>6</v>
      </c>
      <c r="M28" s="110" t="n">
        <v>24</v>
      </c>
      <c r="N28" s="110" t="n">
        <v>14</v>
      </c>
      <c r="O28" s="110" t="n">
        <v>3</v>
      </c>
      <c r="P28" s="110" t="n">
        <v>58</v>
      </c>
      <c r="Q28" s="110" t="n">
        <v>32</v>
      </c>
      <c r="R28" s="110" t="n">
        <v>183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 t="n">
        <v>0</v>
      </c>
    </row>
    <row r="30" customFormat="false" ht="15" hidden="false" customHeight="true" outlineLevel="0" collapsed="false">
      <c r="B30" s="107" t="s">
        <v>27</v>
      </c>
      <c r="C30" s="107"/>
      <c r="D30" s="107"/>
      <c r="E30" s="107"/>
      <c r="F30" s="108" t="n">
        <f aca="false">SUM(F32:F38)</f>
        <v>88078</v>
      </c>
      <c r="G30" s="108" t="n">
        <f aca="false">SUM(G32:G38)</f>
        <v>89248</v>
      </c>
      <c r="H30" s="108" t="n">
        <f aca="false">SUM(H32:H38)</f>
        <v>95281</v>
      </c>
      <c r="I30" s="108" t="n">
        <f aca="false">SUM(I32:I38)</f>
        <v>77384</v>
      </c>
      <c r="J30" s="108" t="n">
        <f aca="false">SUM(J32:J38)</f>
        <v>83921</v>
      </c>
      <c r="K30" s="108" t="n">
        <f aca="false">SUM(K32:K38)</f>
        <v>68645</v>
      </c>
      <c r="L30" s="108" t="n">
        <f aca="false">SUM(L32:L38)</f>
        <v>90677</v>
      </c>
      <c r="M30" s="108" t="n">
        <f aca="false">SUM(M32:M38)</f>
        <v>83187</v>
      </c>
      <c r="N30" s="108" t="n">
        <f aca="false">SUM(N32:N38)</f>
        <v>89877</v>
      </c>
      <c r="O30" s="108" t="n">
        <f aca="false">SUM(O32:O38)</f>
        <v>85698</v>
      </c>
      <c r="P30" s="108" t="n">
        <f aca="false">SUM(P32:P38)</f>
        <v>88759</v>
      </c>
      <c r="Q30" s="108" t="n">
        <f aca="false">SUM(Q32:Q38)</f>
        <v>103674</v>
      </c>
      <c r="R30" s="108" t="n">
        <f aca="false">SUM(F30:Q30)</f>
        <v>1044429</v>
      </c>
    </row>
    <row r="31" customFormat="false" ht="15" hidden="false" customHeight="true" outlineLevel="0" collapsed="false"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</row>
    <row r="32" customFormat="false" ht="15" hidden="false" customHeight="true" outlineLevel="0" collapsed="false">
      <c r="D32" s="100" t="s">
        <v>28</v>
      </c>
      <c r="F32" s="110" t="n">
        <v>13058</v>
      </c>
      <c r="G32" s="110" t="n">
        <v>13485</v>
      </c>
      <c r="H32" s="110" t="n">
        <v>13370</v>
      </c>
      <c r="I32" s="110" t="n">
        <v>13160</v>
      </c>
      <c r="J32" s="110" t="n">
        <v>12777</v>
      </c>
      <c r="K32" s="110" t="n">
        <v>12910</v>
      </c>
      <c r="L32" s="110" t="n">
        <v>12608</v>
      </c>
      <c r="M32" s="110" t="n">
        <v>12910</v>
      </c>
      <c r="N32" s="110" t="n">
        <v>12376</v>
      </c>
      <c r="O32" s="110" t="n">
        <v>13093</v>
      </c>
      <c r="P32" s="110" t="n">
        <v>20578</v>
      </c>
      <c r="Q32" s="110" t="n">
        <v>24388</v>
      </c>
      <c r="R32" s="110" t="n">
        <f aca="false">SUM(F32:Q32)</f>
        <v>174713</v>
      </c>
    </row>
    <row r="33" customFormat="false" ht="15" hidden="false" customHeight="true" outlineLevel="0" collapsed="false">
      <c r="D33" s="100" t="s">
        <v>29</v>
      </c>
      <c r="F33" s="110" t="n">
        <v>31894</v>
      </c>
      <c r="G33" s="110" t="n">
        <v>36805</v>
      </c>
      <c r="H33" s="110" t="n">
        <v>35123</v>
      </c>
      <c r="I33" s="110" t="n">
        <v>24680</v>
      </c>
      <c r="J33" s="110" t="n">
        <v>15743</v>
      </c>
      <c r="K33" s="110" t="n">
        <v>12317</v>
      </c>
      <c r="L33" s="110" t="n">
        <v>34176</v>
      </c>
      <c r="M33" s="110" t="n">
        <v>30670</v>
      </c>
      <c r="N33" s="110" t="n">
        <v>33042</v>
      </c>
      <c r="O33" s="110" t="n">
        <v>23329</v>
      </c>
      <c r="P33" s="110" t="n">
        <v>15104</v>
      </c>
      <c r="Q33" s="110" t="n">
        <v>17225</v>
      </c>
      <c r="R33" s="110" t="n">
        <f aca="false">SUM(F33:Q33)</f>
        <v>310108</v>
      </c>
    </row>
    <row r="34" customFormat="false" ht="15" hidden="false" customHeight="true" outlineLevel="0" collapsed="false">
      <c r="D34" s="100" t="s">
        <v>30</v>
      </c>
      <c r="F34" s="110" t="n">
        <v>0</v>
      </c>
      <c r="G34" s="110" t="n">
        <v>0</v>
      </c>
      <c r="H34" s="110" t="n">
        <v>2171</v>
      </c>
      <c r="I34" s="110" t="n">
        <v>711</v>
      </c>
      <c r="J34" s="110" t="n">
        <v>315</v>
      </c>
      <c r="K34" s="110" t="n">
        <v>6015</v>
      </c>
      <c r="L34" s="110" t="n">
        <v>420</v>
      </c>
      <c r="M34" s="110" t="n">
        <v>1363</v>
      </c>
      <c r="N34" s="110" t="n">
        <v>707</v>
      </c>
      <c r="O34" s="110" t="n">
        <v>3216</v>
      </c>
      <c r="P34" s="110" t="n">
        <v>2543</v>
      </c>
      <c r="Q34" s="110" t="n">
        <v>3203</v>
      </c>
      <c r="R34" s="110" t="n">
        <f aca="false">SUM(F34:Q34)</f>
        <v>20664</v>
      </c>
    </row>
    <row r="35" customFormat="false" ht="15" hidden="false" customHeight="true" outlineLevel="0" collapsed="false">
      <c r="D35" s="100" t="s">
        <v>77</v>
      </c>
      <c r="F35" s="110" t="n">
        <v>1690</v>
      </c>
      <c r="G35" s="110" t="n">
        <v>899</v>
      </c>
      <c r="H35" s="110" t="n">
        <v>1032</v>
      </c>
      <c r="I35" s="110" t="n">
        <v>1421</v>
      </c>
      <c r="J35" s="110" t="n">
        <v>1438</v>
      </c>
      <c r="K35" s="110" t="n">
        <v>341</v>
      </c>
      <c r="L35" s="110" t="n">
        <v>709</v>
      </c>
      <c r="M35" s="110" t="n">
        <v>741</v>
      </c>
      <c r="N35" s="110" t="n">
        <v>977</v>
      </c>
      <c r="O35" s="110" t="n">
        <v>507</v>
      </c>
      <c r="P35" s="110" t="n">
        <v>510</v>
      </c>
      <c r="Q35" s="110" t="n">
        <v>3545</v>
      </c>
      <c r="R35" s="110" t="n">
        <f aca="false">SUM(F35:Q35)</f>
        <v>13810</v>
      </c>
    </row>
    <row r="36" customFormat="false" ht="15" hidden="false" customHeight="true" outlineLevel="0" collapsed="false">
      <c r="D36" s="100" t="s">
        <v>32</v>
      </c>
      <c r="F36" s="110" t="n">
        <v>0</v>
      </c>
      <c r="G36" s="110" t="n">
        <v>0</v>
      </c>
      <c r="H36" s="110" t="n">
        <v>50</v>
      </c>
      <c r="I36" s="110" t="n">
        <v>0</v>
      </c>
      <c r="J36" s="110" t="n">
        <v>870</v>
      </c>
      <c r="K36" s="110" t="n">
        <v>23</v>
      </c>
      <c r="L36" s="110" t="n">
        <v>30</v>
      </c>
      <c r="M36" s="110" t="n">
        <v>0</v>
      </c>
      <c r="N36" s="110" t="n">
        <v>80</v>
      </c>
      <c r="O36" s="110" t="n">
        <v>0</v>
      </c>
      <c r="P36" s="110" t="n">
        <v>0</v>
      </c>
      <c r="Q36" s="110" t="n">
        <v>2508</v>
      </c>
      <c r="R36" s="110" t="n">
        <f aca="false">SUM(F36:Q36)</f>
        <v>3561</v>
      </c>
    </row>
    <row r="37" customFormat="false" ht="15" hidden="false" customHeight="true" outlineLevel="0" collapsed="false">
      <c r="D37" s="100" t="s">
        <v>78</v>
      </c>
      <c r="F37" s="110" t="n">
        <v>746</v>
      </c>
      <c r="G37" s="110" t="n">
        <v>730</v>
      </c>
      <c r="H37" s="110" t="n">
        <v>1305</v>
      </c>
      <c r="I37" s="110" t="n">
        <v>368</v>
      </c>
      <c r="J37" s="110" t="n">
        <v>2533</v>
      </c>
      <c r="K37" s="110" t="n">
        <v>1754</v>
      </c>
      <c r="L37" s="110" t="n">
        <v>2632</v>
      </c>
      <c r="M37" s="110" t="n">
        <v>1632</v>
      </c>
      <c r="N37" s="110" t="n">
        <v>1982</v>
      </c>
      <c r="O37" s="110" t="n">
        <v>1106</v>
      </c>
      <c r="P37" s="110" t="n">
        <v>-2658</v>
      </c>
      <c r="Q37" s="110" t="n">
        <v>-11999</v>
      </c>
      <c r="R37" s="110" t="n">
        <f aca="false">SUM(F37:Q37)</f>
        <v>131</v>
      </c>
    </row>
    <row r="38" customFormat="false" ht="15" hidden="false" customHeight="true" outlineLevel="0" collapsed="false">
      <c r="D38" s="1" t="s">
        <v>79</v>
      </c>
      <c r="F38" s="110" t="n">
        <v>40690</v>
      </c>
      <c r="G38" s="110" t="n">
        <v>37329</v>
      </c>
      <c r="H38" s="110" t="n">
        <v>42230</v>
      </c>
      <c r="I38" s="110" t="n">
        <v>37044</v>
      </c>
      <c r="J38" s="110" t="n">
        <v>50245</v>
      </c>
      <c r="K38" s="110" t="n">
        <v>35285</v>
      </c>
      <c r="L38" s="110" t="n">
        <v>40102</v>
      </c>
      <c r="M38" s="110" t="n">
        <v>35871</v>
      </c>
      <c r="N38" s="110" t="n">
        <v>40713</v>
      </c>
      <c r="O38" s="110" t="n">
        <v>44447</v>
      </c>
      <c r="P38" s="110" t="n">
        <v>52682</v>
      </c>
      <c r="Q38" s="110" t="n">
        <v>64804</v>
      </c>
      <c r="R38" s="110" t="n">
        <f aca="false">SUM(F38:Q38)</f>
        <v>521442</v>
      </c>
    </row>
    <row r="39" customFormat="false" ht="15" hidden="false" customHeight="true" outlineLevel="0" collapsed="false"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</row>
    <row r="40" customFormat="false" ht="15" hidden="false" customHeight="true" outlineLevel="0" collapsed="false">
      <c r="B40" s="107" t="s">
        <v>35</v>
      </c>
      <c r="C40" s="107"/>
      <c r="D40" s="107"/>
      <c r="E40" s="107"/>
      <c r="F40" s="112" t="n">
        <f aca="false">+F9-F30</f>
        <v>-15445</v>
      </c>
      <c r="G40" s="112" t="n">
        <f aca="false">+G9-G30</f>
        <v>-24958</v>
      </c>
      <c r="H40" s="112" t="n">
        <f aca="false">+H9-H30</f>
        <v>-27207</v>
      </c>
      <c r="I40" s="112" t="n">
        <f aca="false">+I9-I30</f>
        <v>17642</v>
      </c>
      <c r="J40" s="112" t="n">
        <f aca="false">+J9-J30</f>
        <v>5811</v>
      </c>
      <c r="K40" s="112" t="n">
        <f aca="false">+K9-K30</f>
        <v>12653</v>
      </c>
      <c r="L40" s="112" t="n">
        <f aca="false">+L9-L30</f>
        <v>-17010</v>
      </c>
      <c r="M40" s="112" t="n">
        <f aca="false">+M9-M30</f>
        <v>14334</v>
      </c>
      <c r="N40" s="112" t="n">
        <f aca="false">+N9-N30</f>
        <v>-16229</v>
      </c>
      <c r="O40" s="112" t="n">
        <f aca="false">+O9-O30</f>
        <v>-5842</v>
      </c>
      <c r="P40" s="112" t="n">
        <f aca="false">+P9-P30</f>
        <v>-2069</v>
      </c>
      <c r="Q40" s="112" t="n">
        <f aca="false">+Q9-Q30</f>
        <v>-6471</v>
      </c>
      <c r="R40" s="112" t="n">
        <f aca="false">SUM(F40:Q40)</f>
        <v>-64791</v>
      </c>
    </row>
    <row r="41" customFormat="false" ht="15" hidden="false" customHeight="true" outlineLevel="0" collapsed="false"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</row>
    <row r="42" customFormat="false" ht="15" hidden="false" customHeight="true" outlineLevel="0" collapsed="false">
      <c r="B42" s="107" t="s">
        <v>36</v>
      </c>
      <c r="C42" s="107"/>
      <c r="D42" s="107"/>
      <c r="E42" s="107"/>
      <c r="F42" s="108" t="n">
        <v>116569</v>
      </c>
      <c r="G42" s="108" t="n">
        <v>19725</v>
      </c>
      <c r="H42" s="108" t="n">
        <v>20257</v>
      </c>
      <c r="I42" s="108" t="n">
        <v>29736</v>
      </c>
      <c r="J42" s="108" t="n">
        <v>-12069</v>
      </c>
      <c r="K42" s="108" t="n">
        <v>-13372</v>
      </c>
      <c r="L42" s="108" t="n">
        <v>33078</v>
      </c>
      <c r="M42" s="108" t="n">
        <v>66742</v>
      </c>
      <c r="N42" s="108" t="n">
        <v>15551</v>
      </c>
      <c r="O42" s="108" t="n">
        <v>31023</v>
      </c>
      <c r="P42" s="108" t="n">
        <v>-1563</v>
      </c>
      <c r="Q42" s="108" t="n">
        <v>19823</v>
      </c>
      <c r="R42" s="108" t="n">
        <v>325500</v>
      </c>
    </row>
    <row r="43" customFormat="false" ht="15" hidden="false" customHeight="true" outlineLevel="0" collapsed="false">
      <c r="C43" s="100" t="s">
        <v>37</v>
      </c>
      <c r="F43" s="109" t="n">
        <v>104988</v>
      </c>
      <c r="G43" s="109" t="n">
        <v>-6013</v>
      </c>
      <c r="H43" s="109" t="n">
        <v>-2081</v>
      </c>
      <c r="I43" s="109" t="n">
        <v>730</v>
      </c>
      <c r="J43" s="109" t="n">
        <v>-674</v>
      </c>
      <c r="K43" s="109" t="n">
        <v>-2930</v>
      </c>
      <c r="L43" s="109" t="n">
        <v>-2462</v>
      </c>
      <c r="M43" s="109" t="n">
        <v>34093</v>
      </c>
      <c r="N43" s="109" t="n">
        <v>-869</v>
      </c>
      <c r="O43" s="109" t="n">
        <v>1054</v>
      </c>
      <c r="P43" s="109" t="n">
        <v>-2169</v>
      </c>
      <c r="Q43" s="109" t="n">
        <v>-2913</v>
      </c>
      <c r="R43" s="109" t="n">
        <v>120754</v>
      </c>
    </row>
    <row r="44" customFormat="false" ht="15" hidden="false" customHeight="true" outlineLevel="0" collapsed="false">
      <c r="D44" s="100" t="s">
        <v>38</v>
      </c>
      <c r="F44" s="110" t="n">
        <v>111684</v>
      </c>
      <c r="G44" s="110" t="n">
        <v>1225</v>
      </c>
      <c r="H44" s="110" t="n">
        <v>2113</v>
      </c>
      <c r="I44" s="110" t="n">
        <v>2452</v>
      </c>
      <c r="J44" s="110" t="n">
        <v>4989</v>
      </c>
      <c r="K44" s="110" t="n">
        <v>2654</v>
      </c>
      <c r="L44" s="110" t="n">
        <v>3418</v>
      </c>
      <c r="M44" s="110" t="n">
        <v>40663</v>
      </c>
      <c r="N44" s="110" t="n">
        <v>3141</v>
      </c>
      <c r="O44" s="110" t="n">
        <v>3369</v>
      </c>
      <c r="P44" s="110" t="n">
        <v>69110</v>
      </c>
      <c r="Q44" s="110" t="n">
        <v>39263</v>
      </c>
      <c r="R44" s="110" t="n">
        <v>284081</v>
      </c>
    </row>
    <row r="45" customFormat="false" ht="15" hidden="false" customHeight="true" outlineLevel="0" collapsed="false">
      <c r="D45" s="100" t="s">
        <v>97</v>
      </c>
      <c r="F45" s="110" t="n">
        <v>6696</v>
      </c>
      <c r="G45" s="110" t="n">
        <v>7238</v>
      </c>
      <c r="H45" s="110" t="n">
        <v>4194</v>
      </c>
      <c r="I45" s="110" t="n">
        <v>1722</v>
      </c>
      <c r="J45" s="110" t="n">
        <v>5663</v>
      </c>
      <c r="K45" s="110" t="n">
        <v>5584</v>
      </c>
      <c r="L45" s="110" t="n">
        <v>5880</v>
      </c>
      <c r="M45" s="110" t="n">
        <v>6570</v>
      </c>
      <c r="N45" s="110" t="n">
        <v>4010</v>
      </c>
      <c r="O45" s="110" t="n">
        <v>2315</v>
      </c>
      <c r="P45" s="110" t="n">
        <v>71279</v>
      </c>
      <c r="Q45" s="110" t="n">
        <v>42176</v>
      </c>
      <c r="R45" s="110" t="n">
        <v>163327</v>
      </c>
    </row>
    <row r="46" customFormat="false" ht="15" hidden="false" customHeight="true" outlineLevel="0" collapsed="false"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</row>
    <row r="47" customFormat="false" ht="15" hidden="false" customHeight="true" outlineLevel="0" collapsed="false">
      <c r="C47" s="100" t="s">
        <v>40</v>
      </c>
      <c r="F47" s="109" t="n">
        <v>11581</v>
      </c>
      <c r="G47" s="109" t="n">
        <v>25738</v>
      </c>
      <c r="H47" s="109" t="n">
        <v>22338</v>
      </c>
      <c r="I47" s="109" t="n">
        <v>29006</v>
      </c>
      <c r="J47" s="109" t="n">
        <v>-11395</v>
      </c>
      <c r="K47" s="109" t="n">
        <v>-10442</v>
      </c>
      <c r="L47" s="109" t="n">
        <v>35540</v>
      </c>
      <c r="M47" s="109" t="n">
        <v>32649</v>
      </c>
      <c r="N47" s="109" t="n">
        <v>16420</v>
      </c>
      <c r="O47" s="109" t="n">
        <v>29969</v>
      </c>
      <c r="P47" s="109" t="n">
        <v>606</v>
      </c>
      <c r="Q47" s="109" t="n">
        <v>22736</v>
      </c>
      <c r="R47" s="109" t="n">
        <v>204746</v>
      </c>
    </row>
    <row r="48" customFormat="false" ht="15" hidden="false" customHeight="true" outlineLevel="0" collapsed="false">
      <c r="D48" s="100" t="s">
        <v>41</v>
      </c>
      <c r="F48" s="110" t="n">
        <v>11613</v>
      </c>
      <c r="G48" s="110" t="n">
        <v>91659</v>
      </c>
      <c r="H48" s="110" t="n">
        <v>66978</v>
      </c>
      <c r="I48" s="110" t="n">
        <v>29006</v>
      </c>
      <c r="J48" s="110" t="n">
        <v>-11395</v>
      </c>
      <c r="K48" s="110" t="n">
        <v>-10442</v>
      </c>
      <c r="L48" s="110" t="n">
        <v>35540</v>
      </c>
      <c r="M48" s="110" t="n">
        <v>32649</v>
      </c>
      <c r="N48" s="110" t="n">
        <v>71387</v>
      </c>
      <c r="O48" s="110" t="n">
        <v>29969</v>
      </c>
      <c r="P48" s="110" t="n">
        <v>606</v>
      </c>
      <c r="Q48" s="110" t="n">
        <v>22736</v>
      </c>
      <c r="R48" s="110" t="n">
        <v>370306</v>
      </c>
    </row>
    <row r="49" customFormat="false" ht="15" hidden="false" customHeight="true" outlineLevel="0" collapsed="false">
      <c r="D49" s="100" t="s">
        <v>42</v>
      </c>
      <c r="F49" s="110" t="n">
        <v>32</v>
      </c>
      <c r="G49" s="110" t="n">
        <v>65921</v>
      </c>
      <c r="H49" s="110" t="n">
        <v>44640</v>
      </c>
      <c r="I49" s="110" t="n">
        <v>0</v>
      </c>
      <c r="J49" s="110" t="n">
        <v>0</v>
      </c>
      <c r="K49" s="110" t="n">
        <v>0</v>
      </c>
      <c r="L49" s="110" t="n">
        <v>0</v>
      </c>
      <c r="M49" s="110" t="n">
        <v>0</v>
      </c>
      <c r="N49" s="110" t="n">
        <v>54967</v>
      </c>
      <c r="O49" s="110" t="n">
        <v>0</v>
      </c>
      <c r="P49" s="110" t="n">
        <v>0</v>
      </c>
      <c r="Q49" s="110" t="n">
        <v>0</v>
      </c>
      <c r="R49" s="110" t="n">
        <v>165560</v>
      </c>
    </row>
    <row r="50" customFormat="false" ht="15" hidden="false" customHeight="true" outlineLevel="0" collapsed="false">
      <c r="E50" s="1" t="s">
        <v>67</v>
      </c>
      <c r="F50" s="110" t="n">
        <v>19226</v>
      </c>
      <c r="G50" s="110" t="n">
        <v>80509</v>
      </c>
      <c r="H50" s="110" t="n">
        <v>44642</v>
      </c>
      <c r="I50" s="110" t="n">
        <v>17659</v>
      </c>
      <c r="J50" s="110" t="n">
        <v>10920</v>
      </c>
      <c r="K50" s="110" t="n">
        <v>2</v>
      </c>
      <c r="L50" s="110" t="n">
        <v>45644</v>
      </c>
      <c r="M50" s="110" t="n">
        <v>8058</v>
      </c>
      <c r="N50" s="110" t="n">
        <v>76527</v>
      </c>
      <c r="O50" s="110" t="n">
        <v>24320</v>
      </c>
      <c r="P50" s="110" t="n">
        <v>4304</v>
      </c>
      <c r="Q50" s="110" t="n">
        <v>34746</v>
      </c>
      <c r="R50" s="110" t="n">
        <v>366557</v>
      </c>
    </row>
    <row r="51" customFormat="false" ht="15" hidden="false" customHeight="true" outlineLevel="0" collapsed="false">
      <c r="E51" s="16" t="s">
        <v>80</v>
      </c>
      <c r="F51" s="110" t="n">
        <v>19194</v>
      </c>
      <c r="G51" s="110" t="n">
        <v>14588</v>
      </c>
      <c r="H51" s="110" t="n">
        <v>2</v>
      </c>
      <c r="I51" s="110" t="n">
        <v>17659</v>
      </c>
      <c r="J51" s="110" t="n">
        <v>10920</v>
      </c>
      <c r="K51" s="110" t="n">
        <v>2</v>
      </c>
      <c r="L51" s="110" t="n">
        <v>45644</v>
      </c>
      <c r="M51" s="110" t="n">
        <v>8058</v>
      </c>
      <c r="N51" s="110" t="n">
        <v>21560</v>
      </c>
      <c r="O51" s="110" t="n">
        <v>24320</v>
      </c>
      <c r="P51" s="110" t="n">
        <v>4304</v>
      </c>
      <c r="Q51" s="110" t="n">
        <v>34746</v>
      </c>
      <c r="R51" s="110" t="n">
        <v>200997</v>
      </c>
    </row>
    <row r="52" customFormat="false" ht="15" hidden="false" customHeight="true" outlineLevel="0" collapsed="false"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</row>
    <row r="53" customFormat="false" ht="15" hidden="false" customHeight="true" outlineLevel="0" collapsed="false"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</row>
    <row r="54" customFormat="false" ht="15" hidden="false" customHeight="true" outlineLevel="0" collapsed="false">
      <c r="B54" s="107" t="s">
        <v>45</v>
      </c>
      <c r="C54" s="107"/>
      <c r="D54" s="107"/>
      <c r="E54" s="107"/>
      <c r="F54" s="108" t="n">
        <v>80912</v>
      </c>
      <c r="G54" s="108" t="n">
        <v>-21627</v>
      </c>
      <c r="H54" s="108" t="n">
        <v>-6509</v>
      </c>
      <c r="I54" s="108" t="n">
        <v>5924</v>
      </c>
      <c r="J54" s="108" t="n">
        <v>-61110</v>
      </c>
      <c r="K54" s="108" t="n">
        <v>42385</v>
      </c>
      <c r="L54" s="108" t="n">
        <v>-26000</v>
      </c>
      <c r="M54" s="108" t="n">
        <v>42549</v>
      </c>
      <c r="N54" s="108" t="n">
        <v>-25396</v>
      </c>
      <c r="O54" s="108" t="n">
        <v>2263</v>
      </c>
      <c r="P54" s="108" t="n">
        <v>-29340</v>
      </c>
      <c r="Q54" s="108" t="n">
        <v>2012</v>
      </c>
      <c r="R54" s="108" t="n">
        <v>6063</v>
      </c>
    </row>
    <row r="55" customFormat="false" ht="15" hidden="false" customHeight="false" outlineLevel="0" collapsed="false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</row>
    <row r="56" customFormat="false" ht="15" hidden="false" customHeight="false" outlineLevel="0" collapsed="false">
      <c r="B56" s="4" t="s">
        <v>46</v>
      </c>
      <c r="C56" s="1"/>
      <c r="D56" s="1"/>
      <c r="E56" s="1"/>
      <c r="F56" s="1"/>
      <c r="G56" s="1"/>
      <c r="H56" s="1"/>
      <c r="I56" s="1"/>
      <c r="J56" s="1"/>
      <c r="K56" s="1"/>
    </row>
    <row r="57" customFormat="false" ht="12.75" hidden="false" customHeight="true" outlineLevel="0" collapsed="false">
      <c r="B57" s="4"/>
      <c r="C57" s="130" t="s">
        <v>110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10"/>
    </row>
    <row r="58" customFormat="false" ht="14.25" hidden="false" customHeight="true" outlineLevel="0" collapsed="false">
      <c r="B58" s="4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10"/>
    </row>
    <row r="59" customFormat="false" ht="17.25" hidden="false" customHeight="true" outlineLevel="0" collapsed="false">
      <c r="B59" s="6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</row>
    <row r="60" customFormat="false" ht="14.25" hidden="false" customHeight="false" outlineLevel="0" collapsed="false">
      <c r="B60" s="6"/>
      <c r="C60" s="1"/>
      <c r="D60" s="1"/>
      <c r="E60" s="1"/>
      <c r="F60" s="1"/>
      <c r="G60" s="1"/>
      <c r="H60" s="1"/>
      <c r="I60" s="1"/>
      <c r="J60" s="1"/>
      <c r="K60" s="1"/>
      <c r="R60" s="110"/>
    </row>
    <row r="62" customFormat="false" ht="14.25" hidden="false" customHeight="false" outlineLevel="0" collapsed="false">
      <c r="B62" s="31" t="s">
        <v>51</v>
      </c>
    </row>
    <row r="63" customFormat="false" ht="14.25" hidden="false" customHeight="false" outlineLevel="0" collapsed="false">
      <c r="B63" s="31" t="s">
        <v>106</v>
      </c>
    </row>
  </sheetData>
  <mergeCells count="2">
    <mergeCell ref="B7:E7"/>
    <mergeCell ref="C57:Q59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TREASUR&amp;"Arial,Regular"Y
&amp;"Arial,Italic"Statistical Data Analysis Division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M40" activeCellId="0" sqref="M40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22.43"/>
    <col collapsed="false" customWidth="true" hidden="false" outlineLevel="0" max="8" min="6" style="100" width="8.71"/>
    <col collapsed="false" customWidth="true" hidden="false" outlineLevel="0" max="10" min="9" style="100" width="8"/>
    <col collapsed="false" customWidth="true" hidden="false" outlineLevel="0" max="17" min="11" style="100" width="8.71"/>
    <col collapsed="false" customWidth="true" hidden="false" outlineLevel="0" max="18" min="18" style="100" width="9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130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17" t="s">
        <v>95</v>
      </c>
      <c r="C4" s="102"/>
      <c r="D4" s="102"/>
      <c r="E4" s="102"/>
      <c r="F4" s="102"/>
      <c r="G4" s="102"/>
      <c r="H4" s="128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5" customFormat="false" ht="15" hidden="false" customHeight="false" outlineLevel="0" collapsed="false"/>
    <row r="6" customFormat="false" ht="20.25" hidden="false" customHeight="true" outlineLevel="0" collapsed="false">
      <c r="A6" s="104"/>
      <c r="B6" s="105" t="s">
        <v>4</v>
      </c>
      <c r="C6" s="105"/>
      <c r="D6" s="105"/>
      <c r="E6" s="105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</v>
      </c>
      <c r="L6" s="105" t="s">
        <v>53</v>
      </c>
      <c r="M6" s="105" t="s">
        <v>54</v>
      </c>
      <c r="N6" s="105" t="s">
        <v>55</v>
      </c>
      <c r="O6" s="105" t="s">
        <v>56</v>
      </c>
      <c r="P6" s="105" t="s">
        <v>57</v>
      </c>
      <c r="Q6" s="105" t="s">
        <v>58</v>
      </c>
      <c r="R6" s="105" t="s">
        <v>11</v>
      </c>
      <c r="S6" s="141"/>
    </row>
    <row r="7" customFormat="false" ht="15" hidden="false" customHeight="true" outlineLevel="0" collapsed="false">
      <c r="O7" s="110"/>
    </row>
    <row r="8" customFormat="false" ht="15" hidden="false" customHeight="true" outlineLevel="0" collapsed="false">
      <c r="B8" s="107" t="s">
        <v>12</v>
      </c>
      <c r="C8" s="107"/>
      <c r="D8" s="107"/>
      <c r="E8" s="107"/>
      <c r="F8" s="108" t="n">
        <f aca="false">SUM(F9+F19+F26)</f>
        <v>64341</v>
      </c>
      <c r="G8" s="108" t="n">
        <f aca="false">SUM(G9+G19+G26)</f>
        <v>48709</v>
      </c>
      <c r="H8" s="108" t="n">
        <f aca="false">SUM(H9+H19+H26)</f>
        <v>58264</v>
      </c>
      <c r="I8" s="108" t="n">
        <f aca="false">SUM(I9+I19+I26)</f>
        <v>82784</v>
      </c>
      <c r="J8" s="108" t="n">
        <f aca="false">SUM(J9+J19+J26)</f>
        <v>68249</v>
      </c>
      <c r="K8" s="108" t="n">
        <f aca="false">SUM(K9+K19+K26)</f>
        <v>62036</v>
      </c>
      <c r="L8" s="108" t="n">
        <f aca="false">SUM(L9+L19+L26)</f>
        <v>65951</v>
      </c>
      <c r="M8" s="108" t="n">
        <f aca="false">SUM(M9+M19+M26)</f>
        <v>79818</v>
      </c>
      <c r="N8" s="108" t="n">
        <f aca="false">SUM(N9+N19+N26)</f>
        <v>59341</v>
      </c>
      <c r="O8" s="108" t="n">
        <f aca="false">SUM(O9+O19+O26)</f>
        <v>71670</v>
      </c>
      <c r="P8" s="108" t="n">
        <f aca="false">SUM(P9+P19+P26)</f>
        <v>72553</v>
      </c>
      <c r="Q8" s="108" t="n">
        <f aca="false">SUM(Q9+Q19+Q26)</f>
        <v>61993</v>
      </c>
      <c r="R8" s="108" t="n">
        <f aca="false">SUM(R9+R19+R26)</f>
        <v>795709</v>
      </c>
    </row>
    <row r="9" customFormat="false" ht="15" hidden="false" customHeight="true" outlineLevel="0" collapsed="false">
      <c r="C9" s="100" t="s">
        <v>13</v>
      </c>
      <c r="F9" s="109" t="n">
        <f aca="false">SUM(F10+F14+F17)</f>
        <v>53262</v>
      </c>
      <c r="G9" s="109" t="n">
        <f aca="false">SUM(G10+G14+G17)</f>
        <v>41612</v>
      </c>
      <c r="H9" s="109" t="n">
        <f aca="false">SUM(H10+H14+H17)</f>
        <v>48102</v>
      </c>
      <c r="I9" s="109" t="n">
        <f aca="false">SUM(I10+I14+I17)</f>
        <v>76004</v>
      </c>
      <c r="J9" s="109" t="n">
        <f aca="false">SUM(J10+J14+J17)</f>
        <v>61768</v>
      </c>
      <c r="K9" s="109" t="n">
        <f aca="false">SUM(K10+K14+K17)</f>
        <v>52064</v>
      </c>
      <c r="L9" s="109" t="n">
        <f aca="false">SUM(L10+L14+L17)</f>
        <v>52233</v>
      </c>
      <c r="M9" s="109" t="n">
        <f aca="false">SUM(M10+M14+M17)</f>
        <v>66830</v>
      </c>
      <c r="N9" s="109" t="n">
        <f aca="false">SUM(N10+N14+N17)</f>
        <v>50914</v>
      </c>
      <c r="O9" s="109" t="n">
        <f aca="false">SUM(O10+O14+O17)</f>
        <v>61972</v>
      </c>
      <c r="P9" s="109" t="n">
        <f aca="false">SUM(P10+P14+P17)</f>
        <v>64882</v>
      </c>
      <c r="Q9" s="109" t="n">
        <f aca="false">SUM(Q10+Q14+Q17)</f>
        <v>55522</v>
      </c>
      <c r="R9" s="109" t="n">
        <f aca="false">SUM(R10+R14+R17)</f>
        <v>685165</v>
      </c>
    </row>
    <row r="10" customFormat="false" ht="15" hidden="false" customHeight="true" outlineLevel="0" collapsed="false">
      <c r="D10" s="100" t="s">
        <v>14</v>
      </c>
      <c r="F10" s="110" t="n">
        <v>42025</v>
      </c>
      <c r="G10" s="110" t="n">
        <v>31669</v>
      </c>
      <c r="H10" s="110" t="n">
        <v>35985</v>
      </c>
      <c r="I10" s="110" t="n">
        <v>62935</v>
      </c>
      <c r="J10" s="110" t="n">
        <v>48807</v>
      </c>
      <c r="K10" s="110" t="n">
        <v>38581</v>
      </c>
      <c r="L10" s="110" t="n">
        <v>40773</v>
      </c>
      <c r="M10" s="110" t="n">
        <v>53915</v>
      </c>
      <c r="N10" s="110" t="n">
        <v>38239</v>
      </c>
      <c r="O10" s="110" t="n">
        <v>47496</v>
      </c>
      <c r="P10" s="110" t="n">
        <v>50953</v>
      </c>
      <c r="Q10" s="110" t="n">
        <v>43705</v>
      </c>
      <c r="R10" s="110" t="n">
        <f aca="false">SUM(F10:Q10)</f>
        <v>535083</v>
      </c>
    </row>
    <row r="11" customFormat="false" ht="1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" hidden="false" customHeight="true" outlineLevel="0" collapsed="false">
      <c r="E12" s="100" t="s">
        <v>16</v>
      </c>
      <c r="F12" s="110" t="n">
        <v>0</v>
      </c>
      <c r="G12" s="110" t="n">
        <v>0</v>
      </c>
      <c r="H12" s="110" t="n">
        <v>343</v>
      </c>
      <c r="I12" s="110" t="n">
        <v>210</v>
      </c>
      <c r="J12" s="110" t="n">
        <v>151</v>
      </c>
      <c r="K12" s="110" t="n">
        <v>162</v>
      </c>
      <c r="L12" s="110" t="n">
        <v>224</v>
      </c>
      <c r="M12" s="110" t="n">
        <v>1932</v>
      </c>
      <c r="N12" s="110" t="n">
        <v>2486</v>
      </c>
      <c r="O12" s="110" t="n">
        <v>590</v>
      </c>
      <c r="P12" s="110" t="n">
        <v>434</v>
      </c>
      <c r="Q12" s="110" t="n">
        <v>599</v>
      </c>
      <c r="R12" s="110" t="n">
        <f aca="false">SUM(F12:Q12)</f>
        <v>7131</v>
      </c>
    </row>
    <row r="13" customFormat="false" ht="15" hidden="false" customHeight="true" outlineLevel="0" collapsed="false">
      <c r="E13" s="100" t="s">
        <v>17</v>
      </c>
      <c r="F13" s="110" t="n">
        <v>0</v>
      </c>
      <c r="G13" s="110" t="n">
        <v>0</v>
      </c>
      <c r="H13" s="110" t="n">
        <v>0</v>
      </c>
      <c r="I13" s="110" t="n">
        <v>0</v>
      </c>
      <c r="J13" s="110" t="n">
        <v>0</v>
      </c>
      <c r="K13" s="110" t="n">
        <v>0</v>
      </c>
      <c r="L13" s="110" t="n">
        <v>0</v>
      </c>
      <c r="M13" s="110" t="n">
        <v>0</v>
      </c>
      <c r="N13" s="110" t="n">
        <v>0</v>
      </c>
      <c r="O13" s="110" t="n">
        <v>0</v>
      </c>
      <c r="P13" s="110" t="n">
        <v>0</v>
      </c>
      <c r="Q13" s="110" t="n">
        <v>483</v>
      </c>
      <c r="R13" s="110" t="n">
        <f aca="false">SUM(F13:Q13)</f>
        <v>483</v>
      </c>
      <c r="T13" s="110"/>
    </row>
    <row r="14" customFormat="false" ht="15" hidden="false" customHeight="true" outlineLevel="0" collapsed="false">
      <c r="D14" s="100" t="s">
        <v>18</v>
      </c>
      <c r="F14" s="110" t="n">
        <v>10567</v>
      </c>
      <c r="G14" s="110" t="n">
        <v>9216</v>
      </c>
      <c r="H14" s="110" t="n">
        <v>11383</v>
      </c>
      <c r="I14" s="110" t="n">
        <v>12428</v>
      </c>
      <c r="J14" s="110" t="n">
        <v>12237</v>
      </c>
      <c r="K14" s="110" t="n">
        <v>12603</v>
      </c>
      <c r="L14" s="110" t="n">
        <v>10677</v>
      </c>
      <c r="M14" s="110" t="n">
        <v>12098</v>
      </c>
      <c r="N14" s="110" t="n">
        <v>11910</v>
      </c>
      <c r="O14" s="110" t="n">
        <v>13627</v>
      </c>
      <c r="P14" s="110" t="n">
        <v>13642</v>
      </c>
      <c r="Q14" s="110" t="n">
        <v>11342</v>
      </c>
      <c r="R14" s="110" t="n">
        <f aca="false">SUM(F14:Q14)</f>
        <v>141730</v>
      </c>
    </row>
    <row r="15" customFormat="false" ht="1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0</v>
      </c>
      <c r="I16" s="110" t="n">
        <v>3711</v>
      </c>
      <c r="J16" s="110" t="n">
        <v>4</v>
      </c>
      <c r="K16" s="110" t="n">
        <v>46</v>
      </c>
      <c r="L16" s="110" t="n">
        <v>1</v>
      </c>
      <c r="M16" s="110" t="n">
        <v>5</v>
      </c>
      <c r="N16" s="110" t="n">
        <v>0</v>
      </c>
      <c r="O16" s="110" t="n">
        <v>35</v>
      </c>
      <c r="P16" s="110" t="n">
        <v>0</v>
      </c>
      <c r="Q16" s="110" t="n">
        <v>9034</v>
      </c>
      <c r="R16" s="110" t="n">
        <f aca="false">SUM(F16:Q16)</f>
        <v>12836</v>
      </c>
    </row>
    <row r="17" customFormat="false" ht="15" hidden="false" customHeight="true" outlineLevel="0" collapsed="false">
      <c r="D17" s="100" t="s">
        <v>105</v>
      </c>
      <c r="F17" s="110" t="n">
        <v>670</v>
      </c>
      <c r="G17" s="110" t="n">
        <v>727</v>
      </c>
      <c r="H17" s="110" t="n">
        <v>734</v>
      </c>
      <c r="I17" s="110" t="n">
        <v>641</v>
      </c>
      <c r="J17" s="110" t="n">
        <v>724</v>
      </c>
      <c r="K17" s="110" t="n">
        <v>880</v>
      </c>
      <c r="L17" s="110" t="n">
        <v>783</v>
      </c>
      <c r="M17" s="110" t="n">
        <v>817</v>
      </c>
      <c r="N17" s="110" t="n">
        <v>765</v>
      </c>
      <c r="O17" s="110" t="n">
        <v>849</v>
      </c>
      <c r="P17" s="110" t="n">
        <v>287</v>
      </c>
      <c r="Q17" s="110" t="n">
        <v>475</v>
      </c>
      <c r="R17" s="110" t="n">
        <f aca="false">SUM(F17:Q17)</f>
        <v>8352</v>
      </c>
    </row>
    <row r="18" customFormat="false" ht="1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U18" s="100" t="s">
        <v>59</v>
      </c>
    </row>
    <row r="19" customFormat="false" ht="15" hidden="false" customHeight="true" outlineLevel="0" collapsed="false">
      <c r="C19" s="100" t="s">
        <v>20</v>
      </c>
      <c r="F19" s="109" t="n">
        <f aca="false">SUM(F20:F24)</f>
        <v>11073</v>
      </c>
      <c r="G19" s="109" t="n">
        <f aca="false">SUM(G20:G24)</f>
        <v>7097</v>
      </c>
      <c r="H19" s="109" t="n">
        <f aca="false">SUM(H20:H24)</f>
        <v>10154</v>
      </c>
      <c r="I19" s="109" t="n">
        <f aca="false">SUM(I20:I24)</f>
        <v>6769</v>
      </c>
      <c r="J19" s="109" t="n">
        <f aca="false">SUM(J20:J24)</f>
        <v>6475</v>
      </c>
      <c r="K19" s="109" t="n">
        <f aca="false">SUM(K20:K24)</f>
        <v>9967</v>
      </c>
      <c r="L19" s="109" t="n">
        <f aca="false">SUM(L20:L24)</f>
        <v>13700</v>
      </c>
      <c r="M19" s="109" t="n">
        <f aca="false">SUM(M20:M24)</f>
        <v>12983</v>
      </c>
      <c r="N19" s="109" t="n">
        <f aca="false">SUM(N20:N24)</f>
        <v>8414</v>
      </c>
      <c r="O19" s="109" t="n">
        <f aca="false">SUM(O20:O24)</f>
        <v>9692</v>
      </c>
      <c r="P19" s="109" t="n">
        <f aca="false">SUM(P20:P24)</f>
        <v>7668</v>
      </c>
      <c r="Q19" s="109" t="n">
        <f aca="false">SUM(Q20:Q24)</f>
        <v>6464</v>
      </c>
      <c r="R19" s="109" t="n">
        <f aca="false">SUM(R20:R24)</f>
        <v>110456</v>
      </c>
    </row>
    <row r="20" customFormat="false" ht="15" hidden="false" customHeight="true" outlineLevel="0" collapsed="false">
      <c r="D20" s="100" t="s">
        <v>21</v>
      </c>
      <c r="F20" s="110" t="n">
        <v>9003</v>
      </c>
      <c r="G20" s="110" t="n">
        <v>3742</v>
      </c>
      <c r="H20" s="110" t="n">
        <v>6715</v>
      </c>
      <c r="I20" s="110" t="n">
        <v>4742</v>
      </c>
      <c r="J20" s="110" t="n">
        <v>4296</v>
      </c>
      <c r="K20" s="110" t="n">
        <v>7438</v>
      </c>
      <c r="L20" s="110" t="n">
        <v>7779</v>
      </c>
      <c r="M20" s="110" t="n">
        <v>4397</v>
      </c>
      <c r="N20" s="110" t="n">
        <v>5855</v>
      </c>
      <c r="O20" s="110" t="n">
        <v>5973</v>
      </c>
      <c r="P20" s="110" t="n">
        <v>6081</v>
      </c>
      <c r="Q20" s="110" t="n">
        <v>4576</v>
      </c>
      <c r="R20" s="110" t="n">
        <f aca="false">SUM(F20:Q20)</f>
        <v>70597</v>
      </c>
    </row>
    <row r="21" customFormat="false" ht="15" hidden="false" customHeight="true" outlineLevel="0" collapsed="false">
      <c r="D21" s="100" t="s">
        <v>112</v>
      </c>
      <c r="F21" s="110" t="n">
        <v>1645</v>
      </c>
      <c r="G21" s="110" t="n">
        <v>2346</v>
      </c>
      <c r="H21" s="110" t="n">
        <v>1512</v>
      </c>
      <c r="I21" s="110" t="n">
        <v>1583</v>
      </c>
      <c r="J21" s="110" t="n">
        <v>1458</v>
      </c>
      <c r="K21" s="110" t="n">
        <v>1634</v>
      </c>
      <c r="L21" s="110" t="n">
        <v>1409</v>
      </c>
      <c r="M21" s="110" t="n">
        <v>1270</v>
      </c>
      <c r="N21" s="110" t="n">
        <v>1643</v>
      </c>
      <c r="O21" s="110" t="n">
        <v>2287</v>
      </c>
      <c r="P21" s="110" t="n">
        <v>1289</v>
      </c>
      <c r="Q21" s="110" t="n">
        <v>1159</v>
      </c>
      <c r="R21" s="110" t="n">
        <f aca="false">SUM(F21:Q21)</f>
        <v>19235</v>
      </c>
      <c r="T21" s="110"/>
    </row>
    <row r="22" customFormat="false" ht="15" hidden="false" customHeight="true" outlineLevel="0" collapsed="false">
      <c r="D22" s="100" t="s">
        <v>24</v>
      </c>
      <c r="F22" s="110" t="n">
        <v>172.2</v>
      </c>
      <c r="G22" s="110" t="n">
        <v>66.696</v>
      </c>
      <c r="H22" s="110" t="n">
        <v>156.452</v>
      </c>
      <c r="I22" s="110" t="n">
        <v>226.855</v>
      </c>
      <c r="J22" s="110" t="n">
        <v>265.391</v>
      </c>
      <c r="K22" s="110" t="n">
        <v>205.396</v>
      </c>
      <c r="L22" s="110" t="n">
        <v>296.713</v>
      </c>
      <c r="M22" s="110" t="n">
        <v>180.222</v>
      </c>
      <c r="N22" s="110" t="n">
        <v>179.571</v>
      </c>
      <c r="O22" s="110" t="n">
        <v>313.175</v>
      </c>
      <c r="P22" s="110" t="n">
        <v>242.231</v>
      </c>
      <c r="Q22" s="110" t="n">
        <v>136.461</v>
      </c>
      <c r="R22" s="110" t="n">
        <f aca="false">SUM(F22:Q22)</f>
        <v>2441.363</v>
      </c>
    </row>
    <row r="23" customFormat="false" ht="15" hidden="false" customHeight="true" outlineLevel="0" collapsed="false">
      <c r="D23" s="100" t="s">
        <v>23</v>
      </c>
      <c r="F23" s="110" t="n">
        <v>1</v>
      </c>
      <c r="G23" s="110" t="n">
        <v>0</v>
      </c>
      <c r="H23" s="110" t="n">
        <v>45</v>
      </c>
      <c r="I23" s="110" t="n">
        <v>29</v>
      </c>
      <c r="J23" s="110" t="n">
        <v>0</v>
      </c>
      <c r="K23" s="110" t="n">
        <v>32</v>
      </c>
      <c r="L23" s="110" t="n">
        <v>88</v>
      </c>
      <c r="M23" s="110" t="n">
        <v>1998</v>
      </c>
      <c r="N23" s="110" t="n">
        <v>19</v>
      </c>
      <c r="O23" s="110" t="n">
        <v>7</v>
      </c>
      <c r="P23" s="110" t="n">
        <v>161</v>
      </c>
      <c r="Q23" s="110" t="n">
        <v>50</v>
      </c>
      <c r="R23" s="110" t="n">
        <f aca="false">SUM(F23:Q23)</f>
        <v>2430</v>
      </c>
    </row>
    <row r="24" customFormat="false" ht="15" hidden="false" customHeight="true" outlineLevel="0" collapsed="false">
      <c r="D24" s="100" t="s">
        <v>105</v>
      </c>
      <c r="F24" s="110" t="n">
        <f aca="false">2069-F21-F22</f>
        <v>251.8</v>
      </c>
      <c r="G24" s="110" t="n">
        <f aca="false">3355-G22-G21</f>
        <v>942.304</v>
      </c>
      <c r="H24" s="110" t="n">
        <f aca="false">3394-H22-H21</f>
        <v>1725.548</v>
      </c>
      <c r="I24" s="110" t="n">
        <f aca="false">1998-I22-I21</f>
        <v>188.145</v>
      </c>
      <c r="J24" s="110" t="n">
        <f aca="false">2179-J22-J21</f>
        <v>455.609</v>
      </c>
      <c r="K24" s="110" t="n">
        <f aca="false">2497-K22-K21</f>
        <v>657.604</v>
      </c>
      <c r="L24" s="110" t="n">
        <f aca="false">5833-L22-L21</f>
        <v>4127.287</v>
      </c>
      <c r="M24" s="110" t="n">
        <f aca="false">6588-M22-M21</f>
        <v>5137.778</v>
      </c>
      <c r="N24" s="110" t="n">
        <f aca="false">2540-N22-N21</f>
        <v>717.429</v>
      </c>
      <c r="O24" s="110" t="n">
        <f aca="false">3712-O22-O21</f>
        <v>1111.825</v>
      </c>
      <c r="P24" s="110" t="n">
        <f aca="false">1426-P22-P21</f>
        <v>-105.231</v>
      </c>
      <c r="Q24" s="110" t="n">
        <f aca="false">1838-Q22-Q21</f>
        <v>542.539</v>
      </c>
      <c r="R24" s="110" t="n">
        <f aca="false">SUM(F24:Q24)</f>
        <v>15752.637</v>
      </c>
    </row>
    <row r="25" customFormat="false" ht="1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" hidden="false" customHeight="true" outlineLevel="0" collapsed="false">
      <c r="C26" s="100" t="s">
        <v>26</v>
      </c>
      <c r="F26" s="110" t="n">
        <v>6</v>
      </c>
      <c r="G26" s="110" t="n">
        <v>0</v>
      </c>
      <c r="H26" s="110" t="n">
        <v>8</v>
      </c>
      <c r="I26" s="110" t="n">
        <v>11</v>
      </c>
      <c r="J26" s="110" t="n">
        <v>6</v>
      </c>
      <c r="K26" s="110" t="n">
        <v>5</v>
      </c>
      <c r="L26" s="110" t="n">
        <v>18</v>
      </c>
      <c r="M26" s="110" t="n">
        <v>5</v>
      </c>
      <c r="N26" s="110" t="n">
        <v>13</v>
      </c>
      <c r="O26" s="110" t="n">
        <v>6</v>
      </c>
      <c r="P26" s="110" t="n">
        <v>3</v>
      </c>
      <c r="Q26" s="110" t="n">
        <v>7</v>
      </c>
      <c r="R26" s="110" t="n">
        <v>88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80843</v>
      </c>
      <c r="G28" s="108" t="n">
        <f aca="false">SUM(G30:G36)</f>
        <v>72260</v>
      </c>
      <c r="H28" s="108" t="n">
        <f aca="false">SUM(H30:H36)</f>
        <v>81677</v>
      </c>
      <c r="I28" s="108" t="n">
        <f aca="false">SUM(I30:I36)</f>
        <v>79445</v>
      </c>
      <c r="J28" s="108" t="n">
        <f aca="false">SUM(J30:J36)</f>
        <v>75879</v>
      </c>
      <c r="K28" s="108" t="n">
        <f aca="false">SUM(K30:K36)</f>
        <v>61790</v>
      </c>
      <c r="L28" s="108" t="n">
        <f aca="false">SUM(L30:L36)</f>
        <v>81012</v>
      </c>
      <c r="M28" s="108" t="n">
        <f aca="false">SUM(M30:M36)</f>
        <v>78067</v>
      </c>
      <c r="N28" s="108" t="n">
        <f aca="false">SUM(N30:N36)</f>
        <v>86998</v>
      </c>
      <c r="O28" s="108" t="n">
        <f aca="false">SUM(O30:O36)</f>
        <v>78734</v>
      </c>
      <c r="P28" s="108" t="n">
        <f aca="false">SUM(P30:P36)</f>
        <v>79842</v>
      </c>
      <c r="Q28" s="108" t="n">
        <f aca="false">SUM(Q30:Q36)</f>
        <v>85940</v>
      </c>
      <c r="R28" s="108" t="n">
        <f aca="false">SUM(R30:R36)</f>
        <v>942487</v>
      </c>
    </row>
    <row r="29" customFormat="false" ht="9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D30" s="100" t="s">
        <v>28</v>
      </c>
      <c r="F30" s="110" t="n">
        <v>11724</v>
      </c>
      <c r="G30" s="110" t="n">
        <v>12221</v>
      </c>
      <c r="H30" s="110" t="n">
        <v>11984</v>
      </c>
      <c r="I30" s="110" t="n">
        <v>13907</v>
      </c>
      <c r="J30" s="110" t="n">
        <v>13900</v>
      </c>
      <c r="K30" s="110" t="n">
        <v>13982</v>
      </c>
      <c r="L30" s="110" t="n">
        <v>12934</v>
      </c>
      <c r="M30" s="110" t="n">
        <v>13169</v>
      </c>
      <c r="N30" s="110" t="n">
        <v>14986</v>
      </c>
      <c r="O30" s="110" t="n">
        <v>13051</v>
      </c>
      <c r="P30" s="110" t="n">
        <v>13943</v>
      </c>
      <c r="Q30" s="110" t="n">
        <v>14749</v>
      </c>
      <c r="R30" s="110" t="n">
        <f aca="false">SUM(F30:Q30)</f>
        <v>160550</v>
      </c>
    </row>
    <row r="31" customFormat="false" ht="15" hidden="false" customHeight="true" outlineLevel="0" collapsed="false">
      <c r="D31" s="100" t="s">
        <v>29</v>
      </c>
      <c r="F31" s="110" t="n">
        <v>31702</v>
      </c>
      <c r="G31" s="110" t="n">
        <v>25061</v>
      </c>
      <c r="H31" s="110" t="n">
        <v>28760</v>
      </c>
      <c r="I31" s="110" t="n">
        <v>26917</v>
      </c>
      <c r="J31" s="110" t="n">
        <v>18954</v>
      </c>
      <c r="K31" s="110" t="n">
        <v>11695</v>
      </c>
      <c r="L31" s="110" t="n">
        <v>31167</v>
      </c>
      <c r="M31" s="110" t="n">
        <v>29282</v>
      </c>
      <c r="N31" s="110" t="n">
        <v>31750</v>
      </c>
      <c r="O31" s="110" t="n">
        <v>31684</v>
      </c>
      <c r="P31" s="110" t="n">
        <v>19404</v>
      </c>
      <c r="Q31" s="110" t="n">
        <v>13431</v>
      </c>
      <c r="R31" s="110" t="n">
        <f aca="false">SUM(F31:Q31)</f>
        <v>299807</v>
      </c>
    </row>
    <row r="32" customFormat="false" ht="15" hidden="false" customHeight="true" outlineLevel="0" collapsed="false">
      <c r="D32" s="100" t="s">
        <v>30</v>
      </c>
      <c r="F32" s="110" t="n">
        <v>0</v>
      </c>
      <c r="G32" s="110" t="n">
        <v>0</v>
      </c>
      <c r="H32" s="110" t="n">
        <v>343</v>
      </c>
      <c r="I32" s="110" t="n">
        <v>3921</v>
      </c>
      <c r="J32" s="110" t="n">
        <v>155</v>
      </c>
      <c r="K32" s="110" t="n">
        <v>208</v>
      </c>
      <c r="L32" s="110" t="n">
        <v>225</v>
      </c>
      <c r="M32" s="110" t="n">
        <v>1937</v>
      </c>
      <c r="N32" s="110" t="n">
        <v>2486</v>
      </c>
      <c r="O32" s="110" t="n">
        <v>625</v>
      </c>
      <c r="P32" s="110" t="n">
        <v>434</v>
      </c>
      <c r="Q32" s="110" t="n">
        <v>10116</v>
      </c>
      <c r="R32" s="110" t="n">
        <f aca="false">SUM(F32:Q32)</f>
        <v>20450</v>
      </c>
    </row>
    <row r="33" customFormat="false" ht="15" hidden="false" customHeight="true" outlineLevel="0" collapsed="false">
      <c r="D33" s="100" t="s">
        <v>77</v>
      </c>
      <c r="F33" s="110" t="n">
        <v>191</v>
      </c>
      <c r="G33" s="110" t="n">
        <v>146</v>
      </c>
      <c r="H33" s="110" t="n">
        <v>153</v>
      </c>
      <c r="I33" s="110" t="n">
        <v>479</v>
      </c>
      <c r="J33" s="110" t="n">
        <v>907</v>
      </c>
      <c r="K33" s="110" t="n">
        <v>38</v>
      </c>
      <c r="L33" s="110" t="n">
        <v>1383</v>
      </c>
      <c r="M33" s="110" t="n">
        <v>1434</v>
      </c>
      <c r="N33" s="110" t="n">
        <v>2949</v>
      </c>
      <c r="O33" s="110" t="n">
        <v>540</v>
      </c>
      <c r="P33" s="110" t="n">
        <v>649</v>
      </c>
      <c r="Q33" s="110" t="n">
        <v>3368</v>
      </c>
      <c r="R33" s="110" t="n">
        <f aca="false">SUM(F33:Q33)</f>
        <v>12237</v>
      </c>
    </row>
    <row r="34" customFormat="false" ht="15" hidden="false" customHeight="true" outlineLevel="0" collapsed="false">
      <c r="D34" s="100" t="s">
        <v>32</v>
      </c>
      <c r="F34" s="110" t="n">
        <v>0</v>
      </c>
      <c r="G34" s="110" t="n">
        <v>0</v>
      </c>
      <c r="H34" s="110" t="n">
        <v>0</v>
      </c>
      <c r="I34" s="110" t="n">
        <v>0</v>
      </c>
      <c r="J34" s="110" t="n">
        <v>50</v>
      </c>
      <c r="K34" s="110" t="n">
        <v>0</v>
      </c>
      <c r="L34" s="110" t="n">
        <v>10</v>
      </c>
      <c r="M34" s="110" t="n">
        <v>70</v>
      </c>
      <c r="N34" s="110" t="n">
        <v>60</v>
      </c>
      <c r="O34" s="110" t="n">
        <v>0</v>
      </c>
      <c r="P34" s="110" t="n">
        <v>0</v>
      </c>
      <c r="Q34" s="110" t="n">
        <v>0</v>
      </c>
      <c r="R34" s="110" t="n">
        <f aca="false">SUM(F34:Q34)</f>
        <v>190</v>
      </c>
    </row>
    <row r="35" customFormat="false" ht="15" hidden="false" customHeight="true" outlineLevel="0" collapsed="false">
      <c r="D35" s="100" t="s">
        <v>78</v>
      </c>
      <c r="F35" s="110" t="n">
        <v>1083</v>
      </c>
      <c r="G35" s="110" t="n">
        <v>547</v>
      </c>
      <c r="H35" s="110" t="n">
        <v>2768</v>
      </c>
      <c r="I35" s="110" t="n">
        <v>-56</v>
      </c>
      <c r="J35" s="110" t="n">
        <v>-2492</v>
      </c>
      <c r="K35" s="110" t="n">
        <v>345</v>
      </c>
      <c r="L35" s="110" t="n">
        <v>1097</v>
      </c>
      <c r="M35" s="110" t="n">
        <v>604</v>
      </c>
      <c r="N35" s="110" t="n">
        <v>-53</v>
      </c>
      <c r="O35" s="110" t="n">
        <v>-3802</v>
      </c>
      <c r="P35" s="110" t="n">
        <v>3583</v>
      </c>
      <c r="Q35" s="110" t="n">
        <v>-1917</v>
      </c>
      <c r="R35" s="110" t="n">
        <f aca="false">SUM(F35:Q35)</f>
        <v>1707</v>
      </c>
    </row>
    <row r="36" customFormat="false" ht="15" hidden="false" customHeight="true" outlineLevel="0" collapsed="false">
      <c r="D36" s="1" t="s">
        <v>79</v>
      </c>
      <c r="F36" s="110" t="n">
        <f aca="false">34090+2053-F32</f>
        <v>36143</v>
      </c>
      <c r="G36" s="110" t="n">
        <f aca="false">27712+6573-G32</f>
        <v>34285</v>
      </c>
      <c r="H36" s="110" t="n">
        <f aca="false">29748+8264-H32</f>
        <v>37669</v>
      </c>
      <c r="I36" s="110" t="n">
        <f aca="false">33154+5044-I32</f>
        <v>34277</v>
      </c>
      <c r="J36" s="110" t="n">
        <f aca="false">40545+4015-J32</f>
        <v>44405</v>
      </c>
      <c r="K36" s="110" t="n">
        <f aca="false">32352+3378-K32</f>
        <v>35522</v>
      </c>
      <c r="L36" s="110" t="n">
        <f aca="false">30135+4286-L32</f>
        <v>34196</v>
      </c>
      <c r="M36" s="110" t="n">
        <f aca="false">30320+3188-M32</f>
        <v>31571</v>
      </c>
      <c r="N36" s="110" t="n">
        <f aca="false">31930+5376-N32</f>
        <v>34820</v>
      </c>
      <c r="O36" s="110" t="n">
        <f aca="false">32635+4626-O32</f>
        <v>36636</v>
      </c>
      <c r="P36" s="110" t="n">
        <f aca="false">38303+3960-P32</f>
        <v>41829</v>
      </c>
      <c r="Q36" s="110" t="n">
        <f aca="false">49068+7241-Q32</f>
        <v>46193</v>
      </c>
      <c r="R36" s="110" t="n">
        <f aca="false">SUM(F36:Q36)</f>
        <v>447546</v>
      </c>
      <c r="T36" s="110"/>
    </row>
    <row r="37" customFormat="false" ht="15" hidden="false" customHeight="true" outlineLevel="0" collapsed="false"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T37" s="110"/>
    </row>
    <row r="38" customFormat="false" ht="1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-16502</v>
      </c>
      <c r="G38" s="112" t="n">
        <f aca="false">+G8-G28</f>
        <v>-23551</v>
      </c>
      <c r="H38" s="112" t="n">
        <f aca="false">+H8-H28</f>
        <v>-23413</v>
      </c>
      <c r="I38" s="112" t="n">
        <f aca="false">+I8-I28</f>
        <v>3339</v>
      </c>
      <c r="J38" s="112" t="n">
        <f aca="false">+J8-J28</f>
        <v>-7630</v>
      </c>
      <c r="K38" s="112" t="n">
        <f aca="false">+K8-K28</f>
        <v>246</v>
      </c>
      <c r="L38" s="112" t="n">
        <f aca="false">+L8-L28</f>
        <v>-15061</v>
      </c>
      <c r="M38" s="112" t="n">
        <f aca="false">+M8-M28</f>
        <v>1751</v>
      </c>
      <c r="N38" s="112" t="n">
        <f aca="false">+N8-N28</f>
        <v>-27657</v>
      </c>
      <c r="O38" s="112" t="n">
        <f aca="false">+O8-O28</f>
        <v>-7064</v>
      </c>
      <c r="P38" s="112" t="n">
        <f aca="false">+P8-P28</f>
        <v>-7289</v>
      </c>
      <c r="Q38" s="112" t="n">
        <f aca="false">+Q8-Q28</f>
        <v>-23947</v>
      </c>
      <c r="R38" s="112" t="n">
        <f aca="false">+R8-R28</f>
        <v>-146778</v>
      </c>
    </row>
    <row r="39" customFormat="false" ht="1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" hidden="false" customHeight="true" outlineLevel="0" collapsed="false">
      <c r="B40" s="107" t="s">
        <v>36</v>
      </c>
      <c r="C40" s="107"/>
      <c r="D40" s="107"/>
      <c r="E40" s="107"/>
      <c r="F40" s="108" t="n">
        <v>27764</v>
      </c>
      <c r="G40" s="108" t="n">
        <v>87544</v>
      </c>
      <c r="H40" s="108" t="n">
        <v>3325</v>
      </c>
      <c r="I40" s="108" t="n">
        <v>341</v>
      </c>
      <c r="J40" s="108" t="n">
        <v>51960</v>
      </c>
      <c r="K40" s="108" t="n">
        <v>-17737</v>
      </c>
      <c r="L40" s="108" t="n">
        <v>28239</v>
      </c>
      <c r="M40" s="108" t="n">
        <v>-14746</v>
      </c>
      <c r="N40" s="108" t="n">
        <v>90887</v>
      </c>
      <c r="O40" s="108" t="n">
        <v>-14606</v>
      </c>
      <c r="P40" s="108" t="n">
        <v>-5819</v>
      </c>
      <c r="Q40" s="108" t="n">
        <v>-1160</v>
      </c>
      <c r="R40" s="108" t="n">
        <v>235992</v>
      </c>
    </row>
    <row r="41" customFormat="false" ht="15" hidden="false" customHeight="true" outlineLevel="0" collapsed="false">
      <c r="C41" s="100" t="s">
        <v>37</v>
      </c>
      <c r="F41" s="109" t="n">
        <v>-503</v>
      </c>
      <c r="G41" s="109" t="n">
        <v>69570</v>
      </c>
      <c r="H41" s="109" t="n">
        <v>-1933</v>
      </c>
      <c r="I41" s="109" t="n">
        <v>576</v>
      </c>
      <c r="J41" s="109" t="n">
        <v>35392</v>
      </c>
      <c r="K41" s="109" t="n">
        <v>-5666</v>
      </c>
      <c r="L41" s="109" t="n">
        <v>-3941</v>
      </c>
      <c r="M41" s="109" t="n">
        <v>-24068</v>
      </c>
      <c r="N41" s="109" t="n">
        <v>42239</v>
      </c>
      <c r="O41" s="109" t="n">
        <v>-16395</v>
      </c>
      <c r="P41" s="109" t="n">
        <v>-4529</v>
      </c>
      <c r="Q41" s="109" t="n">
        <v>1923</v>
      </c>
      <c r="R41" s="109" t="n">
        <v>92665</v>
      </c>
    </row>
    <row r="42" customFormat="false" ht="15" hidden="false" customHeight="true" outlineLevel="0" collapsed="false">
      <c r="D42" s="100" t="s">
        <v>38</v>
      </c>
      <c r="F42" s="110" t="n">
        <v>5972</v>
      </c>
      <c r="G42" s="110" t="n">
        <v>85198</v>
      </c>
      <c r="H42" s="110" t="n">
        <v>3262</v>
      </c>
      <c r="I42" s="110" t="n">
        <v>3583</v>
      </c>
      <c r="J42" s="110" t="n">
        <v>42556</v>
      </c>
      <c r="K42" s="110" t="n">
        <v>1309</v>
      </c>
      <c r="L42" s="110" t="n">
        <v>1873</v>
      </c>
      <c r="M42" s="110" t="n">
        <v>1491</v>
      </c>
      <c r="N42" s="110" t="n">
        <v>58836</v>
      </c>
      <c r="O42" s="110" t="n">
        <v>3714</v>
      </c>
      <c r="P42" s="110" t="n">
        <v>2115</v>
      </c>
      <c r="Q42" s="110" t="n">
        <v>8408</v>
      </c>
      <c r="R42" s="110" t="n">
        <v>218317</v>
      </c>
    </row>
    <row r="43" customFormat="false" ht="15" hidden="false" customHeight="true" outlineLevel="0" collapsed="false">
      <c r="D43" s="100" t="s">
        <v>97</v>
      </c>
      <c r="F43" s="110" t="n">
        <v>6475</v>
      </c>
      <c r="G43" s="110" t="n">
        <v>15628</v>
      </c>
      <c r="H43" s="110" t="n">
        <v>5195</v>
      </c>
      <c r="I43" s="110" t="n">
        <v>3007</v>
      </c>
      <c r="J43" s="110" t="n">
        <v>7164</v>
      </c>
      <c r="K43" s="110" t="n">
        <v>6975</v>
      </c>
      <c r="L43" s="110" t="n">
        <v>5814</v>
      </c>
      <c r="M43" s="110" t="n">
        <v>25559</v>
      </c>
      <c r="N43" s="110" t="n">
        <v>16597</v>
      </c>
      <c r="O43" s="110" t="n">
        <v>20109</v>
      </c>
      <c r="P43" s="110" t="n">
        <v>6644</v>
      </c>
      <c r="Q43" s="110" t="n">
        <v>6485</v>
      </c>
      <c r="R43" s="110" t="n">
        <v>125652</v>
      </c>
    </row>
    <row r="44" customFormat="false" ht="1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" hidden="false" customHeight="true" outlineLevel="0" collapsed="false">
      <c r="C45" s="100" t="s">
        <v>40</v>
      </c>
      <c r="F45" s="109" t="n">
        <v>28267</v>
      </c>
      <c r="G45" s="109" t="n">
        <v>17974</v>
      </c>
      <c r="H45" s="109" t="n">
        <v>5258</v>
      </c>
      <c r="I45" s="109" t="n">
        <v>-235</v>
      </c>
      <c r="J45" s="109" t="n">
        <v>16568</v>
      </c>
      <c r="K45" s="109" t="n">
        <v>-12071</v>
      </c>
      <c r="L45" s="109" t="n">
        <v>32180</v>
      </c>
      <c r="M45" s="109" t="n">
        <v>9322</v>
      </c>
      <c r="N45" s="109" t="n">
        <v>48648</v>
      </c>
      <c r="O45" s="109" t="n">
        <v>1789</v>
      </c>
      <c r="P45" s="109" t="n">
        <v>-1290</v>
      </c>
      <c r="Q45" s="109" t="n">
        <v>-3083</v>
      </c>
      <c r="R45" s="109" t="n">
        <v>143327</v>
      </c>
    </row>
    <row r="46" customFormat="false" ht="15" hidden="false" customHeight="true" outlineLevel="0" collapsed="false">
      <c r="D46" s="100" t="s">
        <v>41</v>
      </c>
      <c r="F46" s="110" t="n">
        <v>45518</v>
      </c>
      <c r="G46" s="110" t="n">
        <v>25167</v>
      </c>
      <c r="H46" s="110" t="n">
        <v>16307</v>
      </c>
      <c r="I46" s="110" t="n">
        <v>21923</v>
      </c>
      <c r="J46" s="110" t="n">
        <v>38729</v>
      </c>
      <c r="K46" s="110" t="n">
        <v>7007</v>
      </c>
      <c r="L46" s="110" t="n">
        <v>82695</v>
      </c>
      <c r="M46" s="110" t="n">
        <v>20215</v>
      </c>
      <c r="N46" s="110" t="n">
        <v>78544</v>
      </c>
      <c r="O46" s="110" t="n">
        <v>34307</v>
      </c>
      <c r="P46" s="110" t="n">
        <v>14893</v>
      </c>
      <c r="Q46" s="110" t="n">
        <v>11514</v>
      </c>
      <c r="R46" s="110" t="n">
        <v>396819</v>
      </c>
    </row>
    <row r="47" customFormat="false" ht="15" hidden="false" customHeight="true" outlineLevel="0" collapsed="false">
      <c r="D47" s="100" t="s">
        <v>97</v>
      </c>
      <c r="F47" s="110" t="n">
        <v>17251</v>
      </c>
      <c r="G47" s="110" t="n">
        <v>7193</v>
      </c>
      <c r="H47" s="110" t="n">
        <v>11049</v>
      </c>
      <c r="I47" s="110" t="n">
        <v>22158</v>
      </c>
      <c r="J47" s="110" t="n">
        <v>22161</v>
      </c>
      <c r="K47" s="110" t="n">
        <v>19078</v>
      </c>
      <c r="L47" s="110" t="n">
        <v>50515</v>
      </c>
      <c r="M47" s="110" t="n">
        <v>10893</v>
      </c>
      <c r="N47" s="110" t="n">
        <v>29896</v>
      </c>
      <c r="O47" s="110" t="n">
        <v>32518</v>
      </c>
      <c r="P47" s="110" t="n">
        <v>16183</v>
      </c>
      <c r="Q47" s="110" t="n">
        <v>14597</v>
      </c>
      <c r="R47" s="110" t="n">
        <v>253492</v>
      </c>
    </row>
    <row r="48" customFormat="false" ht="1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customFormat="false" ht="15" hidden="false" customHeight="true" outlineLevel="0" collapsed="false">
      <c r="B49" s="107" t="s">
        <v>45</v>
      </c>
      <c r="C49" s="107"/>
      <c r="D49" s="107"/>
      <c r="E49" s="107"/>
      <c r="F49" s="108" t="n">
        <v>1870</v>
      </c>
      <c r="G49" s="108" t="n">
        <v>66186</v>
      </c>
      <c r="H49" s="108" t="n">
        <v>5271</v>
      </c>
      <c r="I49" s="108" t="n">
        <v>12106</v>
      </c>
      <c r="J49" s="108" t="n">
        <v>575</v>
      </c>
      <c r="K49" s="108" t="n">
        <v>15805</v>
      </c>
      <c r="L49" s="108" t="n">
        <v>-10679</v>
      </c>
      <c r="M49" s="108" t="n">
        <v>-31273</v>
      </c>
      <c r="N49" s="108" t="n">
        <v>48394</v>
      </c>
      <c r="O49" s="108" t="n">
        <v>-34159</v>
      </c>
      <c r="P49" s="108" t="n">
        <v>-22263</v>
      </c>
      <c r="Q49" s="108" t="n">
        <v>-29504</v>
      </c>
      <c r="R49" s="108" t="n">
        <v>22329</v>
      </c>
    </row>
    <row r="50" customFormat="false" ht="14.25" hidden="false" customHeight="fals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4.25" hidden="false" customHeight="false" outlineLevel="0" collapsed="false">
      <c r="F51" s="110"/>
      <c r="G51" s="110"/>
      <c r="H51" s="110"/>
      <c r="I51" s="110"/>
    </row>
    <row r="52" customFormat="false" ht="15" hidden="false" customHeight="false" outlineLevel="0" collapsed="false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customFormat="false" ht="15" hidden="false" customHeight="false" outlineLevel="0" collapsed="false">
      <c r="B53" s="103" t="s">
        <v>46</v>
      </c>
    </row>
    <row r="54" customFormat="false" ht="14.25" hidden="false" customHeight="false" outlineLevel="0" collapsed="false">
      <c r="B54" s="103"/>
      <c r="C54" s="31" t="s">
        <v>98</v>
      </c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10"/>
    </row>
    <row r="55" customFormat="false" ht="14.25" hidden="false" customHeight="false" outlineLevel="0" collapsed="false">
      <c r="B55" s="31"/>
      <c r="C55" s="31" t="s">
        <v>99</v>
      </c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10"/>
    </row>
    <row r="57" customFormat="false" ht="14.25" hidden="false" customHeight="false" outlineLevel="0" collapsed="false">
      <c r="R57" s="110"/>
    </row>
    <row r="58" customFormat="false" ht="14.25" hidden="false" customHeight="false" outlineLevel="0" collapsed="false">
      <c r="B58" s="31" t="s">
        <v>51</v>
      </c>
    </row>
    <row r="59" customFormat="false" ht="14.25" hidden="false" customHeight="false" outlineLevel="0" collapsed="false">
      <c r="B59" s="31" t="s">
        <v>106</v>
      </c>
    </row>
  </sheetData>
  <mergeCells count="1">
    <mergeCell ref="B6:E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F29" activeCellId="0" sqref="F29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33.42"/>
    <col collapsed="false" customWidth="true" hidden="false" outlineLevel="0" max="8" min="6" style="100" width="8.71"/>
    <col collapsed="false" customWidth="true" hidden="false" outlineLevel="0" max="11" min="9" style="100" width="8"/>
    <col collapsed="false" customWidth="true" hidden="false" outlineLevel="0" max="13" min="12" style="100" width="8.71"/>
    <col collapsed="false" customWidth="false" hidden="false" outlineLevel="0" max="14" min="14" style="100" width="9.14"/>
    <col collapsed="false" customWidth="true" hidden="false" outlineLevel="0" max="17" min="15" style="100" width="8.71"/>
    <col collapsed="false" customWidth="true" hidden="false" outlineLevel="0" max="18" min="18" style="100" width="9.85"/>
    <col collapsed="false" customWidth="true" hidden="false" outlineLevel="0" max="19" min="19" style="100" width="0.71"/>
    <col collapsed="false" customWidth="false" hidden="false" outlineLevel="0" max="1024" min="20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130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5" customFormat="false" ht="14.25" hidden="false" customHeight="false" outlineLevel="0" collapsed="false">
      <c r="A5" s="117" t="s">
        <v>3</v>
      </c>
      <c r="B5" s="102"/>
    </row>
    <row r="6" customFormat="false" ht="6" hidden="false" customHeight="true" outlineLevel="0" collapsed="false"/>
    <row r="7" customFormat="false" ht="22.5" hidden="false" customHeight="true" outlineLevel="0" collapsed="false">
      <c r="A7" s="104"/>
      <c r="B7" s="105" t="s">
        <v>4</v>
      </c>
      <c r="C7" s="105"/>
      <c r="D7" s="105"/>
      <c r="E7" s="105"/>
      <c r="F7" s="105" t="s">
        <v>5</v>
      </c>
      <c r="G7" s="105" t="s">
        <v>6</v>
      </c>
      <c r="H7" s="105" t="s">
        <v>7</v>
      </c>
      <c r="I7" s="105" t="s">
        <v>8</v>
      </c>
      <c r="J7" s="105" t="s">
        <v>9</v>
      </c>
      <c r="K7" s="105" t="s">
        <v>10</v>
      </c>
      <c r="L7" s="105" t="s">
        <v>53</v>
      </c>
      <c r="M7" s="105" t="s">
        <v>54</v>
      </c>
      <c r="N7" s="105" t="s">
        <v>64</v>
      </c>
      <c r="O7" s="105" t="s">
        <v>56</v>
      </c>
      <c r="P7" s="105" t="s">
        <v>57</v>
      </c>
      <c r="Q7" s="105" t="s">
        <v>58</v>
      </c>
      <c r="R7" s="105" t="s">
        <v>11</v>
      </c>
      <c r="S7" s="140"/>
    </row>
    <row r="8" customFormat="false" ht="15" hidden="false" customHeight="true" outlineLevel="0" collapsed="false">
      <c r="O8" s="110"/>
    </row>
    <row r="9" customFormat="false" ht="15" hidden="false" customHeight="true" outlineLevel="0" collapsed="false">
      <c r="B9" s="107" t="s">
        <v>12</v>
      </c>
      <c r="C9" s="107"/>
      <c r="D9" s="107"/>
      <c r="E9" s="107"/>
      <c r="F9" s="108" t="n">
        <f aca="false">SUM(F10+F20+F27)</f>
        <v>64341</v>
      </c>
      <c r="G9" s="108" t="n">
        <f aca="false">SUM(G10+G20+G27)</f>
        <v>48709</v>
      </c>
      <c r="H9" s="108" t="n">
        <f aca="false">SUM(H10+H20+H27)</f>
        <v>58264</v>
      </c>
      <c r="I9" s="108" t="n">
        <f aca="false">SUM(I10+I20+I27)</f>
        <v>82784</v>
      </c>
      <c r="J9" s="108" t="n">
        <f aca="false">SUM(J10+J20+J27)</f>
        <v>68249</v>
      </c>
      <c r="K9" s="108" t="n">
        <f aca="false">SUM(K10+K20+K27)</f>
        <v>62036</v>
      </c>
      <c r="L9" s="108" t="n">
        <f aca="false">SUM(L10+L20+L27)</f>
        <v>65951</v>
      </c>
      <c r="M9" s="108" t="n">
        <f aca="false">SUM(M10+M20+M27)</f>
        <v>79818</v>
      </c>
      <c r="N9" s="108" t="n">
        <f aca="false">SUM(N10+N20+N27)</f>
        <v>59341</v>
      </c>
      <c r="O9" s="108" t="n">
        <f aca="false">SUM(O10+O20+O27)</f>
        <v>71670</v>
      </c>
      <c r="P9" s="108" t="n">
        <f aca="false">SUM(P10+P20+P27)</f>
        <v>72553</v>
      </c>
      <c r="Q9" s="108" t="n">
        <f aca="false">SUM(Q10+Q20+Q27)</f>
        <v>61993</v>
      </c>
      <c r="R9" s="108" t="n">
        <f aca="false">SUM(F9:Q9)</f>
        <v>795709</v>
      </c>
    </row>
    <row r="10" customFormat="false" ht="15" hidden="false" customHeight="true" outlineLevel="0" collapsed="false">
      <c r="C10" s="100" t="s">
        <v>13</v>
      </c>
      <c r="F10" s="109" t="n">
        <f aca="false">SUM(F11+F15+F18)</f>
        <v>53262</v>
      </c>
      <c r="G10" s="109" t="n">
        <f aca="false">SUM(G11+G15+G18)</f>
        <v>41612</v>
      </c>
      <c r="H10" s="109" t="n">
        <f aca="false">SUM(H11+H15+H18)</f>
        <v>48102</v>
      </c>
      <c r="I10" s="109" t="n">
        <f aca="false">SUM(I11+I15+I18)</f>
        <v>76004</v>
      </c>
      <c r="J10" s="109" t="n">
        <f aca="false">SUM(J11+J15+J18)</f>
        <v>61768</v>
      </c>
      <c r="K10" s="109" t="n">
        <f aca="false">SUM(K11+K15+K18)</f>
        <v>52064</v>
      </c>
      <c r="L10" s="109" t="n">
        <f aca="false">SUM(L11+L15+L18)</f>
        <v>52233</v>
      </c>
      <c r="M10" s="109" t="n">
        <f aca="false">SUM(M11+M15+M18)</f>
        <v>66830</v>
      </c>
      <c r="N10" s="109" t="n">
        <f aca="false">SUM(N11+N15+N18)</f>
        <v>50914</v>
      </c>
      <c r="O10" s="109" t="n">
        <f aca="false">SUM(O11+O15+O18)</f>
        <v>61972</v>
      </c>
      <c r="P10" s="109" t="n">
        <f aca="false">SUM(P11+P15+P18)</f>
        <v>64882</v>
      </c>
      <c r="Q10" s="109" t="n">
        <f aca="false">SUM(Q11+Q15+Q18)</f>
        <v>55522</v>
      </c>
      <c r="R10" s="109" t="n">
        <f aca="false">SUM(F10:Q10)</f>
        <v>685165</v>
      </c>
    </row>
    <row r="11" customFormat="false" ht="15" hidden="false" customHeight="true" outlineLevel="0" collapsed="false">
      <c r="D11" s="100" t="s">
        <v>14</v>
      </c>
      <c r="F11" s="110" t="n">
        <v>42025</v>
      </c>
      <c r="G11" s="110" t="n">
        <v>31669</v>
      </c>
      <c r="H11" s="110" t="n">
        <v>35985</v>
      </c>
      <c r="I11" s="110" t="n">
        <v>62935</v>
      </c>
      <c r="J11" s="110" t="n">
        <v>48807</v>
      </c>
      <c r="K11" s="110" t="n">
        <v>38581</v>
      </c>
      <c r="L11" s="110" t="n">
        <v>40773</v>
      </c>
      <c r="M11" s="110" t="n">
        <v>53915</v>
      </c>
      <c r="N11" s="110" t="n">
        <v>38239</v>
      </c>
      <c r="O11" s="110" t="n">
        <v>47496</v>
      </c>
      <c r="P11" s="110" t="n">
        <v>50953</v>
      </c>
      <c r="Q11" s="110" t="n">
        <v>43705</v>
      </c>
      <c r="R11" s="110" t="n">
        <f aca="false">SUM(F11:Q11)</f>
        <v>535083</v>
      </c>
    </row>
    <row r="12" customFormat="false" ht="15" hidden="false" customHeight="true" outlineLevel="0" collapsed="false">
      <c r="E12" s="31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</row>
    <row r="13" customFormat="false" ht="15" hidden="false" customHeight="true" outlineLevel="0" collapsed="false">
      <c r="E13" s="100" t="s">
        <v>16</v>
      </c>
      <c r="F13" s="110" t="n">
        <v>0</v>
      </c>
      <c r="G13" s="110" t="n">
        <v>0</v>
      </c>
      <c r="H13" s="110" t="n">
        <v>343</v>
      </c>
      <c r="I13" s="110" t="n">
        <v>210</v>
      </c>
      <c r="J13" s="110" t="n">
        <v>151</v>
      </c>
      <c r="K13" s="110" t="n">
        <v>162</v>
      </c>
      <c r="L13" s="110" t="n">
        <v>224</v>
      </c>
      <c r="M13" s="110" t="n">
        <v>1932</v>
      </c>
      <c r="N13" s="110" t="n">
        <v>2486</v>
      </c>
      <c r="O13" s="110" t="n">
        <v>590</v>
      </c>
      <c r="P13" s="110" t="n">
        <v>434</v>
      </c>
      <c r="Q13" s="110" t="n">
        <v>599</v>
      </c>
      <c r="R13" s="110" t="n">
        <f aca="false">SUM(F13:Q13)</f>
        <v>7131</v>
      </c>
    </row>
    <row r="14" customFormat="false" ht="15" hidden="false" customHeight="true" outlineLevel="0" collapsed="false">
      <c r="E14" s="100" t="s">
        <v>17</v>
      </c>
      <c r="F14" s="110" t="n">
        <v>0</v>
      </c>
      <c r="G14" s="110" t="n">
        <v>0</v>
      </c>
      <c r="H14" s="110" t="n">
        <v>0</v>
      </c>
      <c r="I14" s="110" t="n">
        <v>0</v>
      </c>
      <c r="J14" s="110" t="n">
        <v>0</v>
      </c>
      <c r="K14" s="110" t="n">
        <v>0</v>
      </c>
      <c r="L14" s="110" t="n">
        <v>0</v>
      </c>
      <c r="M14" s="110" t="n">
        <v>0</v>
      </c>
      <c r="N14" s="110" t="n">
        <v>0</v>
      </c>
      <c r="O14" s="110" t="n">
        <v>0</v>
      </c>
      <c r="P14" s="110" t="n">
        <v>0</v>
      </c>
      <c r="Q14" s="110" t="n">
        <v>483</v>
      </c>
      <c r="R14" s="110" t="n">
        <f aca="false">SUM(F14:Q14)</f>
        <v>483</v>
      </c>
      <c r="T14" s="110"/>
    </row>
    <row r="15" customFormat="false" ht="15" hidden="false" customHeight="true" outlineLevel="0" collapsed="false">
      <c r="D15" s="100" t="s">
        <v>18</v>
      </c>
      <c r="F15" s="110" t="n">
        <v>10567</v>
      </c>
      <c r="G15" s="110" t="n">
        <v>9216</v>
      </c>
      <c r="H15" s="110" t="n">
        <v>11383</v>
      </c>
      <c r="I15" s="110" t="n">
        <v>12428</v>
      </c>
      <c r="J15" s="110" t="n">
        <v>12237</v>
      </c>
      <c r="K15" s="110" t="n">
        <v>12603</v>
      </c>
      <c r="L15" s="110" t="n">
        <v>10677</v>
      </c>
      <c r="M15" s="110" t="n">
        <v>12098</v>
      </c>
      <c r="N15" s="110" t="n">
        <v>11910</v>
      </c>
      <c r="O15" s="110" t="n">
        <v>13627</v>
      </c>
      <c r="P15" s="110" t="n">
        <v>13642</v>
      </c>
      <c r="Q15" s="110" t="n">
        <v>11342</v>
      </c>
      <c r="R15" s="110" t="n">
        <f aca="false">SUM(F15:Q15)</f>
        <v>141730</v>
      </c>
    </row>
    <row r="16" customFormat="false" ht="15" hidden="false" customHeight="true" outlineLevel="0" collapsed="false">
      <c r="E16" s="31" t="s">
        <v>15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</row>
    <row r="17" customFormat="false" ht="15" hidden="false" customHeight="true" outlineLevel="0" collapsed="false">
      <c r="E17" s="100" t="s">
        <v>17</v>
      </c>
      <c r="F17" s="110" t="n">
        <v>0</v>
      </c>
      <c r="G17" s="110" t="n">
        <v>0</v>
      </c>
      <c r="H17" s="110" t="n">
        <v>0</v>
      </c>
      <c r="I17" s="110" t="n">
        <v>3711</v>
      </c>
      <c r="J17" s="110" t="n">
        <v>4</v>
      </c>
      <c r="K17" s="110" t="n">
        <v>46</v>
      </c>
      <c r="L17" s="110" t="n">
        <v>1</v>
      </c>
      <c r="M17" s="110" t="n">
        <v>5</v>
      </c>
      <c r="N17" s="110" t="n">
        <v>0</v>
      </c>
      <c r="O17" s="110" t="n">
        <v>35</v>
      </c>
      <c r="P17" s="110" t="n">
        <v>0</v>
      </c>
      <c r="Q17" s="110" t="n">
        <v>9034</v>
      </c>
      <c r="R17" s="110" t="n">
        <f aca="false">SUM(F17:Q17)</f>
        <v>12836</v>
      </c>
    </row>
    <row r="18" customFormat="false" ht="15" hidden="false" customHeight="true" outlineLevel="0" collapsed="false">
      <c r="D18" s="100" t="s">
        <v>105</v>
      </c>
      <c r="F18" s="110" t="n">
        <v>670</v>
      </c>
      <c r="G18" s="110" t="n">
        <v>727</v>
      </c>
      <c r="H18" s="110" t="n">
        <v>734</v>
      </c>
      <c r="I18" s="110" t="n">
        <v>641</v>
      </c>
      <c r="J18" s="110" t="n">
        <v>724</v>
      </c>
      <c r="K18" s="110" t="n">
        <v>880</v>
      </c>
      <c r="L18" s="110" t="n">
        <v>783</v>
      </c>
      <c r="M18" s="110" t="n">
        <v>817</v>
      </c>
      <c r="N18" s="110" t="n">
        <v>765</v>
      </c>
      <c r="O18" s="110" t="n">
        <v>849</v>
      </c>
      <c r="P18" s="110" t="n">
        <v>287</v>
      </c>
      <c r="Q18" s="110" t="n">
        <v>475</v>
      </c>
      <c r="R18" s="110" t="n">
        <f aca="false">SUM(F18:Q18)</f>
        <v>8352</v>
      </c>
    </row>
    <row r="19" customFormat="false" ht="15" hidden="false" customHeight="true" outlineLevel="0" collapsed="false"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U19" s="100" t="s">
        <v>59</v>
      </c>
    </row>
    <row r="20" customFormat="false" ht="15" hidden="false" customHeight="true" outlineLevel="0" collapsed="false">
      <c r="C20" s="100" t="s">
        <v>20</v>
      </c>
      <c r="F20" s="109" t="n">
        <f aca="false">SUM(F21:F25)</f>
        <v>11073</v>
      </c>
      <c r="G20" s="109" t="n">
        <f aca="false">SUM(G21:G25)</f>
        <v>7097</v>
      </c>
      <c r="H20" s="109" t="n">
        <f aca="false">SUM(H21:H25)</f>
        <v>10154</v>
      </c>
      <c r="I20" s="109" t="n">
        <f aca="false">SUM(I21:I25)</f>
        <v>6769</v>
      </c>
      <c r="J20" s="109" t="n">
        <f aca="false">SUM(J21:J25)</f>
        <v>6475</v>
      </c>
      <c r="K20" s="109" t="n">
        <f aca="false">SUM(K21:K25)</f>
        <v>9967</v>
      </c>
      <c r="L20" s="109" t="n">
        <f aca="false">SUM(L21:L25)</f>
        <v>13700</v>
      </c>
      <c r="M20" s="109" t="n">
        <f aca="false">SUM(M21:M25)</f>
        <v>12983</v>
      </c>
      <c r="N20" s="109" t="n">
        <f aca="false">SUM(N21:N25)</f>
        <v>8414</v>
      </c>
      <c r="O20" s="109" t="n">
        <f aca="false">SUM(O21:O25)</f>
        <v>9692</v>
      </c>
      <c r="P20" s="109" t="n">
        <f aca="false">SUM(P21:P25)</f>
        <v>7668</v>
      </c>
      <c r="Q20" s="109" t="n">
        <f aca="false">SUM(Q21:Q25)</f>
        <v>6464</v>
      </c>
      <c r="R20" s="109" t="n">
        <f aca="false">SUM(R21:R25)</f>
        <v>110456</v>
      </c>
    </row>
    <row r="21" customFormat="false" ht="15" hidden="false" customHeight="true" outlineLevel="0" collapsed="false">
      <c r="D21" s="100" t="s">
        <v>21</v>
      </c>
      <c r="F21" s="110" t="n">
        <v>9003</v>
      </c>
      <c r="G21" s="110" t="n">
        <v>3742</v>
      </c>
      <c r="H21" s="110" t="n">
        <v>6715</v>
      </c>
      <c r="I21" s="110" t="n">
        <v>4742</v>
      </c>
      <c r="J21" s="110" t="n">
        <v>4296</v>
      </c>
      <c r="K21" s="110" t="n">
        <v>7438</v>
      </c>
      <c r="L21" s="110" t="n">
        <v>7779</v>
      </c>
      <c r="M21" s="110" t="n">
        <v>4397</v>
      </c>
      <c r="N21" s="110" t="n">
        <v>5855</v>
      </c>
      <c r="O21" s="110" t="n">
        <v>5973</v>
      </c>
      <c r="P21" s="110" t="n">
        <v>6081</v>
      </c>
      <c r="Q21" s="110" t="n">
        <v>4576</v>
      </c>
      <c r="R21" s="110" t="n">
        <f aca="false">SUM(F21:Q21)</f>
        <v>70597</v>
      </c>
    </row>
    <row r="22" customFormat="false" ht="15" hidden="false" customHeight="true" outlineLevel="0" collapsed="false">
      <c r="D22" s="100" t="s">
        <v>112</v>
      </c>
      <c r="F22" s="110" t="n">
        <v>1645</v>
      </c>
      <c r="G22" s="110" t="n">
        <v>2346</v>
      </c>
      <c r="H22" s="110" t="n">
        <v>1512</v>
      </c>
      <c r="I22" s="110" t="n">
        <v>1583</v>
      </c>
      <c r="J22" s="110" t="n">
        <v>1458</v>
      </c>
      <c r="K22" s="110" t="n">
        <v>1634</v>
      </c>
      <c r="L22" s="110" t="n">
        <v>1409</v>
      </c>
      <c r="M22" s="110" t="n">
        <v>1270</v>
      </c>
      <c r="N22" s="110" t="n">
        <v>1643</v>
      </c>
      <c r="O22" s="110" t="n">
        <v>2287</v>
      </c>
      <c r="P22" s="110" t="n">
        <v>1289</v>
      </c>
      <c r="Q22" s="110" t="n">
        <v>1159</v>
      </c>
      <c r="R22" s="110" t="n">
        <f aca="false">SUM(F22:Q22)</f>
        <v>19235</v>
      </c>
      <c r="T22" s="110"/>
    </row>
    <row r="23" customFormat="false" ht="15" hidden="false" customHeight="true" outlineLevel="0" collapsed="false">
      <c r="D23" s="100" t="s">
        <v>24</v>
      </c>
      <c r="F23" s="110" t="n">
        <v>172.2</v>
      </c>
      <c r="G23" s="110" t="n">
        <v>66.696</v>
      </c>
      <c r="H23" s="110" t="n">
        <v>156.452</v>
      </c>
      <c r="I23" s="110" t="n">
        <v>226.855</v>
      </c>
      <c r="J23" s="110" t="n">
        <v>265.391</v>
      </c>
      <c r="K23" s="110" t="n">
        <v>205.396</v>
      </c>
      <c r="L23" s="110" t="n">
        <v>296.713</v>
      </c>
      <c r="M23" s="110" t="n">
        <v>180.222</v>
      </c>
      <c r="N23" s="110" t="n">
        <v>179.571</v>
      </c>
      <c r="O23" s="110" t="n">
        <v>313.175</v>
      </c>
      <c r="P23" s="110" t="n">
        <v>242.231</v>
      </c>
      <c r="Q23" s="110" t="n">
        <v>136.461</v>
      </c>
      <c r="R23" s="110" t="n">
        <f aca="false">SUM(F23:Q23)</f>
        <v>2441.363</v>
      </c>
    </row>
    <row r="24" customFormat="false" ht="15" hidden="false" customHeight="true" outlineLevel="0" collapsed="false">
      <c r="D24" s="100" t="s">
        <v>23</v>
      </c>
      <c r="F24" s="110" t="n">
        <v>1</v>
      </c>
      <c r="G24" s="110" t="n">
        <v>0</v>
      </c>
      <c r="H24" s="110" t="n">
        <v>45</v>
      </c>
      <c r="I24" s="110" t="n">
        <v>29</v>
      </c>
      <c r="J24" s="110" t="n">
        <v>0</v>
      </c>
      <c r="K24" s="110" t="n">
        <v>32</v>
      </c>
      <c r="L24" s="110" t="n">
        <v>88</v>
      </c>
      <c r="M24" s="110" t="n">
        <v>1998</v>
      </c>
      <c r="N24" s="110" t="n">
        <v>19</v>
      </c>
      <c r="O24" s="110" t="n">
        <v>7</v>
      </c>
      <c r="P24" s="110" t="n">
        <v>161</v>
      </c>
      <c r="Q24" s="110" t="n">
        <v>50</v>
      </c>
      <c r="R24" s="110" t="n">
        <f aca="false">SUM(F24:Q24)</f>
        <v>2430</v>
      </c>
    </row>
    <row r="25" customFormat="false" ht="15" hidden="false" customHeight="true" outlineLevel="0" collapsed="false">
      <c r="D25" s="100" t="s">
        <v>105</v>
      </c>
      <c r="F25" s="110" t="n">
        <f aca="false">2069-F22-F23</f>
        <v>251.8</v>
      </c>
      <c r="G25" s="110" t="n">
        <f aca="false">3355-G23-G22</f>
        <v>942.304</v>
      </c>
      <c r="H25" s="110" t="n">
        <f aca="false">3394-H23-H22</f>
        <v>1725.548</v>
      </c>
      <c r="I25" s="110" t="n">
        <f aca="false">1998-I23-I22</f>
        <v>188.145</v>
      </c>
      <c r="J25" s="110" t="n">
        <f aca="false">2179-J23-J22</f>
        <v>455.609</v>
      </c>
      <c r="K25" s="110" t="n">
        <f aca="false">2497-K23-K22</f>
        <v>657.604</v>
      </c>
      <c r="L25" s="110" t="n">
        <f aca="false">5833-L23-L22</f>
        <v>4127.287</v>
      </c>
      <c r="M25" s="110" t="n">
        <f aca="false">6588-M23-M22</f>
        <v>5137.778</v>
      </c>
      <c r="N25" s="110" t="n">
        <f aca="false">2540-N23-N22</f>
        <v>717.429</v>
      </c>
      <c r="O25" s="110" t="n">
        <f aca="false">3712-O23-O22</f>
        <v>1111.825</v>
      </c>
      <c r="P25" s="110" t="n">
        <f aca="false">1426-P23-P22</f>
        <v>-105.231</v>
      </c>
      <c r="Q25" s="110" t="n">
        <f aca="false">1838-Q23-Q22</f>
        <v>542.539</v>
      </c>
      <c r="R25" s="110" t="n">
        <f aca="false">SUM(F25:Q25)</f>
        <v>15752.637</v>
      </c>
    </row>
    <row r="26" customFormat="false" ht="15" hidden="false" customHeight="true" outlineLevel="0" collapsed="false"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customFormat="false" ht="15" hidden="false" customHeight="true" outlineLevel="0" collapsed="false">
      <c r="C27" s="100" t="s">
        <v>26</v>
      </c>
      <c r="F27" s="110" t="n">
        <v>6</v>
      </c>
      <c r="G27" s="110" t="n">
        <v>0</v>
      </c>
      <c r="H27" s="110" t="n">
        <v>8</v>
      </c>
      <c r="I27" s="110" t="n">
        <v>11</v>
      </c>
      <c r="J27" s="110" t="n">
        <v>6</v>
      </c>
      <c r="K27" s="110" t="n">
        <v>5</v>
      </c>
      <c r="L27" s="110" t="n">
        <v>18</v>
      </c>
      <c r="M27" s="110" t="n">
        <v>5</v>
      </c>
      <c r="N27" s="110" t="n">
        <v>13</v>
      </c>
      <c r="O27" s="110" t="n">
        <v>6</v>
      </c>
      <c r="P27" s="110" t="n">
        <v>3</v>
      </c>
      <c r="Q27" s="110" t="n">
        <v>7</v>
      </c>
      <c r="R27" s="110" t="n">
        <v>88</v>
      </c>
    </row>
    <row r="28" customFormat="false" ht="15" hidden="false" customHeight="true" outlineLevel="0" collapsed="false"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customFormat="false" ht="15" hidden="false" customHeight="true" outlineLevel="0" collapsed="false">
      <c r="B29" s="107" t="s">
        <v>27</v>
      </c>
      <c r="C29" s="107"/>
      <c r="D29" s="107"/>
      <c r="E29" s="107"/>
      <c r="F29" s="108" t="n">
        <f aca="false">SUM(F31:F37)</f>
        <v>80843</v>
      </c>
      <c r="G29" s="108" t="n">
        <f aca="false">SUM(G31:G37)</f>
        <v>72260</v>
      </c>
      <c r="H29" s="108" t="n">
        <f aca="false">SUM(H31:H37)</f>
        <v>81677</v>
      </c>
      <c r="I29" s="108" t="n">
        <f aca="false">SUM(I31:I37)</f>
        <v>79445</v>
      </c>
      <c r="J29" s="108" t="n">
        <f aca="false">SUM(J31:J37)</f>
        <v>75879</v>
      </c>
      <c r="K29" s="108" t="n">
        <f aca="false">SUM(K31:K37)</f>
        <v>61790</v>
      </c>
      <c r="L29" s="108" t="n">
        <f aca="false">SUM(L31:L37)</f>
        <v>81012</v>
      </c>
      <c r="M29" s="108" t="n">
        <f aca="false">SUM(M31:M37)</f>
        <v>78067</v>
      </c>
      <c r="N29" s="108" t="n">
        <f aca="false">SUM(N31:N37)</f>
        <v>86998</v>
      </c>
      <c r="O29" s="108" t="n">
        <f aca="false">SUM(O31:O37)</f>
        <v>78734</v>
      </c>
      <c r="P29" s="108" t="n">
        <f aca="false">SUM(P31:P37)</f>
        <v>79842</v>
      </c>
      <c r="Q29" s="108" t="n">
        <f aca="false">SUM(Q31:Q37)</f>
        <v>85940</v>
      </c>
      <c r="R29" s="108" t="n">
        <f aca="false">SUM(F29:Q29)</f>
        <v>942487</v>
      </c>
    </row>
    <row r="30" customFormat="false" ht="15" hidden="false" customHeight="true" outlineLevel="0" collapsed="false"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</row>
    <row r="31" customFormat="false" ht="15" hidden="false" customHeight="true" outlineLevel="0" collapsed="false">
      <c r="D31" s="100" t="s">
        <v>28</v>
      </c>
      <c r="F31" s="110" t="n">
        <v>11724</v>
      </c>
      <c r="G31" s="110" t="n">
        <v>12221</v>
      </c>
      <c r="H31" s="110" t="n">
        <v>11984</v>
      </c>
      <c r="I31" s="110" t="n">
        <v>13907</v>
      </c>
      <c r="J31" s="110" t="n">
        <v>13900</v>
      </c>
      <c r="K31" s="110" t="n">
        <v>13982</v>
      </c>
      <c r="L31" s="110" t="n">
        <v>12934</v>
      </c>
      <c r="M31" s="110" t="n">
        <v>13169</v>
      </c>
      <c r="N31" s="110" t="n">
        <v>14986</v>
      </c>
      <c r="O31" s="110" t="n">
        <v>13051</v>
      </c>
      <c r="P31" s="110" t="n">
        <v>13943</v>
      </c>
      <c r="Q31" s="110" t="n">
        <v>14749</v>
      </c>
      <c r="R31" s="110" t="n">
        <f aca="false">SUM(F31:Q31)</f>
        <v>160550</v>
      </c>
    </row>
    <row r="32" customFormat="false" ht="15" hidden="false" customHeight="true" outlineLevel="0" collapsed="false">
      <c r="D32" s="100" t="s">
        <v>29</v>
      </c>
      <c r="F32" s="110" t="n">
        <v>31702</v>
      </c>
      <c r="G32" s="110" t="n">
        <v>25061</v>
      </c>
      <c r="H32" s="110" t="n">
        <v>28760</v>
      </c>
      <c r="I32" s="110" t="n">
        <v>26917</v>
      </c>
      <c r="J32" s="110" t="n">
        <v>18954</v>
      </c>
      <c r="K32" s="110" t="n">
        <v>11695</v>
      </c>
      <c r="L32" s="110" t="n">
        <v>31167</v>
      </c>
      <c r="M32" s="110" t="n">
        <v>29282</v>
      </c>
      <c r="N32" s="110" t="n">
        <v>31750</v>
      </c>
      <c r="O32" s="110" t="n">
        <v>31684</v>
      </c>
      <c r="P32" s="110" t="n">
        <v>19404</v>
      </c>
      <c r="Q32" s="110" t="n">
        <v>13431</v>
      </c>
      <c r="R32" s="110" t="n">
        <f aca="false">SUM(F32:Q32)</f>
        <v>299807</v>
      </c>
    </row>
    <row r="33" customFormat="false" ht="15" hidden="false" customHeight="true" outlineLevel="0" collapsed="false">
      <c r="D33" s="100" t="s">
        <v>30</v>
      </c>
      <c r="F33" s="110" t="n">
        <v>0</v>
      </c>
      <c r="G33" s="110" t="n">
        <v>0</v>
      </c>
      <c r="H33" s="110" t="n">
        <v>343</v>
      </c>
      <c r="I33" s="110" t="n">
        <v>3921</v>
      </c>
      <c r="J33" s="110" t="n">
        <v>155</v>
      </c>
      <c r="K33" s="110" t="n">
        <v>208</v>
      </c>
      <c r="L33" s="110" t="n">
        <v>225</v>
      </c>
      <c r="M33" s="110" t="n">
        <v>1937</v>
      </c>
      <c r="N33" s="110" t="n">
        <v>2486</v>
      </c>
      <c r="O33" s="110" t="n">
        <v>625</v>
      </c>
      <c r="P33" s="110" t="n">
        <v>434</v>
      </c>
      <c r="Q33" s="110" t="n">
        <v>10116</v>
      </c>
      <c r="R33" s="110" t="n">
        <f aca="false">SUM(F33:Q33)</f>
        <v>20450</v>
      </c>
    </row>
    <row r="34" customFormat="false" ht="15" hidden="false" customHeight="true" outlineLevel="0" collapsed="false">
      <c r="D34" s="100" t="s">
        <v>77</v>
      </c>
      <c r="F34" s="110" t="n">
        <v>191</v>
      </c>
      <c r="G34" s="110" t="n">
        <v>146</v>
      </c>
      <c r="H34" s="110" t="n">
        <v>153</v>
      </c>
      <c r="I34" s="110" t="n">
        <v>479</v>
      </c>
      <c r="J34" s="110" t="n">
        <v>907</v>
      </c>
      <c r="K34" s="110" t="n">
        <v>38</v>
      </c>
      <c r="L34" s="110" t="n">
        <v>1383</v>
      </c>
      <c r="M34" s="110" t="n">
        <v>1434</v>
      </c>
      <c r="N34" s="110" t="n">
        <v>2949</v>
      </c>
      <c r="O34" s="110" t="n">
        <v>540</v>
      </c>
      <c r="P34" s="110" t="n">
        <v>649</v>
      </c>
      <c r="Q34" s="110" t="n">
        <v>3368</v>
      </c>
      <c r="R34" s="110" t="n">
        <f aca="false">SUM(F34:Q34)</f>
        <v>12237</v>
      </c>
    </row>
    <row r="35" customFormat="false" ht="15" hidden="false" customHeight="true" outlineLevel="0" collapsed="false">
      <c r="D35" s="100" t="s">
        <v>32</v>
      </c>
      <c r="F35" s="110" t="n">
        <v>0</v>
      </c>
      <c r="G35" s="110" t="n">
        <v>0</v>
      </c>
      <c r="H35" s="110" t="n">
        <v>0</v>
      </c>
      <c r="I35" s="110" t="n">
        <v>0</v>
      </c>
      <c r="J35" s="110" t="n">
        <v>50</v>
      </c>
      <c r="K35" s="110" t="n">
        <v>0</v>
      </c>
      <c r="L35" s="110" t="n">
        <v>10</v>
      </c>
      <c r="M35" s="110" t="n">
        <v>70</v>
      </c>
      <c r="N35" s="110" t="n">
        <v>60</v>
      </c>
      <c r="O35" s="110" t="n">
        <v>0</v>
      </c>
      <c r="P35" s="110" t="n">
        <v>0</v>
      </c>
      <c r="Q35" s="110" t="n">
        <v>0</v>
      </c>
      <c r="R35" s="110" t="n">
        <f aca="false">SUM(F35:Q35)</f>
        <v>190</v>
      </c>
    </row>
    <row r="36" customFormat="false" ht="15" hidden="false" customHeight="true" outlineLevel="0" collapsed="false">
      <c r="D36" s="100" t="s">
        <v>78</v>
      </c>
      <c r="F36" s="110" t="n">
        <v>1083</v>
      </c>
      <c r="G36" s="110" t="n">
        <v>547</v>
      </c>
      <c r="H36" s="110" t="n">
        <v>2768</v>
      </c>
      <c r="I36" s="110" t="n">
        <v>-56</v>
      </c>
      <c r="J36" s="110" t="n">
        <v>-2492</v>
      </c>
      <c r="K36" s="110" t="n">
        <v>345</v>
      </c>
      <c r="L36" s="110" t="n">
        <v>1097</v>
      </c>
      <c r="M36" s="110" t="n">
        <v>604</v>
      </c>
      <c r="N36" s="110" t="n">
        <v>-53</v>
      </c>
      <c r="O36" s="110" t="n">
        <v>-3802</v>
      </c>
      <c r="P36" s="110" t="n">
        <v>3583</v>
      </c>
      <c r="Q36" s="110" t="n">
        <v>-1917</v>
      </c>
      <c r="R36" s="110" t="n">
        <f aca="false">SUM(F36:Q36)</f>
        <v>1707</v>
      </c>
    </row>
    <row r="37" customFormat="false" ht="15" hidden="false" customHeight="true" outlineLevel="0" collapsed="false">
      <c r="D37" s="1" t="s">
        <v>79</v>
      </c>
      <c r="F37" s="110" t="n">
        <v>36143</v>
      </c>
      <c r="G37" s="110" t="n">
        <v>34285</v>
      </c>
      <c r="H37" s="110" t="n">
        <v>37669</v>
      </c>
      <c r="I37" s="110" t="n">
        <v>34277</v>
      </c>
      <c r="J37" s="110" t="n">
        <v>44405</v>
      </c>
      <c r="K37" s="110" t="n">
        <v>35522</v>
      </c>
      <c r="L37" s="110" t="n">
        <v>34196</v>
      </c>
      <c r="M37" s="110" t="n">
        <v>31571</v>
      </c>
      <c r="N37" s="110" t="n">
        <v>34820</v>
      </c>
      <c r="O37" s="110" t="n">
        <v>36636</v>
      </c>
      <c r="P37" s="110" t="n">
        <v>41829</v>
      </c>
      <c r="Q37" s="110" t="n">
        <v>46193</v>
      </c>
      <c r="R37" s="110" t="n">
        <f aca="false">SUM(F37:Q37)</f>
        <v>447546</v>
      </c>
    </row>
    <row r="38" customFormat="false" ht="15" hidden="false" customHeight="true" outlineLevel="0" collapsed="false"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10"/>
    </row>
    <row r="39" customFormat="false" ht="15" hidden="false" customHeight="true" outlineLevel="0" collapsed="false">
      <c r="B39" s="107" t="s">
        <v>35</v>
      </c>
      <c r="C39" s="107"/>
      <c r="D39" s="107"/>
      <c r="E39" s="107"/>
      <c r="F39" s="112" t="n">
        <f aca="false">+F9-F29</f>
        <v>-16502</v>
      </c>
      <c r="G39" s="112" t="n">
        <f aca="false">+G9-G29</f>
        <v>-23551</v>
      </c>
      <c r="H39" s="112" t="n">
        <f aca="false">+H9-H29</f>
        <v>-23413</v>
      </c>
      <c r="I39" s="112" t="n">
        <f aca="false">+I9-I29</f>
        <v>3339</v>
      </c>
      <c r="J39" s="112" t="n">
        <f aca="false">+J9-J29</f>
        <v>-7630</v>
      </c>
      <c r="K39" s="112" t="n">
        <f aca="false">+K9-K29</f>
        <v>246</v>
      </c>
      <c r="L39" s="112" t="n">
        <f aca="false">+L9-L29</f>
        <v>-15061</v>
      </c>
      <c r="M39" s="112" t="n">
        <f aca="false">+M9-M29</f>
        <v>1751</v>
      </c>
      <c r="N39" s="112" t="n">
        <f aca="false">+N9-N29</f>
        <v>-27657</v>
      </c>
      <c r="O39" s="112" t="n">
        <f aca="false">+O9-O29</f>
        <v>-7064</v>
      </c>
      <c r="P39" s="112" t="n">
        <f aca="false">+P9-P29</f>
        <v>-7289</v>
      </c>
      <c r="Q39" s="112" t="n">
        <f aca="false">+Q9-Q29</f>
        <v>-23947</v>
      </c>
      <c r="R39" s="112" t="n">
        <f aca="false">SUM(F39:Q39)</f>
        <v>-146778</v>
      </c>
    </row>
    <row r="40" customFormat="false" ht="15" hidden="false" customHeight="true" outlineLevel="0" collapsed="false"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</row>
    <row r="41" customFormat="false" ht="15" hidden="false" customHeight="true" outlineLevel="0" collapsed="false">
      <c r="B41" s="107" t="s">
        <v>36</v>
      </c>
      <c r="C41" s="107"/>
      <c r="D41" s="107"/>
      <c r="E41" s="107"/>
      <c r="F41" s="108" t="n">
        <v>44866</v>
      </c>
      <c r="G41" s="108" t="n">
        <v>94692</v>
      </c>
      <c r="H41" s="108" t="n">
        <v>14374</v>
      </c>
      <c r="I41" s="108" t="n">
        <v>22499</v>
      </c>
      <c r="J41" s="108" t="n">
        <v>73807</v>
      </c>
      <c r="K41" s="108" t="n">
        <v>1341</v>
      </c>
      <c r="L41" s="108" t="n">
        <v>78754</v>
      </c>
      <c r="M41" s="108" t="n">
        <v>-3853</v>
      </c>
      <c r="N41" s="108" t="n">
        <v>110753</v>
      </c>
      <c r="O41" s="108" t="n">
        <v>10703</v>
      </c>
      <c r="P41" s="108" t="n">
        <v>10364</v>
      </c>
      <c r="Q41" s="108" t="n">
        <v>13437</v>
      </c>
      <c r="R41" s="108" t="n">
        <v>471737</v>
      </c>
    </row>
    <row r="42" customFormat="false" ht="15" hidden="false" customHeight="true" outlineLevel="0" collapsed="false">
      <c r="C42" s="100" t="s">
        <v>37</v>
      </c>
      <c r="F42" s="109" t="n">
        <v>-503</v>
      </c>
      <c r="G42" s="109" t="n">
        <v>69570</v>
      </c>
      <c r="H42" s="109" t="n">
        <v>-1933</v>
      </c>
      <c r="I42" s="109" t="n">
        <v>576</v>
      </c>
      <c r="J42" s="109" t="n">
        <v>35392</v>
      </c>
      <c r="K42" s="109" t="n">
        <v>-5666</v>
      </c>
      <c r="L42" s="109" t="n">
        <v>-3941</v>
      </c>
      <c r="M42" s="109" t="n">
        <v>-24068</v>
      </c>
      <c r="N42" s="109" t="n">
        <v>42239</v>
      </c>
      <c r="O42" s="109" t="n">
        <v>-16395</v>
      </c>
      <c r="P42" s="109" t="n">
        <v>-4529</v>
      </c>
      <c r="Q42" s="109" t="n">
        <v>1923</v>
      </c>
      <c r="R42" s="109" t="n">
        <v>92665</v>
      </c>
    </row>
    <row r="43" customFormat="false" ht="15" hidden="false" customHeight="true" outlineLevel="0" collapsed="false">
      <c r="D43" s="100" t="s">
        <v>38</v>
      </c>
      <c r="F43" s="110" t="n">
        <v>5972</v>
      </c>
      <c r="G43" s="110" t="n">
        <v>85198</v>
      </c>
      <c r="H43" s="110" t="n">
        <v>3262</v>
      </c>
      <c r="I43" s="110" t="n">
        <v>3583</v>
      </c>
      <c r="J43" s="110" t="n">
        <v>42556</v>
      </c>
      <c r="K43" s="110" t="n">
        <v>1309</v>
      </c>
      <c r="L43" s="110" t="n">
        <v>1873</v>
      </c>
      <c r="M43" s="110" t="n">
        <v>1491</v>
      </c>
      <c r="N43" s="110" t="n">
        <v>58836</v>
      </c>
      <c r="O43" s="110" t="n">
        <v>3714</v>
      </c>
      <c r="P43" s="110" t="n">
        <v>2115</v>
      </c>
      <c r="Q43" s="110" t="n">
        <v>8408</v>
      </c>
      <c r="R43" s="110" t="n">
        <v>218317</v>
      </c>
    </row>
    <row r="44" customFormat="false" ht="15" hidden="false" customHeight="true" outlineLevel="0" collapsed="false">
      <c r="D44" s="100" t="s">
        <v>97</v>
      </c>
      <c r="F44" s="110" t="n">
        <v>6475</v>
      </c>
      <c r="G44" s="110" t="n">
        <v>15628</v>
      </c>
      <c r="H44" s="110" t="n">
        <v>5195</v>
      </c>
      <c r="I44" s="110" t="n">
        <v>3007</v>
      </c>
      <c r="J44" s="110" t="n">
        <v>7164</v>
      </c>
      <c r="K44" s="110" t="n">
        <v>6975</v>
      </c>
      <c r="L44" s="110" t="n">
        <v>5814</v>
      </c>
      <c r="M44" s="110" t="n">
        <v>25559</v>
      </c>
      <c r="N44" s="110" t="n">
        <v>16597</v>
      </c>
      <c r="O44" s="110" t="n">
        <v>20109</v>
      </c>
      <c r="P44" s="110" t="n">
        <v>6644</v>
      </c>
      <c r="Q44" s="110" t="n">
        <v>6485</v>
      </c>
      <c r="R44" s="110" t="n">
        <v>125652</v>
      </c>
    </row>
    <row r="45" customFormat="false" ht="15" hidden="false" customHeight="true" outlineLevel="0" collapsed="false"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</row>
    <row r="46" customFormat="false" ht="15" hidden="false" customHeight="true" outlineLevel="0" collapsed="false">
      <c r="C46" s="100" t="s">
        <v>40</v>
      </c>
      <c r="F46" s="109" t="n">
        <v>45369</v>
      </c>
      <c r="G46" s="109" t="n">
        <v>25122</v>
      </c>
      <c r="H46" s="109" t="n">
        <v>16307</v>
      </c>
      <c r="I46" s="109" t="n">
        <v>21923</v>
      </c>
      <c r="J46" s="109" t="n">
        <v>38415</v>
      </c>
      <c r="K46" s="109" t="n">
        <v>7007</v>
      </c>
      <c r="L46" s="109" t="n">
        <v>82695</v>
      </c>
      <c r="M46" s="109" t="n">
        <v>20215</v>
      </c>
      <c r="N46" s="109" t="n">
        <v>68514</v>
      </c>
      <c r="O46" s="109" t="n">
        <v>27098</v>
      </c>
      <c r="P46" s="109" t="n">
        <v>14893</v>
      </c>
      <c r="Q46" s="109" t="n">
        <v>11514</v>
      </c>
      <c r="R46" s="109" t="n">
        <v>379072</v>
      </c>
    </row>
    <row r="47" customFormat="false" ht="15" hidden="false" customHeight="true" outlineLevel="0" collapsed="false">
      <c r="D47" s="100" t="s">
        <v>41</v>
      </c>
      <c r="F47" s="110" t="n">
        <v>45518</v>
      </c>
      <c r="G47" s="110" t="n">
        <v>25167</v>
      </c>
      <c r="H47" s="110" t="n">
        <v>16307</v>
      </c>
      <c r="I47" s="110" t="n">
        <v>21923</v>
      </c>
      <c r="J47" s="110" t="n">
        <v>38729</v>
      </c>
      <c r="K47" s="110" t="n">
        <v>7007</v>
      </c>
      <c r="L47" s="110" t="n">
        <v>82695</v>
      </c>
      <c r="M47" s="110" t="n">
        <v>20215</v>
      </c>
      <c r="N47" s="110" t="n">
        <v>78544</v>
      </c>
      <c r="O47" s="110" t="n">
        <v>34307</v>
      </c>
      <c r="P47" s="110" t="n">
        <v>14893</v>
      </c>
      <c r="Q47" s="110" t="n">
        <v>11514</v>
      </c>
      <c r="R47" s="110" t="n">
        <v>396819</v>
      </c>
    </row>
    <row r="48" customFormat="false" ht="15" hidden="false" customHeight="true" outlineLevel="0" collapsed="false">
      <c r="D48" s="100" t="s">
        <v>42</v>
      </c>
      <c r="F48" s="110" t="n">
        <v>149</v>
      </c>
      <c r="G48" s="110" t="n">
        <v>45</v>
      </c>
      <c r="H48" s="110" t="n">
        <v>0</v>
      </c>
      <c r="I48" s="110" t="n">
        <v>0</v>
      </c>
      <c r="J48" s="110" t="n">
        <v>314</v>
      </c>
      <c r="K48" s="110" t="n">
        <v>0</v>
      </c>
      <c r="L48" s="110" t="n">
        <v>0</v>
      </c>
      <c r="M48" s="110" t="n">
        <v>0</v>
      </c>
      <c r="N48" s="110" t="n">
        <v>10030</v>
      </c>
      <c r="O48" s="110" t="n">
        <v>7209</v>
      </c>
      <c r="P48" s="110" t="n">
        <v>0</v>
      </c>
      <c r="Q48" s="110" t="n">
        <v>0</v>
      </c>
      <c r="R48" s="110" t="n">
        <v>17747</v>
      </c>
    </row>
    <row r="49" customFormat="false" ht="15" hidden="false" customHeight="true" outlineLevel="0" collapsed="false">
      <c r="E49" s="1" t="s">
        <v>67</v>
      </c>
      <c r="F49" s="110" t="n">
        <v>11684</v>
      </c>
      <c r="G49" s="110" t="n">
        <v>4451</v>
      </c>
      <c r="H49" s="110" t="n">
        <v>14806</v>
      </c>
      <c r="I49" s="110" t="n">
        <v>14401</v>
      </c>
      <c r="J49" s="110" t="n">
        <v>40523</v>
      </c>
      <c r="K49" s="110" t="n">
        <v>34513</v>
      </c>
      <c r="L49" s="110" t="n">
        <v>24178</v>
      </c>
      <c r="M49" s="110" t="n">
        <v>8238</v>
      </c>
      <c r="N49" s="110" t="n">
        <v>39603</v>
      </c>
      <c r="O49" s="110" t="n">
        <v>19309</v>
      </c>
      <c r="P49" s="110" t="n">
        <v>10873</v>
      </c>
      <c r="Q49" s="110" t="n">
        <v>9356</v>
      </c>
      <c r="R49" s="110" t="n">
        <v>231935</v>
      </c>
    </row>
    <row r="50" customFormat="false" ht="15" hidden="false" customHeight="true" outlineLevel="0" collapsed="false">
      <c r="E50" s="16" t="s">
        <v>80</v>
      </c>
      <c r="F50" s="110" t="n">
        <v>11535</v>
      </c>
      <c r="G50" s="110" t="n">
        <v>4406</v>
      </c>
      <c r="H50" s="110" t="n">
        <v>14806</v>
      </c>
      <c r="I50" s="110" t="n">
        <v>14401</v>
      </c>
      <c r="J50" s="110" t="n">
        <v>40209</v>
      </c>
      <c r="K50" s="110" t="n">
        <v>34513</v>
      </c>
      <c r="L50" s="110" t="n">
        <v>24178</v>
      </c>
      <c r="M50" s="110" t="n">
        <v>8238</v>
      </c>
      <c r="N50" s="110" t="n">
        <v>29573</v>
      </c>
      <c r="O50" s="110" t="n">
        <v>12100</v>
      </c>
      <c r="P50" s="110" t="n">
        <v>10873</v>
      </c>
      <c r="Q50" s="110" t="n">
        <v>9356</v>
      </c>
      <c r="R50" s="110" t="n">
        <v>214188</v>
      </c>
    </row>
    <row r="51" customFormat="false" ht="15" hidden="false" customHeight="true" outlineLevel="0" collapsed="false"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</row>
    <row r="52" customFormat="false" ht="15" hidden="false" customHeight="true" outlineLevel="0" collapsed="false">
      <c r="B52" s="107" t="s">
        <v>45</v>
      </c>
      <c r="C52" s="107"/>
      <c r="D52" s="107"/>
      <c r="E52" s="107"/>
      <c r="F52" s="108" t="n">
        <v>1870</v>
      </c>
      <c r="G52" s="108" t="n">
        <v>66186</v>
      </c>
      <c r="H52" s="108" t="n">
        <v>5271</v>
      </c>
      <c r="I52" s="108" t="n">
        <v>12106</v>
      </c>
      <c r="J52" s="108" t="n">
        <v>575</v>
      </c>
      <c r="K52" s="108" t="n">
        <v>15805</v>
      </c>
      <c r="L52" s="108" t="n">
        <v>-10679</v>
      </c>
      <c r="M52" s="108" t="n">
        <v>-31273</v>
      </c>
      <c r="N52" s="108" t="n">
        <v>48394</v>
      </c>
      <c r="O52" s="108" t="n">
        <v>-34159</v>
      </c>
      <c r="P52" s="108" t="n">
        <v>-22263</v>
      </c>
      <c r="Q52" s="108" t="n">
        <v>-29504</v>
      </c>
      <c r="R52" s="108" t="n">
        <v>22329</v>
      </c>
    </row>
    <row r="53" customFormat="false" ht="15" hidden="false" customHeight="false" outlineLevel="0" collapsed="false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customFormat="false" ht="15" hidden="false" customHeight="false" outlineLevel="0" collapsed="false">
      <c r="B54" s="4" t="s">
        <v>46</v>
      </c>
      <c r="C54" s="1"/>
      <c r="D54" s="1"/>
      <c r="E54" s="1"/>
      <c r="F54" s="1"/>
      <c r="G54" s="1"/>
      <c r="H54" s="1"/>
      <c r="I54" s="1"/>
      <c r="J54" s="1"/>
      <c r="K54" s="1"/>
      <c r="L54" s="109"/>
      <c r="M54" s="109"/>
      <c r="N54" s="109"/>
      <c r="O54" s="109"/>
      <c r="P54" s="109"/>
      <c r="Q54" s="109"/>
      <c r="R54" s="110"/>
    </row>
    <row r="55" customFormat="false" ht="12.75" hidden="false" customHeight="true" outlineLevel="0" collapsed="false">
      <c r="B55" s="4"/>
      <c r="C55" s="130" t="s">
        <v>110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10"/>
    </row>
    <row r="56" customFormat="false" ht="14.25" hidden="false" customHeight="true" outlineLevel="0" collapsed="false">
      <c r="B56" s="4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</row>
    <row r="57" customFormat="false" ht="18.75" hidden="false" customHeight="true" outlineLevel="0" collapsed="false">
      <c r="B57" s="6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10"/>
    </row>
    <row r="58" customFormat="false" ht="14.25" hidden="false" customHeight="false" outlineLevel="0" collapsed="false">
      <c r="B58" s="6"/>
      <c r="C58" s="1"/>
      <c r="D58" s="1"/>
      <c r="E58" s="1"/>
      <c r="F58" s="1"/>
      <c r="G58" s="1"/>
      <c r="H58" s="1"/>
      <c r="I58" s="1"/>
      <c r="J58" s="1"/>
      <c r="K58" s="1"/>
    </row>
    <row r="60" customFormat="false" ht="14.25" hidden="false" customHeight="false" outlineLevel="0" collapsed="false">
      <c r="B60" s="31" t="s">
        <v>51</v>
      </c>
    </row>
    <row r="61" customFormat="false" ht="14.25" hidden="false" customHeight="false" outlineLevel="0" collapsed="false">
      <c r="B61" s="31" t="s">
        <v>106</v>
      </c>
    </row>
  </sheetData>
  <mergeCells count="2">
    <mergeCell ref="B7:E7"/>
    <mergeCell ref="C55:Q5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R33" activeCellId="0" sqref="R33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22.43"/>
    <col collapsed="false" customWidth="false" hidden="false" outlineLevel="0" max="6" min="6" style="100" width="9.14"/>
    <col collapsed="false" customWidth="true" hidden="false" outlineLevel="0" max="8" min="7" style="100" width="8.86"/>
    <col collapsed="false" customWidth="true" hidden="false" outlineLevel="0" max="9" min="9" style="100" width="8.14"/>
    <col collapsed="false" customWidth="true" hidden="false" outlineLevel="0" max="17" min="10" style="100" width="8.86"/>
    <col collapsed="false" customWidth="true" hidden="false" outlineLevel="0" max="18" min="18" style="100" width="10"/>
    <col collapsed="false" customWidth="false" hidden="false" outlineLevel="0" max="1024" min="19" style="100" width="9.14"/>
  </cols>
  <sheetData>
    <row r="1" customFormat="false" ht="15" hidden="false" customHeight="false" outlineLevel="0" collapsed="false">
      <c r="A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131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5" customFormat="false" ht="14.25" hidden="false" customHeight="false" outlineLevel="0" collapsed="false">
      <c r="A5" s="117" t="s">
        <v>95</v>
      </c>
      <c r="B5" s="102"/>
    </row>
    <row r="6" customFormat="false" ht="6" hidden="false" customHeight="true" outlineLevel="0" collapsed="false"/>
    <row r="7" customFormat="false" ht="21" hidden="false" customHeight="true" outlineLevel="0" collapsed="false">
      <c r="A7" s="143"/>
      <c r="B7" s="105" t="s">
        <v>4</v>
      </c>
      <c r="C7" s="105"/>
      <c r="D7" s="105"/>
      <c r="E7" s="105"/>
      <c r="F7" s="135" t="s">
        <v>115</v>
      </c>
      <c r="G7" s="105" t="s">
        <v>6</v>
      </c>
      <c r="H7" s="105" t="s">
        <v>7</v>
      </c>
      <c r="I7" s="105" t="s">
        <v>8</v>
      </c>
      <c r="J7" s="105" t="s">
        <v>9</v>
      </c>
      <c r="K7" s="105" t="s">
        <v>10</v>
      </c>
      <c r="L7" s="105" t="s">
        <v>53</v>
      </c>
      <c r="M7" s="105" t="s">
        <v>54</v>
      </c>
      <c r="N7" s="105" t="s">
        <v>64</v>
      </c>
      <c r="O7" s="105" t="s">
        <v>56</v>
      </c>
      <c r="P7" s="105" t="s">
        <v>57</v>
      </c>
      <c r="Q7" s="105" t="s">
        <v>58</v>
      </c>
      <c r="R7" s="106" t="s">
        <v>11</v>
      </c>
    </row>
    <row r="8" customFormat="false" ht="15" hidden="false" customHeight="true" outlineLevel="0" collapsed="false">
      <c r="O8" s="110"/>
    </row>
    <row r="9" customFormat="false" ht="15" hidden="false" customHeight="true" outlineLevel="0" collapsed="false">
      <c r="B9" s="107" t="s">
        <v>12</v>
      </c>
      <c r="C9" s="107"/>
      <c r="D9" s="107"/>
      <c r="E9" s="107"/>
      <c r="F9" s="108" t="n">
        <f aca="false">SUM(F10+F20+F28)</f>
        <v>53132</v>
      </c>
      <c r="G9" s="108" t="n">
        <f aca="false">SUM(G10+G20+G28)</f>
        <v>44612</v>
      </c>
      <c r="H9" s="108" t="n">
        <f aca="false">SUM(H10+H20+H28)</f>
        <v>54866</v>
      </c>
      <c r="I9" s="108" t="n">
        <f aca="false">SUM(I10+I20+I28)</f>
        <v>75853</v>
      </c>
      <c r="J9" s="108" t="n">
        <f aca="false">SUM(J10+J20+J28)</f>
        <v>60332</v>
      </c>
      <c r="K9" s="108" t="n">
        <f aca="false">SUM(K10+K20+K28)</f>
        <v>54497</v>
      </c>
      <c r="L9" s="108" t="n">
        <f aca="false">SUM(L10+L20+L28)</f>
        <v>59344</v>
      </c>
      <c r="M9" s="108" t="n">
        <f aca="false">SUM(M10+M20+M28)</f>
        <v>59757</v>
      </c>
      <c r="N9" s="108" t="n">
        <f aca="false">SUM(N10+N20+N28)</f>
        <v>54002</v>
      </c>
      <c r="O9" s="108" t="n">
        <f aca="false">SUM(O10+O20+O28)</f>
        <v>60576</v>
      </c>
      <c r="P9" s="108" t="n">
        <f aca="false">SUM(P10+P20+P28)</f>
        <v>60521</v>
      </c>
      <c r="Q9" s="108" t="n">
        <f aca="false">SUM(Q10+Q20+Q28)</f>
        <v>62276</v>
      </c>
      <c r="R9" s="108" t="n">
        <f aca="false">SUM(R10+R20+R28)</f>
        <v>699768</v>
      </c>
    </row>
    <row r="10" customFormat="false" ht="15" hidden="false" customHeight="true" outlineLevel="0" collapsed="false">
      <c r="C10" s="100" t="s">
        <v>13</v>
      </c>
      <c r="F10" s="109" t="n">
        <f aca="false">SUM(F11+F15+F18)</f>
        <v>46705</v>
      </c>
      <c r="G10" s="109" t="n">
        <f aca="false">SUM(G11+G15+G18)</f>
        <v>38086</v>
      </c>
      <c r="H10" s="109" t="n">
        <f aca="false">SUM(H11+H15+H18)</f>
        <v>45365</v>
      </c>
      <c r="I10" s="109" t="n">
        <f aca="false">SUM(I11+I15+I18)</f>
        <v>64308</v>
      </c>
      <c r="J10" s="109" t="n">
        <f aca="false">SUM(J11+J15+J18)</f>
        <v>52328</v>
      </c>
      <c r="K10" s="109" t="n">
        <f aca="false">SUM(K11+K15+K18)</f>
        <v>47135</v>
      </c>
      <c r="L10" s="109" t="n">
        <f aca="false">SUM(L11+L15+L18)</f>
        <v>50013</v>
      </c>
      <c r="M10" s="109" t="n">
        <f aca="false">SUM(M11+M15+M18)</f>
        <v>53941</v>
      </c>
      <c r="N10" s="109" t="n">
        <f aca="false">SUM(N11+N15+N18)</f>
        <v>44028</v>
      </c>
      <c r="O10" s="109" t="n">
        <f aca="false">SUM(O11+O15+O18)</f>
        <v>50514</v>
      </c>
      <c r="P10" s="109" t="n">
        <f aca="false">SUM(P11+P15+P18)</f>
        <v>54439</v>
      </c>
      <c r="Q10" s="109" t="n">
        <f aca="false">SUM(Q11+Q15+Q18)</f>
        <v>51152</v>
      </c>
      <c r="R10" s="109" t="n">
        <f aca="false">SUM(R11+R15+R18)</f>
        <v>598014</v>
      </c>
    </row>
    <row r="11" customFormat="false" ht="15" hidden="false" customHeight="true" outlineLevel="0" collapsed="false">
      <c r="D11" s="100" t="s">
        <v>14</v>
      </c>
      <c r="F11" s="110" t="n">
        <v>36537</v>
      </c>
      <c r="G11" s="110" t="n">
        <v>28833</v>
      </c>
      <c r="H11" s="110" t="n">
        <v>33604</v>
      </c>
      <c r="I11" s="110" t="n">
        <v>53017</v>
      </c>
      <c r="J11" s="110" t="n">
        <v>41259</v>
      </c>
      <c r="K11" s="110" t="n">
        <v>35942</v>
      </c>
      <c r="L11" s="110" t="n">
        <v>38891</v>
      </c>
      <c r="M11" s="110" t="n">
        <v>43128</v>
      </c>
      <c r="N11" s="110" t="n">
        <v>32637</v>
      </c>
      <c r="O11" s="110" t="n">
        <v>39307</v>
      </c>
      <c r="P11" s="110" t="n">
        <v>43951</v>
      </c>
      <c r="Q11" s="110" t="n">
        <v>41071</v>
      </c>
      <c r="R11" s="110" t="n">
        <f aca="false">SUM(F11:Q11)</f>
        <v>468177</v>
      </c>
    </row>
    <row r="12" customFormat="false" ht="15" hidden="false" customHeight="true" outlineLevel="0" collapsed="false">
      <c r="E12" s="31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</row>
    <row r="13" customFormat="false" ht="15" hidden="false" customHeight="true" outlineLevel="0" collapsed="false">
      <c r="E13" s="100" t="s">
        <v>16</v>
      </c>
      <c r="F13" s="110" t="n">
        <v>0</v>
      </c>
      <c r="G13" s="110" t="n">
        <v>0</v>
      </c>
      <c r="H13" s="110" t="n">
        <v>302</v>
      </c>
      <c r="I13" s="110" t="n">
        <v>248</v>
      </c>
      <c r="J13" s="110" t="n">
        <v>177</v>
      </c>
      <c r="K13" s="110" t="n">
        <v>145</v>
      </c>
      <c r="L13" s="110" t="n">
        <v>157</v>
      </c>
      <c r="M13" s="110" t="n">
        <v>231</v>
      </c>
      <c r="N13" s="110" t="n">
        <v>132</v>
      </c>
      <c r="O13" s="110" t="n">
        <v>292</v>
      </c>
      <c r="P13" s="110" t="n">
        <v>180</v>
      </c>
      <c r="Q13" s="110" t="n">
        <v>288</v>
      </c>
      <c r="R13" s="110" t="n">
        <f aca="false">SUM(F13:Q13)</f>
        <v>2152</v>
      </c>
    </row>
    <row r="14" customFormat="false" ht="15" hidden="false" customHeight="true" outlineLevel="0" collapsed="false">
      <c r="E14" s="100" t="s">
        <v>17</v>
      </c>
      <c r="F14" s="110" t="n">
        <v>0</v>
      </c>
      <c r="G14" s="110" t="n">
        <v>0</v>
      </c>
      <c r="H14" s="110" t="n">
        <v>0</v>
      </c>
      <c r="I14" s="110" t="n">
        <v>0</v>
      </c>
      <c r="J14" s="110" t="n">
        <v>0</v>
      </c>
      <c r="K14" s="110" t="n">
        <v>0</v>
      </c>
      <c r="L14" s="110" t="n">
        <v>0</v>
      </c>
      <c r="M14" s="110" t="n">
        <v>0</v>
      </c>
      <c r="N14" s="110" t="n">
        <v>0</v>
      </c>
      <c r="O14" s="110" t="n">
        <v>0</v>
      </c>
      <c r="P14" s="110" t="n">
        <v>0</v>
      </c>
      <c r="Q14" s="110" t="n">
        <v>0</v>
      </c>
      <c r="R14" s="110" t="n">
        <f aca="false">SUM(F14:Q14)</f>
        <v>0</v>
      </c>
      <c r="S14" s="110"/>
    </row>
    <row r="15" customFormat="false" ht="15" hidden="false" customHeight="true" outlineLevel="0" collapsed="false">
      <c r="D15" s="100" t="s">
        <v>18</v>
      </c>
      <c r="F15" s="110" t="n">
        <v>9581</v>
      </c>
      <c r="G15" s="110" t="n">
        <v>8634</v>
      </c>
      <c r="H15" s="110" t="n">
        <v>10980</v>
      </c>
      <c r="I15" s="110" t="n">
        <v>10576</v>
      </c>
      <c r="J15" s="110" t="n">
        <v>10373</v>
      </c>
      <c r="K15" s="110" t="n">
        <v>10424</v>
      </c>
      <c r="L15" s="110" t="n">
        <v>10430</v>
      </c>
      <c r="M15" s="110" t="n">
        <v>10081</v>
      </c>
      <c r="N15" s="110" t="n">
        <v>10697</v>
      </c>
      <c r="O15" s="110" t="n">
        <v>10544</v>
      </c>
      <c r="P15" s="110" t="n">
        <v>10233</v>
      </c>
      <c r="Q15" s="110" t="n">
        <v>9918</v>
      </c>
      <c r="R15" s="110" t="n">
        <f aca="false">SUM(F15:Q15)</f>
        <v>122471</v>
      </c>
    </row>
    <row r="16" customFormat="false" ht="15" hidden="false" customHeight="true" outlineLevel="0" collapsed="false">
      <c r="E16" s="31" t="s">
        <v>15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</row>
    <row r="17" customFormat="false" ht="15" hidden="false" customHeight="true" outlineLevel="0" collapsed="false">
      <c r="E17" s="100" t="s">
        <v>17</v>
      </c>
      <c r="F17" s="110" t="n">
        <v>0</v>
      </c>
      <c r="G17" s="110" t="n">
        <v>0</v>
      </c>
      <c r="H17" s="110" t="n">
        <v>0</v>
      </c>
      <c r="I17" s="110" t="n">
        <v>352</v>
      </c>
      <c r="J17" s="110" t="n">
        <v>121</v>
      </c>
      <c r="K17" s="110" t="n">
        <v>0</v>
      </c>
      <c r="L17" s="110" t="n">
        <v>42</v>
      </c>
      <c r="M17" s="110" t="n">
        <v>0</v>
      </c>
      <c r="N17" s="110" t="n">
        <v>1750</v>
      </c>
      <c r="O17" s="110" t="n">
        <v>70</v>
      </c>
      <c r="P17" s="110" t="n">
        <v>97</v>
      </c>
      <c r="Q17" s="110" t="n">
        <v>2366</v>
      </c>
      <c r="R17" s="110" t="n">
        <f aca="false">SUM(F17:Q17)</f>
        <v>4798</v>
      </c>
    </row>
    <row r="18" customFormat="false" ht="15" hidden="false" customHeight="true" outlineLevel="0" collapsed="false">
      <c r="D18" s="100" t="s">
        <v>105</v>
      </c>
      <c r="F18" s="110" t="n">
        <v>587</v>
      </c>
      <c r="G18" s="110" t="n">
        <v>619</v>
      </c>
      <c r="H18" s="110" t="n">
        <v>781</v>
      </c>
      <c r="I18" s="110" t="n">
        <v>715</v>
      </c>
      <c r="J18" s="110" t="n">
        <v>696</v>
      </c>
      <c r="K18" s="110" t="n">
        <v>769</v>
      </c>
      <c r="L18" s="110" t="n">
        <v>692</v>
      </c>
      <c r="M18" s="110" t="n">
        <v>732</v>
      </c>
      <c r="N18" s="110" t="n">
        <v>694</v>
      </c>
      <c r="O18" s="110" t="n">
        <v>663</v>
      </c>
      <c r="P18" s="110" t="n">
        <v>255</v>
      </c>
      <c r="Q18" s="110" t="n">
        <v>163</v>
      </c>
      <c r="R18" s="110" t="n">
        <f aca="false">SUM(F18:Q18)</f>
        <v>7366</v>
      </c>
    </row>
    <row r="19" customFormat="false" ht="15" hidden="false" customHeight="true" outlineLevel="0" collapsed="false"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T19" s="100" t="s">
        <v>59</v>
      </c>
    </row>
    <row r="20" customFormat="false" ht="15" hidden="false" customHeight="true" outlineLevel="0" collapsed="false">
      <c r="C20" s="100" t="s">
        <v>20</v>
      </c>
      <c r="F20" s="109" t="n">
        <f aca="false">SUM(F21:F26)</f>
        <v>6419</v>
      </c>
      <c r="G20" s="109" t="n">
        <f aca="false">SUM(G21:G26)</f>
        <v>6521</v>
      </c>
      <c r="H20" s="109" t="n">
        <f aca="false">SUM(H21:H26)</f>
        <v>9500</v>
      </c>
      <c r="I20" s="109" t="n">
        <f aca="false">SUM(I21:I26)</f>
        <v>11541</v>
      </c>
      <c r="J20" s="109" t="n">
        <f aca="false">SUM(J21:J26)</f>
        <v>8003</v>
      </c>
      <c r="K20" s="109" t="n">
        <f aca="false">SUM(K21:K26)</f>
        <v>7356</v>
      </c>
      <c r="L20" s="109" t="n">
        <f aca="false">SUM(L21:L26)</f>
        <v>9329</v>
      </c>
      <c r="M20" s="109" t="n">
        <f aca="false">SUM(M21:M26)</f>
        <v>5808</v>
      </c>
      <c r="N20" s="109" t="n">
        <f aca="false">SUM(N21:N26)</f>
        <v>9943</v>
      </c>
      <c r="O20" s="109" t="n">
        <f aca="false">SUM(O21:O26)</f>
        <v>10060</v>
      </c>
      <c r="P20" s="109" t="n">
        <f aca="false">SUM(P21:P26)</f>
        <v>6078</v>
      </c>
      <c r="Q20" s="109" t="n">
        <f aca="false">SUM(Q21:Q26)</f>
        <v>11122</v>
      </c>
      <c r="R20" s="109" t="n">
        <f aca="false">SUM(R21:R26)</f>
        <v>101680</v>
      </c>
    </row>
    <row r="21" customFormat="false" ht="15" hidden="false" customHeight="true" outlineLevel="0" collapsed="false">
      <c r="D21" s="100" t="s">
        <v>21</v>
      </c>
      <c r="F21" s="110" t="n">
        <v>4057</v>
      </c>
      <c r="G21" s="110" t="n">
        <v>4418</v>
      </c>
      <c r="H21" s="110" t="n">
        <v>7657</v>
      </c>
      <c r="I21" s="110" t="n">
        <v>4721</v>
      </c>
      <c r="J21" s="110" t="n">
        <v>3962</v>
      </c>
      <c r="K21" s="110" t="n">
        <v>4441</v>
      </c>
      <c r="L21" s="110" t="n">
        <v>6571</v>
      </c>
      <c r="M21" s="110" t="n">
        <v>3288</v>
      </c>
      <c r="N21" s="110" t="n">
        <v>6560</v>
      </c>
      <c r="O21" s="110" t="n">
        <v>6155</v>
      </c>
      <c r="P21" s="110" t="n">
        <v>4210</v>
      </c>
      <c r="Q21" s="110" t="n">
        <v>8650</v>
      </c>
      <c r="R21" s="110" t="n">
        <f aca="false">SUM(F21:Q21)</f>
        <v>64690</v>
      </c>
    </row>
    <row r="22" customFormat="false" ht="15" hidden="false" customHeight="true" outlineLevel="0" collapsed="false">
      <c r="D22" s="100" t="s">
        <v>112</v>
      </c>
      <c r="F22" s="110" t="n">
        <v>1595</v>
      </c>
      <c r="G22" s="110" t="n">
        <v>1590</v>
      </c>
      <c r="H22" s="110" t="n">
        <v>1642</v>
      </c>
      <c r="I22" s="110" t="n">
        <v>1489</v>
      </c>
      <c r="J22" s="110" t="n">
        <v>1414</v>
      </c>
      <c r="K22" s="110" t="n">
        <v>1486</v>
      </c>
      <c r="L22" s="110" t="n">
        <v>1478</v>
      </c>
      <c r="M22" s="110" t="n">
        <v>1361</v>
      </c>
      <c r="N22" s="110" t="n">
        <v>1789</v>
      </c>
      <c r="O22" s="110" t="n">
        <v>2223</v>
      </c>
      <c r="P22" s="110" t="n">
        <v>1266</v>
      </c>
      <c r="Q22" s="110" t="n">
        <v>2241</v>
      </c>
      <c r="R22" s="110" t="n">
        <f aca="false">SUM(F22:Q22)</f>
        <v>19574</v>
      </c>
      <c r="S22" s="110"/>
    </row>
    <row r="23" customFormat="false" ht="15" hidden="false" customHeight="true" outlineLevel="0" collapsed="false">
      <c r="D23" s="100" t="s">
        <v>24</v>
      </c>
      <c r="F23" s="110" t="n">
        <v>258.422</v>
      </c>
      <c r="G23" s="110" t="n">
        <v>86.606</v>
      </c>
      <c r="H23" s="110" t="n">
        <v>129.1</v>
      </c>
      <c r="I23" s="110" t="n">
        <v>127.545</v>
      </c>
      <c r="J23" s="110" t="n">
        <v>138.655</v>
      </c>
      <c r="K23" s="110" t="n">
        <v>274.961</v>
      </c>
      <c r="L23" s="110" t="n">
        <v>101.506</v>
      </c>
      <c r="M23" s="110" t="n">
        <v>135.798</v>
      </c>
      <c r="N23" s="110" t="n">
        <v>0</v>
      </c>
      <c r="O23" s="110" t="n">
        <v>46.168</v>
      </c>
      <c r="P23" s="110" t="n">
        <v>176.178</v>
      </c>
      <c r="Q23" s="110" t="n">
        <v>106.521</v>
      </c>
      <c r="R23" s="110" t="n">
        <f aca="false">SUM(F23:Q23)</f>
        <v>1581.46</v>
      </c>
    </row>
    <row r="24" customFormat="false" ht="15" hidden="false" customHeight="true" outlineLevel="0" collapsed="false">
      <c r="D24" s="100" t="s">
        <v>23</v>
      </c>
      <c r="F24" s="110" t="n">
        <v>9</v>
      </c>
      <c r="G24" s="110" t="n">
        <v>19</v>
      </c>
      <c r="H24" s="110" t="n">
        <v>0</v>
      </c>
      <c r="I24" s="110" t="n">
        <v>31</v>
      </c>
      <c r="J24" s="110" t="n">
        <v>58</v>
      </c>
      <c r="K24" s="110" t="n">
        <v>162</v>
      </c>
      <c r="L24" s="110" t="n">
        <v>0</v>
      </c>
      <c r="M24" s="110" t="n">
        <v>0</v>
      </c>
      <c r="N24" s="110" t="n">
        <v>15</v>
      </c>
      <c r="O24" s="110" t="n">
        <v>45</v>
      </c>
      <c r="P24" s="110" t="n">
        <v>0</v>
      </c>
      <c r="Q24" s="110" t="n">
        <v>81</v>
      </c>
      <c r="R24" s="110" t="n">
        <f aca="false">SUM(F24:Q24)</f>
        <v>420</v>
      </c>
    </row>
    <row r="25" customFormat="false" ht="15" hidden="false" customHeight="true" outlineLevel="0" collapsed="false">
      <c r="D25" s="100" t="s">
        <v>108</v>
      </c>
      <c r="F25" s="110" t="n">
        <v>0</v>
      </c>
      <c r="G25" s="110" t="n">
        <v>0</v>
      </c>
      <c r="H25" s="110" t="n">
        <v>0</v>
      </c>
      <c r="I25" s="110" t="n">
        <v>4911</v>
      </c>
      <c r="J25" s="110" t="n">
        <v>1085</v>
      </c>
      <c r="K25" s="110" t="n">
        <v>1120</v>
      </c>
      <c r="L25" s="110" t="n">
        <v>1016</v>
      </c>
      <c r="M25" s="110" t="n">
        <v>0</v>
      </c>
      <c r="N25" s="110" t="n">
        <v>0</v>
      </c>
      <c r="O25" s="110" t="n">
        <v>722</v>
      </c>
      <c r="P25" s="110" t="n">
        <v>0</v>
      </c>
      <c r="Q25" s="110" t="n">
        <v>0</v>
      </c>
      <c r="R25" s="110" t="n">
        <f aca="false">SUM(F25:Q25)</f>
        <v>8854</v>
      </c>
    </row>
    <row r="26" customFormat="false" ht="15" hidden="false" customHeight="true" outlineLevel="0" collapsed="false">
      <c r="D26" s="100" t="s">
        <v>105</v>
      </c>
      <c r="F26" s="110" t="n">
        <f aca="false">2353-F22-F23-F25</f>
        <v>499.578</v>
      </c>
      <c r="G26" s="110" t="n">
        <f aca="false">2084-G22-G23-G25</f>
        <v>407.394</v>
      </c>
      <c r="H26" s="110" t="n">
        <f aca="false">1843-H22-H23-H25</f>
        <v>71.9</v>
      </c>
      <c r="I26" s="110" t="n">
        <f aca="false">6789-I25-I23-I22</f>
        <v>261.455</v>
      </c>
      <c r="J26" s="110" t="n">
        <f aca="false">3983-J25-J23-J22</f>
        <v>1345.345</v>
      </c>
      <c r="K26" s="110" t="n">
        <f aca="false">2753-K25-K23-K22</f>
        <v>-127.961</v>
      </c>
      <c r="L26" s="110" t="n">
        <f aca="false">2758-L25-L23-L22</f>
        <v>162.494</v>
      </c>
      <c r="M26" s="110" t="n">
        <f aca="false">2520-M25-M23-M22</f>
        <v>1023.202</v>
      </c>
      <c r="N26" s="110" t="n">
        <f aca="false">3368-N25-N23-N22</f>
        <v>1579</v>
      </c>
      <c r="O26" s="110" t="n">
        <f aca="false">3860-O25-O23-O22</f>
        <v>868.832</v>
      </c>
      <c r="P26" s="110" t="n">
        <f aca="false">1868-P25-P23-P22</f>
        <v>425.822</v>
      </c>
      <c r="Q26" s="110" t="n">
        <f aca="false">2391-Q25-Q23-Q22</f>
        <v>43.4789999999998</v>
      </c>
      <c r="R26" s="110" t="n">
        <f aca="false">SUM(F26:Q26)</f>
        <v>6560.54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C28" s="100" t="s">
        <v>26</v>
      </c>
      <c r="F28" s="110" t="n">
        <v>8</v>
      </c>
      <c r="G28" s="110" t="n">
        <v>5</v>
      </c>
      <c r="H28" s="110" t="n">
        <v>1</v>
      </c>
      <c r="I28" s="110" t="n">
        <v>4</v>
      </c>
      <c r="J28" s="110" t="n">
        <v>1</v>
      </c>
      <c r="K28" s="110" t="n">
        <v>6</v>
      </c>
      <c r="L28" s="110" t="n">
        <v>2</v>
      </c>
      <c r="M28" s="110" t="n">
        <v>8</v>
      </c>
      <c r="N28" s="110" t="n">
        <v>31</v>
      </c>
      <c r="O28" s="110" t="n">
        <v>2</v>
      </c>
      <c r="P28" s="110" t="n">
        <v>4</v>
      </c>
      <c r="Q28" s="110" t="n">
        <v>2</v>
      </c>
      <c r="R28" s="110" t="n">
        <v>74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B30" s="107" t="s">
        <v>27</v>
      </c>
      <c r="C30" s="107"/>
      <c r="D30" s="107"/>
      <c r="E30" s="107"/>
      <c r="F30" s="112" t="n">
        <f aca="false">SUM(F32:F38)</f>
        <v>69249</v>
      </c>
      <c r="G30" s="112" t="n">
        <f aca="false">SUM(G32:G38)</f>
        <v>63062</v>
      </c>
      <c r="H30" s="112" t="n">
        <f aca="false">SUM(H32:H38)</f>
        <v>77146</v>
      </c>
      <c r="I30" s="112" t="n">
        <f aca="false">SUM(I32:I38)</f>
        <v>83677</v>
      </c>
      <c r="J30" s="112" t="n">
        <f aca="false">SUM(J32:J38)</f>
        <v>73014</v>
      </c>
      <c r="K30" s="112" t="n">
        <f aca="false">SUM(K32:K38)</f>
        <v>57264</v>
      </c>
      <c r="L30" s="112" t="n">
        <f aca="false">SUM(L32:L38)</f>
        <v>78636</v>
      </c>
      <c r="M30" s="112" t="n">
        <f aca="false">SUM(M32:M38)</f>
        <v>71427</v>
      </c>
      <c r="N30" s="112" t="n">
        <f aca="false">SUM(N32:N38)</f>
        <v>84827</v>
      </c>
      <c r="O30" s="112" t="n">
        <f aca="false">SUM(O32:O38)</f>
        <v>66395</v>
      </c>
      <c r="P30" s="112" t="n">
        <f aca="false">SUM(P32:P38)</f>
        <v>73015</v>
      </c>
      <c r="Q30" s="112" t="n">
        <f aca="false">SUM(Q32:Q38)</f>
        <v>89113</v>
      </c>
      <c r="R30" s="108" t="n">
        <f aca="false">SUM(F30:Q30)</f>
        <v>886825</v>
      </c>
    </row>
    <row r="31" customFormat="false" ht="15" hidden="false" customHeight="true" outlineLevel="0" collapsed="false"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</row>
    <row r="32" customFormat="false" ht="15" hidden="false" customHeight="true" outlineLevel="0" collapsed="false">
      <c r="D32" s="100" t="s">
        <v>28</v>
      </c>
      <c r="F32" s="110" t="n">
        <v>11892</v>
      </c>
      <c r="G32" s="110" t="n">
        <v>12618</v>
      </c>
      <c r="H32" s="110" t="n">
        <v>12782</v>
      </c>
      <c r="I32" s="110" t="n">
        <v>13330</v>
      </c>
      <c r="J32" s="110" t="n">
        <v>12334</v>
      </c>
      <c r="K32" s="110" t="n">
        <v>12239</v>
      </c>
      <c r="L32" s="110" t="n">
        <v>11829</v>
      </c>
      <c r="M32" s="110" t="n">
        <v>11926</v>
      </c>
      <c r="N32" s="110" t="n">
        <v>11865</v>
      </c>
      <c r="O32" s="110" t="n">
        <v>11789</v>
      </c>
      <c r="P32" s="110" t="n">
        <v>12025</v>
      </c>
      <c r="Q32" s="110" t="n">
        <v>12895</v>
      </c>
      <c r="R32" s="110" t="n">
        <f aca="false">SUM(F32:Q32)</f>
        <v>147524</v>
      </c>
    </row>
    <row r="33" customFormat="false" ht="15" hidden="false" customHeight="true" outlineLevel="0" collapsed="false">
      <c r="D33" s="100" t="s">
        <v>29</v>
      </c>
      <c r="F33" s="110" t="n">
        <v>22953</v>
      </c>
      <c r="G33" s="110" t="n">
        <v>17823</v>
      </c>
      <c r="H33" s="110" t="n">
        <v>26039</v>
      </c>
      <c r="I33" s="110" t="n">
        <v>25965</v>
      </c>
      <c r="J33" s="110" t="n">
        <v>16258</v>
      </c>
      <c r="K33" s="110" t="n">
        <v>11972</v>
      </c>
      <c r="L33" s="110" t="n">
        <v>28495</v>
      </c>
      <c r="M33" s="110" t="n">
        <v>19463</v>
      </c>
      <c r="N33" s="110" t="n">
        <v>30067</v>
      </c>
      <c r="O33" s="110" t="n">
        <v>27640</v>
      </c>
      <c r="P33" s="110" t="n">
        <v>18488</v>
      </c>
      <c r="Q33" s="110" t="n">
        <v>15738</v>
      </c>
      <c r="R33" s="110" t="n">
        <f aca="false">SUM(F33:Q33)</f>
        <v>260901</v>
      </c>
    </row>
    <row r="34" customFormat="false" ht="15" hidden="false" customHeight="true" outlineLevel="0" collapsed="false">
      <c r="D34" s="100" t="s">
        <v>30</v>
      </c>
      <c r="F34" s="110" t="n">
        <v>0</v>
      </c>
      <c r="G34" s="110" t="n">
        <v>0</v>
      </c>
      <c r="H34" s="110" t="n">
        <v>302</v>
      </c>
      <c r="I34" s="110" t="n">
        <v>600</v>
      </c>
      <c r="J34" s="110" t="n">
        <v>298</v>
      </c>
      <c r="K34" s="110" t="n">
        <v>145</v>
      </c>
      <c r="L34" s="110" t="n">
        <v>199</v>
      </c>
      <c r="M34" s="110" t="n">
        <v>231</v>
      </c>
      <c r="N34" s="110" t="n">
        <v>1882</v>
      </c>
      <c r="O34" s="110" t="n">
        <v>362</v>
      </c>
      <c r="P34" s="110" t="n">
        <v>277</v>
      </c>
      <c r="Q34" s="110" t="n">
        <v>2654</v>
      </c>
      <c r="R34" s="110" t="n">
        <f aca="false">SUM(F34:Q34)</f>
        <v>6950</v>
      </c>
    </row>
    <row r="35" customFormat="false" ht="15" hidden="false" customHeight="true" outlineLevel="0" collapsed="false">
      <c r="D35" s="100" t="s">
        <v>77</v>
      </c>
      <c r="F35" s="110" t="n">
        <v>197</v>
      </c>
      <c r="G35" s="110" t="n">
        <v>340</v>
      </c>
      <c r="H35" s="110" t="n">
        <v>888</v>
      </c>
      <c r="I35" s="110" t="n">
        <v>3706</v>
      </c>
      <c r="J35" s="110" t="n">
        <v>287</v>
      </c>
      <c r="K35" s="110" t="n">
        <v>141</v>
      </c>
      <c r="L35" s="110" t="n">
        <v>953</v>
      </c>
      <c r="M35" s="110" t="n">
        <v>52</v>
      </c>
      <c r="N35" s="110" t="n">
        <v>391</v>
      </c>
      <c r="O35" s="110" t="n">
        <v>464</v>
      </c>
      <c r="P35" s="110" t="n">
        <v>192</v>
      </c>
      <c r="Q35" s="110" t="n">
        <v>6631</v>
      </c>
      <c r="R35" s="110" t="n">
        <f aca="false">SUM(F35:Q35)</f>
        <v>14242</v>
      </c>
    </row>
    <row r="36" customFormat="false" ht="15" hidden="false" customHeight="true" outlineLevel="0" collapsed="false">
      <c r="D36" s="100" t="s">
        <v>32</v>
      </c>
      <c r="F36" s="110" t="n">
        <v>0</v>
      </c>
      <c r="G36" s="110" t="n">
        <v>0</v>
      </c>
      <c r="H36" s="110" t="n">
        <v>0</v>
      </c>
      <c r="I36" s="110" t="n">
        <v>0</v>
      </c>
      <c r="J36" s="110" t="n">
        <v>0</v>
      </c>
      <c r="K36" s="110" t="n">
        <v>8</v>
      </c>
      <c r="L36" s="110" t="n">
        <v>0</v>
      </c>
      <c r="M36" s="110" t="n">
        <v>21</v>
      </c>
      <c r="N36" s="110" t="n">
        <v>0</v>
      </c>
      <c r="O36" s="110" t="n">
        <v>0</v>
      </c>
      <c r="P36" s="110" t="n">
        <v>9</v>
      </c>
      <c r="Q36" s="110" t="n">
        <v>6</v>
      </c>
      <c r="R36" s="110" t="n">
        <f aca="false">SUM(F36:Q36)</f>
        <v>44</v>
      </c>
    </row>
    <row r="37" customFormat="false" ht="15" hidden="false" customHeight="true" outlineLevel="0" collapsed="false">
      <c r="D37" s="100" t="s">
        <v>78</v>
      </c>
      <c r="F37" s="110" t="n">
        <v>4150</v>
      </c>
      <c r="G37" s="110" t="n">
        <v>827</v>
      </c>
      <c r="H37" s="110" t="n">
        <v>-452</v>
      </c>
      <c r="I37" s="110" t="n">
        <v>-635</v>
      </c>
      <c r="J37" s="110" t="n">
        <v>-3627</v>
      </c>
      <c r="K37" s="110" t="n">
        <v>454</v>
      </c>
      <c r="L37" s="110" t="n">
        <v>729</v>
      </c>
      <c r="M37" s="110" t="n">
        <v>955</v>
      </c>
      <c r="N37" s="110" t="n">
        <v>6394</v>
      </c>
      <c r="O37" s="110" t="n">
        <v>-5330</v>
      </c>
      <c r="P37" s="110" t="n">
        <v>760</v>
      </c>
      <c r="Q37" s="110" t="n">
        <v>1451</v>
      </c>
      <c r="R37" s="110" t="n">
        <f aca="false">SUM(F37:Q37)</f>
        <v>5676</v>
      </c>
    </row>
    <row r="38" customFormat="false" ht="15" hidden="false" customHeight="true" outlineLevel="0" collapsed="false">
      <c r="D38" s="1" t="s">
        <v>79</v>
      </c>
      <c r="F38" s="110" t="n">
        <v>30057</v>
      </c>
      <c r="G38" s="110" t="n">
        <v>31454</v>
      </c>
      <c r="H38" s="110" t="n">
        <v>37587</v>
      </c>
      <c r="I38" s="110" t="n">
        <v>40711</v>
      </c>
      <c r="J38" s="110" t="n">
        <v>47464</v>
      </c>
      <c r="K38" s="110" t="n">
        <v>32305</v>
      </c>
      <c r="L38" s="110" t="n">
        <v>36431</v>
      </c>
      <c r="M38" s="110" t="n">
        <v>38779</v>
      </c>
      <c r="N38" s="110" t="n">
        <v>34228</v>
      </c>
      <c r="O38" s="110" t="n">
        <v>31470</v>
      </c>
      <c r="P38" s="110" t="n">
        <v>41264</v>
      </c>
      <c r="Q38" s="110" t="n">
        <v>49738</v>
      </c>
      <c r="R38" s="110" t="n">
        <f aca="false">SUM(F38:Q38)</f>
        <v>451488</v>
      </c>
    </row>
    <row r="39" customFormat="false" ht="15" hidden="false" customHeight="true" outlineLevel="0" collapsed="false"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</row>
    <row r="40" customFormat="false" ht="15" hidden="false" customHeight="true" outlineLevel="0" collapsed="false">
      <c r="B40" s="107" t="s">
        <v>35</v>
      </c>
      <c r="C40" s="107"/>
      <c r="D40" s="107"/>
      <c r="E40" s="107"/>
      <c r="F40" s="112" t="n">
        <f aca="false">+F9-F30</f>
        <v>-16117</v>
      </c>
      <c r="G40" s="112" t="n">
        <f aca="false">+G9-G30</f>
        <v>-18450</v>
      </c>
      <c r="H40" s="112" t="n">
        <f aca="false">+H9-H30</f>
        <v>-22280</v>
      </c>
      <c r="I40" s="112" t="n">
        <f aca="false">+I9-I30</f>
        <v>-7824</v>
      </c>
      <c r="J40" s="112" t="n">
        <f aca="false">+J9-J30</f>
        <v>-12682</v>
      </c>
      <c r="K40" s="112" t="n">
        <f aca="false">+K9-K30</f>
        <v>-2767</v>
      </c>
      <c r="L40" s="112" t="n">
        <f aca="false">+L9-L30</f>
        <v>-19292</v>
      </c>
      <c r="M40" s="112" t="n">
        <f aca="false">+M9-M30</f>
        <v>-11670</v>
      </c>
      <c r="N40" s="112" t="n">
        <f aca="false">+N9-N30</f>
        <v>-30825</v>
      </c>
      <c r="O40" s="112" t="n">
        <f aca="false">+O9-O30</f>
        <v>-5819</v>
      </c>
      <c r="P40" s="112" t="n">
        <f aca="false">+P9-P30</f>
        <v>-12494</v>
      </c>
      <c r="Q40" s="112" t="n">
        <f aca="false">+Q9-Q30</f>
        <v>-26837</v>
      </c>
      <c r="R40" s="112" t="n">
        <f aca="false">SUM(F40:Q40)</f>
        <v>-187057</v>
      </c>
    </row>
    <row r="41" customFormat="false" ht="15" hidden="false" customHeight="true" outlineLevel="0" collapsed="false"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</row>
    <row r="42" customFormat="false" ht="15" hidden="false" customHeight="true" outlineLevel="0" collapsed="false">
      <c r="B42" s="107" t="s">
        <v>36</v>
      </c>
      <c r="C42" s="107"/>
      <c r="D42" s="107"/>
      <c r="E42" s="107"/>
      <c r="F42" s="108" t="n">
        <v>16299</v>
      </c>
      <c r="G42" s="108" t="n">
        <v>7440</v>
      </c>
      <c r="H42" s="108" t="n">
        <v>21380</v>
      </c>
      <c r="I42" s="108" t="n">
        <v>33871</v>
      </c>
      <c r="J42" s="108" t="n">
        <v>23029</v>
      </c>
      <c r="K42" s="108" t="n">
        <v>-22916</v>
      </c>
      <c r="L42" s="108" t="n">
        <v>61083</v>
      </c>
      <c r="M42" s="108" t="n">
        <v>14127</v>
      </c>
      <c r="N42" s="108" t="n">
        <v>74409</v>
      </c>
      <c r="O42" s="108" t="n">
        <v>-8189</v>
      </c>
      <c r="P42" s="108" t="n">
        <v>18553</v>
      </c>
      <c r="Q42" s="108" t="n">
        <v>3456</v>
      </c>
      <c r="R42" s="108" t="n">
        <v>242542</v>
      </c>
    </row>
    <row r="43" customFormat="false" ht="15" hidden="false" customHeight="true" outlineLevel="0" collapsed="false">
      <c r="C43" s="100" t="s">
        <v>37</v>
      </c>
      <c r="F43" s="109" t="n">
        <v>-10219</v>
      </c>
      <c r="G43" s="109" t="n">
        <v>-2136</v>
      </c>
      <c r="H43" s="109" t="n">
        <v>13227</v>
      </c>
      <c r="I43" s="109" t="n">
        <v>15586</v>
      </c>
      <c r="J43" s="109" t="n">
        <v>20002</v>
      </c>
      <c r="K43" s="109" t="n">
        <v>-15633</v>
      </c>
      <c r="L43" s="109" t="n">
        <v>12825</v>
      </c>
      <c r="M43" s="109" t="n">
        <v>18749</v>
      </c>
      <c r="N43" s="109" t="n">
        <v>32601</v>
      </c>
      <c r="O43" s="109" t="n">
        <v>-1330</v>
      </c>
      <c r="P43" s="109" t="n">
        <v>-4645</v>
      </c>
      <c r="Q43" s="109" t="n">
        <v>2140</v>
      </c>
      <c r="R43" s="109" t="n">
        <v>81167</v>
      </c>
    </row>
    <row r="44" customFormat="false" ht="15" hidden="false" customHeight="true" outlineLevel="0" collapsed="false">
      <c r="D44" s="100" t="s">
        <v>38</v>
      </c>
      <c r="F44" s="110" t="n">
        <v>758</v>
      </c>
      <c r="G44" s="110" t="n">
        <v>5963</v>
      </c>
      <c r="H44" s="110" t="n">
        <v>32096</v>
      </c>
      <c r="I44" s="110" t="n">
        <v>18050</v>
      </c>
      <c r="J44" s="110" t="n">
        <v>25673</v>
      </c>
      <c r="K44" s="110" t="n">
        <v>744</v>
      </c>
      <c r="L44" s="110" t="n">
        <v>18462</v>
      </c>
      <c r="M44" s="110" t="n">
        <v>25629</v>
      </c>
      <c r="N44" s="110" t="n">
        <v>60371</v>
      </c>
      <c r="O44" s="110" t="n">
        <v>2002</v>
      </c>
      <c r="P44" s="110" t="n">
        <v>1280</v>
      </c>
      <c r="Q44" s="110" t="n">
        <v>8505</v>
      </c>
      <c r="R44" s="110" t="n">
        <v>199533</v>
      </c>
    </row>
    <row r="45" customFormat="false" ht="15" hidden="false" customHeight="true" outlineLevel="0" collapsed="false">
      <c r="D45" s="100" t="s">
        <v>97</v>
      </c>
      <c r="F45" s="110" t="n">
        <v>10977</v>
      </c>
      <c r="G45" s="110" t="n">
        <v>8099</v>
      </c>
      <c r="H45" s="110" t="n">
        <v>18869</v>
      </c>
      <c r="I45" s="110" t="n">
        <v>2464</v>
      </c>
      <c r="J45" s="110" t="n">
        <v>5671</v>
      </c>
      <c r="K45" s="110" t="n">
        <v>16377</v>
      </c>
      <c r="L45" s="110" t="n">
        <v>5637</v>
      </c>
      <c r="M45" s="110" t="n">
        <v>6880</v>
      </c>
      <c r="N45" s="110" t="n">
        <v>27770</v>
      </c>
      <c r="O45" s="110" t="n">
        <v>3332</v>
      </c>
      <c r="P45" s="110" t="n">
        <v>5925</v>
      </c>
      <c r="Q45" s="110" t="n">
        <v>6365</v>
      </c>
      <c r="R45" s="110" t="n">
        <v>118366</v>
      </c>
    </row>
    <row r="46" customFormat="false" ht="15" hidden="false" customHeight="true" outlineLevel="0" collapsed="false"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</row>
    <row r="47" customFormat="false" ht="15" hidden="false" customHeight="true" outlineLevel="0" collapsed="false">
      <c r="C47" s="100" t="s">
        <v>40</v>
      </c>
      <c r="F47" s="109" t="n">
        <v>26518</v>
      </c>
      <c r="G47" s="109" t="n">
        <v>9576</v>
      </c>
      <c r="H47" s="109" t="n">
        <v>8153</v>
      </c>
      <c r="I47" s="109" t="n">
        <v>18285</v>
      </c>
      <c r="J47" s="109" t="n">
        <v>3027</v>
      </c>
      <c r="K47" s="109" t="n">
        <v>-7283</v>
      </c>
      <c r="L47" s="109" t="n">
        <v>48258</v>
      </c>
      <c r="M47" s="109" t="n">
        <v>-4622</v>
      </c>
      <c r="N47" s="109" t="n">
        <v>41808</v>
      </c>
      <c r="O47" s="109" t="n">
        <v>-6859</v>
      </c>
      <c r="P47" s="109" t="n">
        <v>23198</v>
      </c>
      <c r="Q47" s="109" t="n">
        <v>1316</v>
      </c>
      <c r="R47" s="109" t="n">
        <v>161375</v>
      </c>
    </row>
    <row r="48" customFormat="false" ht="15" hidden="false" customHeight="true" outlineLevel="0" collapsed="false">
      <c r="D48" s="100" t="s">
        <v>41</v>
      </c>
      <c r="F48" s="110" t="n">
        <v>36013</v>
      </c>
      <c r="G48" s="110" t="n">
        <v>16191</v>
      </c>
      <c r="H48" s="110" t="n">
        <v>21672</v>
      </c>
      <c r="I48" s="110" t="n">
        <v>35571</v>
      </c>
      <c r="J48" s="110" t="n">
        <v>24382</v>
      </c>
      <c r="K48" s="110" t="n">
        <v>10954</v>
      </c>
      <c r="L48" s="110" t="n">
        <v>91370</v>
      </c>
      <c r="M48" s="110" t="n">
        <v>7182</v>
      </c>
      <c r="N48" s="110" t="n">
        <v>60264</v>
      </c>
      <c r="O48" s="110" t="n">
        <v>17986</v>
      </c>
      <c r="P48" s="110" t="n">
        <v>36858</v>
      </c>
      <c r="Q48" s="110" t="n">
        <v>25337</v>
      </c>
      <c r="R48" s="110" t="n">
        <v>383780</v>
      </c>
    </row>
    <row r="49" customFormat="false" ht="15" hidden="false" customHeight="true" outlineLevel="0" collapsed="false">
      <c r="D49" s="100" t="s">
        <v>97</v>
      </c>
      <c r="F49" s="110" t="n">
        <v>9495</v>
      </c>
      <c r="G49" s="110" t="n">
        <v>6615</v>
      </c>
      <c r="H49" s="110" t="n">
        <v>13519</v>
      </c>
      <c r="I49" s="110" t="n">
        <v>17286</v>
      </c>
      <c r="J49" s="110" t="n">
        <v>21355</v>
      </c>
      <c r="K49" s="110" t="n">
        <v>18237</v>
      </c>
      <c r="L49" s="110" t="n">
        <v>43112</v>
      </c>
      <c r="M49" s="110" t="n">
        <v>11804</v>
      </c>
      <c r="N49" s="110" t="n">
        <v>18456</v>
      </c>
      <c r="O49" s="110" t="n">
        <v>24845</v>
      </c>
      <c r="P49" s="110" t="n">
        <v>13660</v>
      </c>
      <c r="Q49" s="110" t="n">
        <v>24021</v>
      </c>
      <c r="R49" s="110" t="n">
        <v>222405</v>
      </c>
    </row>
    <row r="50" customFormat="false" ht="15" hidden="false" customHeight="true" outlineLevel="0" collapsed="false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customFormat="false" ht="15" hidden="false" customHeight="true" outlineLevel="0" collapsed="false">
      <c r="B51" s="107" t="s">
        <v>45</v>
      </c>
      <c r="C51" s="107"/>
      <c r="D51" s="107"/>
      <c r="E51" s="107"/>
      <c r="F51" s="108" t="n">
        <v>-3848</v>
      </c>
      <c r="G51" s="108" t="n">
        <v>21918</v>
      </c>
      <c r="H51" s="108" t="n">
        <v>-1796</v>
      </c>
      <c r="I51" s="108" t="n">
        <v>17233</v>
      </c>
      <c r="J51" s="108" t="n">
        <v>-22917</v>
      </c>
      <c r="K51" s="108" t="n">
        <v>-6603</v>
      </c>
      <c r="L51" s="108" t="n">
        <v>9610</v>
      </c>
      <c r="M51" s="108" t="n">
        <v>-7351</v>
      </c>
      <c r="N51" s="108" t="n">
        <v>53022</v>
      </c>
      <c r="O51" s="108" t="n">
        <v>-15292</v>
      </c>
      <c r="P51" s="108" t="n">
        <v>-12789</v>
      </c>
      <c r="Q51" s="108" t="n">
        <v>-50599</v>
      </c>
      <c r="R51" s="108" t="n">
        <v>-19412</v>
      </c>
    </row>
    <row r="52" customFormat="false" ht="15" hidden="false" customHeight="false" outlineLevel="0" collapsed="false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customFormat="false" ht="15" hidden="false" customHeight="false" outlineLevel="0" collapsed="false">
      <c r="B53" s="103" t="s">
        <v>46</v>
      </c>
    </row>
    <row r="54" customFormat="false" ht="14.25" hidden="false" customHeight="false" outlineLevel="0" collapsed="false">
      <c r="B54" s="103"/>
      <c r="C54" s="31" t="s">
        <v>98</v>
      </c>
      <c r="D54" s="31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10"/>
    </row>
    <row r="55" customFormat="false" ht="14.25" hidden="false" customHeight="false" outlineLevel="0" collapsed="false">
      <c r="B55" s="31"/>
      <c r="C55" s="31" t="s">
        <v>99</v>
      </c>
      <c r="D55" s="31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10"/>
    </row>
    <row r="57" customFormat="false" ht="14.25" hidden="false" customHeight="false" outlineLevel="0" collapsed="false">
      <c r="R57" s="110"/>
    </row>
    <row r="58" customFormat="false" ht="14.25" hidden="false" customHeight="false" outlineLevel="0" collapsed="false">
      <c r="B58" s="31" t="s">
        <v>51</v>
      </c>
    </row>
    <row r="59" customFormat="false" ht="14.25" hidden="false" customHeight="false" outlineLevel="0" collapsed="false">
      <c r="B59" s="31" t="s">
        <v>106</v>
      </c>
    </row>
  </sheetData>
  <mergeCells count="1">
    <mergeCell ref="B7:E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N3" activeCellId="0" sqref="N3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2.14"/>
    <col collapsed="false" customWidth="true" hidden="false" outlineLevel="0" max="2" min="2" style="100" width="1.42"/>
    <col collapsed="false" customWidth="true" hidden="false" outlineLevel="0" max="3" min="3" style="100" width="1.14"/>
    <col collapsed="false" customWidth="true" hidden="false" outlineLevel="0" max="4" min="4" style="100" width="1.71"/>
    <col collapsed="false" customWidth="true" hidden="false" outlineLevel="0" max="5" min="5" style="100" width="33.42"/>
    <col collapsed="false" customWidth="true" hidden="false" outlineLevel="0" max="8" min="6" style="100" width="8.71"/>
    <col collapsed="false" customWidth="true" hidden="false" outlineLevel="0" max="9" min="9" style="100" width="8"/>
    <col collapsed="false" customWidth="true" hidden="false" outlineLevel="0" max="17" min="10" style="100" width="8.71"/>
    <col collapsed="false" customWidth="true" hidden="false" outlineLevel="0" max="18" min="18" style="100" width="9.85"/>
    <col collapsed="false" customWidth="false" hidden="false" outlineLevel="0" max="1024" min="19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131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5" customFormat="false" ht="14.25" hidden="false" customHeight="false" outlineLevel="0" collapsed="false">
      <c r="A5" s="117" t="s">
        <v>3</v>
      </c>
      <c r="B5" s="102"/>
    </row>
    <row r="6" customFormat="false" ht="6" hidden="false" customHeight="true" outlineLevel="0" collapsed="false"/>
    <row r="7" customFormat="false" ht="21.75" hidden="false" customHeight="true" outlineLevel="0" collapsed="false">
      <c r="A7" s="104"/>
      <c r="B7" s="105" t="s">
        <v>4</v>
      </c>
      <c r="C7" s="105"/>
      <c r="D7" s="105"/>
      <c r="E7" s="105"/>
      <c r="F7" s="105" t="s">
        <v>5</v>
      </c>
      <c r="G7" s="105" t="s">
        <v>6</v>
      </c>
      <c r="H7" s="105" t="s">
        <v>7</v>
      </c>
      <c r="I7" s="105" t="s">
        <v>8</v>
      </c>
      <c r="J7" s="105" t="s">
        <v>9</v>
      </c>
      <c r="K7" s="105" t="s">
        <v>10</v>
      </c>
      <c r="L7" s="105" t="s">
        <v>53</v>
      </c>
      <c r="M7" s="105" t="s">
        <v>54</v>
      </c>
      <c r="N7" s="105" t="s">
        <v>55</v>
      </c>
      <c r="O7" s="105" t="s">
        <v>56</v>
      </c>
      <c r="P7" s="105" t="s">
        <v>57</v>
      </c>
      <c r="Q7" s="105" t="s">
        <v>58</v>
      </c>
      <c r="R7" s="106" t="s">
        <v>11</v>
      </c>
    </row>
    <row r="8" customFormat="false" ht="15" hidden="false" customHeight="true" outlineLevel="0" collapsed="false">
      <c r="O8" s="110"/>
    </row>
    <row r="9" customFormat="false" ht="15" hidden="false" customHeight="true" outlineLevel="0" collapsed="false">
      <c r="B9" s="107" t="s">
        <v>12</v>
      </c>
      <c r="C9" s="107"/>
      <c r="D9" s="107"/>
      <c r="E9" s="107"/>
      <c r="F9" s="108" t="n">
        <f aca="false">SUM(F10+F20+F28)</f>
        <v>53132</v>
      </c>
      <c r="G9" s="108" t="n">
        <f aca="false">SUM(G10+G20+G28)</f>
        <v>44612</v>
      </c>
      <c r="H9" s="108" t="n">
        <f aca="false">SUM(H10+H20+H28)</f>
        <v>54866</v>
      </c>
      <c r="I9" s="108" t="n">
        <f aca="false">SUM(I10+I20+I28)</f>
        <v>75853</v>
      </c>
      <c r="J9" s="108" t="n">
        <f aca="false">SUM(J10+J20+J28)</f>
        <v>60332</v>
      </c>
      <c r="K9" s="108" t="n">
        <f aca="false">SUM(K10+K20+K28)</f>
        <v>54497</v>
      </c>
      <c r="L9" s="108" t="n">
        <f aca="false">SUM(L10+L20+L28)</f>
        <v>59344</v>
      </c>
      <c r="M9" s="108" t="n">
        <f aca="false">SUM(M10+M20+M28)</f>
        <v>59757</v>
      </c>
      <c r="N9" s="108" t="n">
        <f aca="false">SUM(N10+N20+N28)</f>
        <v>54002</v>
      </c>
      <c r="O9" s="108" t="n">
        <f aca="false">SUM(O10+O20+O28)</f>
        <v>60576</v>
      </c>
      <c r="P9" s="108" t="n">
        <f aca="false">SUM(P10+P20+P28)</f>
        <v>60521</v>
      </c>
      <c r="Q9" s="108" t="n">
        <f aca="false">SUM(Q10+Q20+Q28)</f>
        <v>62276</v>
      </c>
      <c r="R9" s="108" t="n">
        <f aca="false">SUM(R10+R20+R28)</f>
        <v>699768</v>
      </c>
    </row>
    <row r="10" customFormat="false" ht="15" hidden="false" customHeight="true" outlineLevel="0" collapsed="false">
      <c r="C10" s="100" t="s">
        <v>13</v>
      </c>
      <c r="F10" s="109" t="n">
        <f aca="false">SUM(F11+F15+F18)</f>
        <v>46705</v>
      </c>
      <c r="G10" s="109" t="n">
        <f aca="false">SUM(G11+G15+G18)</f>
        <v>38086</v>
      </c>
      <c r="H10" s="109" t="n">
        <f aca="false">SUM(H11+H15+H18)</f>
        <v>45365</v>
      </c>
      <c r="I10" s="109" t="n">
        <f aca="false">SUM(I11+I15+I18)</f>
        <v>64308</v>
      </c>
      <c r="J10" s="109" t="n">
        <f aca="false">SUM(J11+J15+J18)</f>
        <v>52328</v>
      </c>
      <c r="K10" s="109" t="n">
        <f aca="false">SUM(K11+K15+K18)</f>
        <v>47135</v>
      </c>
      <c r="L10" s="109" t="n">
        <f aca="false">SUM(L11+L15+L18)</f>
        <v>50013</v>
      </c>
      <c r="M10" s="109" t="n">
        <f aca="false">SUM(M11+M15+M18)</f>
        <v>53941</v>
      </c>
      <c r="N10" s="109" t="n">
        <f aca="false">SUM(N11+N15+N18)</f>
        <v>44028</v>
      </c>
      <c r="O10" s="109" t="n">
        <f aca="false">SUM(O11+O15+O18)</f>
        <v>50514</v>
      </c>
      <c r="P10" s="109" t="n">
        <f aca="false">SUM(P11+P15+P18)</f>
        <v>54439</v>
      </c>
      <c r="Q10" s="109" t="n">
        <f aca="false">SUM(Q11+Q15+Q18)</f>
        <v>51152</v>
      </c>
      <c r="R10" s="109" t="n">
        <f aca="false">SUM(R11+R15+R18)</f>
        <v>598014</v>
      </c>
    </row>
    <row r="11" customFormat="false" ht="15" hidden="false" customHeight="true" outlineLevel="0" collapsed="false">
      <c r="D11" s="100" t="s">
        <v>14</v>
      </c>
      <c r="F11" s="110" t="n">
        <v>36537</v>
      </c>
      <c r="G11" s="110" t="n">
        <v>28833</v>
      </c>
      <c r="H11" s="110" t="n">
        <v>33604</v>
      </c>
      <c r="I11" s="110" t="n">
        <v>53017</v>
      </c>
      <c r="J11" s="110" t="n">
        <v>41259</v>
      </c>
      <c r="K11" s="110" t="n">
        <v>35942</v>
      </c>
      <c r="L11" s="110" t="n">
        <v>38891</v>
      </c>
      <c r="M11" s="110" t="n">
        <v>43128</v>
      </c>
      <c r="N11" s="110" t="n">
        <v>32637</v>
      </c>
      <c r="O11" s="110" t="n">
        <v>39307</v>
      </c>
      <c r="P11" s="110" t="n">
        <v>43951</v>
      </c>
      <c r="Q11" s="110" t="n">
        <v>41071</v>
      </c>
      <c r="R11" s="110" t="n">
        <f aca="false">SUM(F11:Q11)</f>
        <v>468177</v>
      </c>
    </row>
    <row r="12" customFormat="false" ht="15" hidden="false" customHeight="true" outlineLevel="0" collapsed="false">
      <c r="E12" s="31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</row>
    <row r="13" customFormat="false" ht="15" hidden="false" customHeight="true" outlineLevel="0" collapsed="false">
      <c r="E13" s="100" t="s">
        <v>16</v>
      </c>
      <c r="F13" s="110" t="n">
        <v>0</v>
      </c>
      <c r="G13" s="110" t="n">
        <v>0</v>
      </c>
      <c r="H13" s="110" t="n">
        <v>302</v>
      </c>
      <c r="I13" s="110" t="n">
        <v>248</v>
      </c>
      <c r="J13" s="110" t="n">
        <v>177</v>
      </c>
      <c r="K13" s="110" t="n">
        <v>145</v>
      </c>
      <c r="L13" s="110" t="n">
        <v>157</v>
      </c>
      <c r="M13" s="110" t="n">
        <v>231</v>
      </c>
      <c r="N13" s="110" t="n">
        <v>132</v>
      </c>
      <c r="O13" s="110" t="n">
        <v>292</v>
      </c>
      <c r="P13" s="110" t="n">
        <v>180</v>
      </c>
      <c r="Q13" s="110" t="n">
        <v>288</v>
      </c>
      <c r="R13" s="110" t="n">
        <f aca="false">SUM(F13:Q13)</f>
        <v>2152</v>
      </c>
    </row>
    <row r="14" customFormat="false" ht="15" hidden="false" customHeight="true" outlineLevel="0" collapsed="false">
      <c r="E14" s="100" t="s">
        <v>17</v>
      </c>
      <c r="F14" s="110" t="n">
        <v>0</v>
      </c>
      <c r="G14" s="110" t="n">
        <v>0</v>
      </c>
      <c r="H14" s="110" t="n">
        <v>0</v>
      </c>
      <c r="I14" s="110" t="n">
        <v>0</v>
      </c>
      <c r="J14" s="110" t="n">
        <v>0</v>
      </c>
      <c r="K14" s="110" t="n">
        <v>0</v>
      </c>
      <c r="L14" s="110" t="n">
        <v>0</v>
      </c>
      <c r="M14" s="110" t="n">
        <v>0</v>
      </c>
      <c r="N14" s="110" t="n">
        <v>0</v>
      </c>
      <c r="O14" s="110" t="n">
        <v>0</v>
      </c>
      <c r="P14" s="110" t="n">
        <v>0</v>
      </c>
      <c r="Q14" s="110" t="n">
        <v>0</v>
      </c>
      <c r="R14" s="110" t="n">
        <v>0</v>
      </c>
      <c r="S14" s="110"/>
    </row>
    <row r="15" customFormat="false" ht="15" hidden="false" customHeight="true" outlineLevel="0" collapsed="false">
      <c r="D15" s="100" t="s">
        <v>18</v>
      </c>
      <c r="F15" s="110" t="n">
        <v>9581</v>
      </c>
      <c r="G15" s="110" t="n">
        <v>8634</v>
      </c>
      <c r="H15" s="110" t="n">
        <v>10980</v>
      </c>
      <c r="I15" s="110" t="n">
        <v>10576</v>
      </c>
      <c r="J15" s="110" t="n">
        <v>10373</v>
      </c>
      <c r="K15" s="110" t="n">
        <v>10424</v>
      </c>
      <c r="L15" s="110" t="n">
        <v>10430</v>
      </c>
      <c r="M15" s="110" t="n">
        <v>10081</v>
      </c>
      <c r="N15" s="110" t="n">
        <v>10697</v>
      </c>
      <c r="O15" s="110" t="n">
        <v>10544</v>
      </c>
      <c r="P15" s="110" t="n">
        <v>10233</v>
      </c>
      <c r="Q15" s="110" t="n">
        <v>9918</v>
      </c>
      <c r="R15" s="110" t="n">
        <f aca="false">SUM(F15:Q15)</f>
        <v>122471</v>
      </c>
    </row>
    <row r="16" customFormat="false" ht="15" hidden="false" customHeight="true" outlineLevel="0" collapsed="false">
      <c r="E16" s="31" t="s">
        <v>15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</row>
    <row r="17" customFormat="false" ht="15" hidden="false" customHeight="true" outlineLevel="0" collapsed="false">
      <c r="E17" s="100" t="s">
        <v>17</v>
      </c>
      <c r="F17" s="110" t="n">
        <v>0</v>
      </c>
      <c r="G17" s="110" t="n">
        <v>0</v>
      </c>
      <c r="H17" s="110" t="n">
        <v>0</v>
      </c>
      <c r="I17" s="110" t="n">
        <v>352</v>
      </c>
      <c r="J17" s="110" t="n">
        <v>121</v>
      </c>
      <c r="K17" s="110" t="n">
        <v>0</v>
      </c>
      <c r="L17" s="110" t="n">
        <v>42</v>
      </c>
      <c r="M17" s="110" t="n">
        <v>0</v>
      </c>
      <c r="N17" s="110" t="n">
        <v>1750</v>
      </c>
      <c r="O17" s="110" t="n">
        <v>70</v>
      </c>
      <c r="P17" s="110" t="n">
        <v>97</v>
      </c>
      <c r="Q17" s="110" t="n">
        <v>2366</v>
      </c>
      <c r="R17" s="110" t="n">
        <f aca="false">SUM(F17:Q17)</f>
        <v>4798</v>
      </c>
    </row>
    <row r="18" customFormat="false" ht="15" hidden="false" customHeight="true" outlineLevel="0" collapsed="false">
      <c r="D18" s="100" t="s">
        <v>105</v>
      </c>
      <c r="F18" s="110" t="n">
        <v>587</v>
      </c>
      <c r="G18" s="110" t="n">
        <v>619</v>
      </c>
      <c r="H18" s="110" t="n">
        <v>781</v>
      </c>
      <c r="I18" s="110" t="n">
        <v>715</v>
      </c>
      <c r="J18" s="110" t="n">
        <v>696</v>
      </c>
      <c r="K18" s="110" t="n">
        <v>769</v>
      </c>
      <c r="L18" s="110" t="n">
        <v>692</v>
      </c>
      <c r="M18" s="110" t="n">
        <v>732</v>
      </c>
      <c r="N18" s="110" t="n">
        <v>694</v>
      </c>
      <c r="O18" s="110" t="n">
        <v>663</v>
      </c>
      <c r="P18" s="110" t="n">
        <v>255</v>
      </c>
      <c r="Q18" s="110" t="n">
        <v>163</v>
      </c>
      <c r="R18" s="110" t="n">
        <f aca="false">SUM(F18:Q18)</f>
        <v>7366</v>
      </c>
    </row>
    <row r="19" customFormat="false" ht="15" hidden="false" customHeight="true" outlineLevel="0" collapsed="false"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T19" s="100" t="s">
        <v>59</v>
      </c>
    </row>
    <row r="20" customFormat="false" ht="15" hidden="false" customHeight="true" outlineLevel="0" collapsed="false">
      <c r="C20" s="100" t="s">
        <v>20</v>
      </c>
      <c r="F20" s="109" t="n">
        <f aca="false">SUM(F21:F26)</f>
        <v>6419</v>
      </c>
      <c r="G20" s="109" t="n">
        <f aca="false">SUM(G21:G26)</f>
        <v>6521</v>
      </c>
      <c r="H20" s="109" t="n">
        <f aca="false">SUM(H21:H26)</f>
        <v>9500</v>
      </c>
      <c r="I20" s="109" t="n">
        <f aca="false">SUM(I21:I26)</f>
        <v>11541</v>
      </c>
      <c r="J20" s="109" t="n">
        <f aca="false">SUM(J21:J26)</f>
        <v>8003</v>
      </c>
      <c r="K20" s="109" t="n">
        <f aca="false">SUM(K21:K26)</f>
        <v>7356</v>
      </c>
      <c r="L20" s="109" t="n">
        <f aca="false">SUM(L21:L26)</f>
        <v>9329</v>
      </c>
      <c r="M20" s="109" t="n">
        <f aca="false">SUM(M21:M26)</f>
        <v>5808</v>
      </c>
      <c r="N20" s="109" t="n">
        <f aca="false">SUM(N21:N26)</f>
        <v>9943</v>
      </c>
      <c r="O20" s="109" t="n">
        <f aca="false">SUM(O21:O26)</f>
        <v>10060</v>
      </c>
      <c r="P20" s="109" t="n">
        <f aca="false">SUM(P21:P26)</f>
        <v>6078</v>
      </c>
      <c r="Q20" s="109" t="n">
        <f aca="false">SUM(Q21:Q26)</f>
        <v>11122</v>
      </c>
      <c r="R20" s="109" t="n">
        <f aca="false">SUM(R21:R26)</f>
        <v>101680</v>
      </c>
    </row>
    <row r="21" customFormat="false" ht="15" hidden="false" customHeight="true" outlineLevel="0" collapsed="false">
      <c r="D21" s="100" t="s">
        <v>21</v>
      </c>
      <c r="F21" s="110" t="n">
        <v>4057</v>
      </c>
      <c r="G21" s="110" t="n">
        <v>4418</v>
      </c>
      <c r="H21" s="110" t="n">
        <v>7657</v>
      </c>
      <c r="I21" s="110" t="n">
        <v>4721</v>
      </c>
      <c r="J21" s="110" t="n">
        <v>3962</v>
      </c>
      <c r="K21" s="110" t="n">
        <v>4441</v>
      </c>
      <c r="L21" s="110" t="n">
        <v>6571</v>
      </c>
      <c r="M21" s="110" t="n">
        <v>3288</v>
      </c>
      <c r="N21" s="110" t="n">
        <v>6560</v>
      </c>
      <c r="O21" s="110" t="n">
        <v>6155</v>
      </c>
      <c r="P21" s="110" t="n">
        <v>4210</v>
      </c>
      <c r="Q21" s="110" t="n">
        <v>8650</v>
      </c>
      <c r="R21" s="110" t="n">
        <f aca="false">SUM(F21:Q21)</f>
        <v>64690</v>
      </c>
    </row>
    <row r="22" customFormat="false" ht="15" hidden="false" customHeight="true" outlineLevel="0" collapsed="false">
      <c r="D22" s="100" t="s">
        <v>112</v>
      </c>
      <c r="F22" s="110" t="n">
        <v>1595</v>
      </c>
      <c r="G22" s="110" t="n">
        <v>1590</v>
      </c>
      <c r="H22" s="110" t="n">
        <v>1642</v>
      </c>
      <c r="I22" s="110" t="n">
        <v>1489</v>
      </c>
      <c r="J22" s="110" t="n">
        <v>1414</v>
      </c>
      <c r="K22" s="110" t="n">
        <v>1486</v>
      </c>
      <c r="L22" s="110" t="n">
        <v>1478</v>
      </c>
      <c r="M22" s="110" t="n">
        <v>1361</v>
      </c>
      <c r="N22" s="110" t="n">
        <v>1789</v>
      </c>
      <c r="O22" s="110" t="n">
        <v>2223</v>
      </c>
      <c r="P22" s="110" t="n">
        <v>1266</v>
      </c>
      <c r="Q22" s="110" t="n">
        <v>2241</v>
      </c>
      <c r="R22" s="110" t="n">
        <f aca="false">SUM(F22:Q22)</f>
        <v>19574</v>
      </c>
      <c r="S22" s="110"/>
    </row>
    <row r="23" customFormat="false" ht="15" hidden="false" customHeight="true" outlineLevel="0" collapsed="false">
      <c r="D23" s="100" t="s">
        <v>24</v>
      </c>
      <c r="F23" s="110" t="n">
        <v>258.422</v>
      </c>
      <c r="G23" s="110" t="n">
        <v>86.606</v>
      </c>
      <c r="H23" s="110" t="n">
        <v>129.1</v>
      </c>
      <c r="I23" s="110" t="n">
        <v>127.545</v>
      </c>
      <c r="J23" s="110" t="n">
        <v>138.655</v>
      </c>
      <c r="K23" s="110" t="n">
        <v>274.961</v>
      </c>
      <c r="L23" s="110" t="n">
        <v>101.506</v>
      </c>
      <c r="M23" s="110" t="n">
        <v>135.798</v>
      </c>
      <c r="N23" s="110" t="n">
        <v>0</v>
      </c>
      <c r="O23" s="110" t="n">
        <v>46.168</v>
      </c>
      <c r="P23" s="110" t="n">
        <v>176.178</v>
      </c>
      <c r="Q23" s="110" t="n">
        <v>106.521</v>
      </c>
      <c r="R23" s="110" t="n">
        <f aca="false">SUM(F23:Q23)</f>
        <v>1581.46</v>
      </c>
    </row>
    <row r="24" customFormat="false" ht="15" hidden="false" customHeight="true" outlineLevel="0" collapsed="false">
      <c r="D24" s="100" t="s">
        <v>23</v>
      </c>
      <c r="F24" s="110" t="n">
        <v>9</v>
      </c>
      <c r="G24" s="110" t="n">
        <v>19</v>
      </c>
      <c r="H24" s="110" t="n">
        <v>0</v>
      </c>
      <c r="I24" s="110" t="n">
        <v>31</v>
      </c>
      <c r="J24" s="110" t="n">
        <v>58</v>
      </c>
      <c r="K24" s="110" t="n">
        <v>162</v>
      </c>
      <c r="L24" s="110" t="n">
        <v>0</v>
      </c>
      <c r="M24" s="110" t="n">
        <v>0</v>
      </c>
      <c r="N24" s="110" t="n">
        <v>15</v>
      </c>
      <c r="O24" s="110" t="n">
        <v>45</v>
      </c>
      <c r="P24" s="110" t="n">
        <v>0</v>
      </c>
      <c r="Q24" s="110" t="n">
        <v>81</v>
      </c>
      <c r="R24" s="110" t="n">
        <f aca="false">SUM(F24:Q24)</f>
        <v>420</v>
      </c>
    </row>
    <row r="25" customFormat="false" ht="15" hidden="false" customHeight="true" outlineLevel="0" collapsed="false">
      <c r="D25" s="100" t="s">
        <v>108</v>
      </c>
      <c r="F25" s="110" t="n">
        <v>0</v>
      </c>
      <c r="G25" s="110" t="n">
        <v>0</v>
      </c>
      <c r="H25" s="110" t="n">
        <v>0</v>
      </c>
      <c r="I25" s="110" t="n">
        <v>4911</v>
      </c>
      <c r="J25" s="110" t="n">
        <v>1085</v>
      </c>
      <c r="K25" s="110" t="n">
        <v>1120</v>
      </c>
      <c r="L25" s="110" t="n">
        <v>1016</v>
      </c>
      <c r="M25" s="110" t="n">
        <v>0</v>
      </c>
      <c r="N25" s="110" t="n">
        <v>0</v>
      </c>
      <c r="O25" s="110" t="n">
        <v>722</v>
      </c>
      <c r="P25" s="110" t="n">
        <v>0</v>
      </c>
      <c r="Q25" s="110" t="n">
        <v>0</v>
      </c>
      <c r="R25" s="110" t="n">
        <f aca="false">SUM(F25:Q25)</f>
        <v>8854</v>
      </c>
    </row>
    <row r="26" customFormat="false" ht="15" hidden="false" customHeight="true" outlineLevel="0" collapsed="false">
      <c r="D26" s="100" t="s">
        <v>105</v>
      </c>
      <c r="F26" s="110" t="n">
        <f aca="false">2353-F22-F23-F25</f>
        <v>499.578</v>
      </c>
      <c r="G26" s="110" t="n">
        <f aca="false">2084-G22-G23-G25</f>
        <v>407.394</v>
      </c>
      <c r="H26" s="110" t="n">
        <f aca="false">1843-H22-H23-H25</f>
        <v>71.9</v>
      </c>
      <c r="I26" s="110" t="n">
        <f aca="false">6789-I25-I23-I22</f>
        <v>261.455</v>
      </c>
      <c r="J26" s="110" t="n">
        <f aca="false">3983-J25-J23-J22</f>
        <v>1345.345</v>
      </c>
      <c r="K26" s="110" t="n">
        <f aca="false">2753-K25-K23-K22</f>
        <v>-127.961</v>
      </c>
      <c r="L26" s="110" t="n">
        <f aca="false">2758-L25-L23-L22</f>
        <v>162.494</v>
      </c>
      <c r="M26" s="110" t="n">
        <f aca="false">2520-M25-M23-M22</f>
        <v>1023.202</v>
      </c>
      <c r="N26" s="110" t="n">
        <f aca="false">3368-N25-N23-N22</f>
        <v>1579</v>
      </c>
      <c r="O26" s="110" t="n">
        <f aca="false">3860-O25-O23-O22</f>
        <v>868.832</v>
      </c>
      <c r="P26" s="110" t="n">
        <f aca="false">1868-P25-P23-P22</f>
        <v>425.822</v>
      </c>
      <c r="Q26" s="110" t="n">
        <f aca="false">2391-Q25-Q23-Q22</f>
        <v>43.4789999999998</v>
      </c>
      <c r="R26" s="110" t="n">
        <f aca="false">SUM(F26:Q26)</f>
        <v>6560.54</v>
      </c>
    </row>
    <row r="27" customFormat="false" ht="15" hidden="false" customHeight="true" outlineLevel="0" collapsed="false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" hidden="false" customHeight="true" outlineLevel="0" collapsed="false">
      <c r="C28" s="100" t="s">
        <v>26</v>
      </c>
      <c r="F28" s="110" t="n">
        <v>8</v>
      </c>
      <c r="G28" s="110" t="n">
        <v>5</v>
      </c>
      <c r="H28" s="110" t="n">
        <v>1</v>
      </c>
      <c r="I28" s="110" t="n">
        <v>4</v>
      </c>
      <c r="J28" s="110" t="n">
        <v>1</v>
      </c>
      <c r="K28" s="110" t="n">
        <v>6</v>
      </c>
      <c r="L28" s="110" t="n">
        <v>2</v>
      </c>
      <c r="M28" s="110" t="n">
        <v>8</v>
      </c>
      <c r="N28" s="110" t="n">
        <v>31</v>
      </c>
      <c r="O28" s="110" t="n">
        <v>2</v>
      </c>
      <c r="P28" s="110" t="n">
        <v>4</v>
      </c>
      <c r="Q28" s="110" t="n">
        <v>2</v>
      </c>
      <c r="R28" s="110" t="n">
        <v>74</v>
      </c>
    </row>
    <row r="29" customFormat="false" ht="1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" hidden="false" customHeight="true" outlineLevel="0" collapsed="false">
      <c r="B30" s="107" t="s">
        <v>27</v>
      </c>
      <c r="C30" s="107"/>
      <c r="D30" s="107"/>
      <c r="E30" s="107"/>
      <c r="F30" s="108" t="n">
        <f aca="false">SUM(F32:F38)</f>
        <v>69249</v>
      </c>
      <c r="G30" s="108" t="n">
        <f aca="false">SUM(G32:G38)</f>
        <v>63062</v>
      </c>
      <c r="H30" s="108" t="n">
        <f aca="false">SUM(H32:H38)</f>
        <v>77146</v>
      </c>
      <c r="I30" s="108" t="n">
        <f aca="false">SUM(I32:I38)</f>
        <v>83677</v>
      </c>
      <c r="J30" s="108" t="n">
        <f aca="false">SUM(J32:J38)</f>
        <v>73014</v>
      </c>
      <c r="K30" s="108" t="n">
        <f aca="false">SUM(K32:K38)</f>
        <v>57264</v>
      </c>
      <c r="L30" s="108" t="n">
        <f aca="false">SUM(L32:L38)</f>
        <v>78636</v>
      </c>
      <c r="M30" s="108" t="n">
        <f aca="false">SUM(M32:M38)</f>
        <v>71427</v>
      </c>
      <c r="N30" s="108" t="n">
        <f aca="false">SUM(N32:N38)</f>
        <v>84827</v>
      </c>
      <c r="O30" s="108" t="n">
        <f aca="false">SUM(O32:O38)</f>
        <v>66395</v>
      </c>
      <c r="P30" s="108" t="n">
        <f aca="false">SUM(P32:P38)</f>
        <v>73015</v>
      </c>
      <c r="Q30" s="108" t="n">
        <f aca="false">SUM(Q32:Q38)</f>
        <v>89113</v>
      </c>
      <c r="R30" s="108" t="n">
        <f aca="false">SUM(F30:Q30)</f>
        <v>886825</v>
      </c>
    </row>
    <row r="31" customFormat="false" ht="15" hidden="false" customHeight="true" outlineLevel="0" collapsed="false">
      <c r="C31" s="100" t="s">
        <v>15</v>
      </c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</row>
    <row r="32" customFormat="false" ht="15" hidden="false" customHeight="true" outlineLevel="0" collapsed="false">
      <c r="D32" s="100" t="s">
        <v>28</v>
      </c>
      <c r="F32" s="110" t="n">
        <v>11892</v>
      </c>
      <c r="G32" s="110" t="n">
        <v>12618</v>
      </c>
      <c r="H32" s="110" t="n">
        <v>12782</v>
      </c>
      <c r="I32" s="110" t="n">
        <v>13330</v>
      </c>
      <c r="J32" s="110" t="n">
        <v>12334</v>
      </c>
      <c r="K32" s="110" t="n">
        <v>12239</v>
      </c>
      <c r="L32" s="110" t="n">
        <v>11829</v>
      </c>
      <c r="M32" s="110" t="n">
        <v>11926</v>
      </c>
      <c r="N32" s="110" t="n">
        <v>11865</v>
      </c>
      <c r="O32" s="110" t="n">
        <v>11789</v>
      </c>
      <c r="P32" s="110" t="n">
        <v>12025</v>
      </c>
      <c r="Q32" s="110" t="n">
        <v>12895</v>
      </c>
      <c r="R32" s="110" t="n">
        <f aca="false">SUM(F32:Q32)</f>
        <v>147524</v>
      </c>
    </row>
    <row r="33" customFormat="false" ht="15" hidden="false" customHeight="true" outlineLevel="0" collapsed="false">
      <c r="D33" s="100" t="s">
        <v>29</v>
      </c>
      <c r="F33" s="110" t="n">
        <v>22953</v>
      </c>
      <c r="G33" s="110" t="n">
        <v>17823</v>
      </c>
      <c r="H33" s="110" t="n">
        <v>26039</v>
      </c>
      <c r="I33" s="110" t="n">
        <v>25965</v>
      </c>
      <c r="J33" s="110" t="n">
        <v>16258</v>
      </c>
      <c r="K33" s="110" t="n">
        <v>11972</v>
      </c>
      <c r="L33" s="110" t="n">
        <v>28495</v>
      </c>
      <c r="M33" s="110" t="n">
        <v>19463</v>
      </c>
      <c r="N33" s="110" t="n">
        <v>30067</v>
      </c>
      <c r="O33" s="110" t="n">
        <v>27640</v>
      </c>
      <c r="P33" s="110" t="n">
        <v>18488</v>
      </c>
      <c r="Q33" s="110" t="n">
        <v>15738</v>
      </c>
      <c r="R33" s="110" t="n">
        <f aca="false">SUM(F33:Q33)</f>
        <v>260901</v>
      </c>
    </row>
    <row r="34" customFormat="false" ht="15" hidden="false" customHeight="true" outlineLevel="0" collapsed="false">
      <c r="D34" s="100" t="s">
        <v>30</v>
      </c>
      <c r="F34" s="110" t="n">
        <v>0</v>
      </c>
      <c r="G34" s="110" t="n">
        <v>0</v>
      </c>
      <c r="H34" s="110" t="n">
        <v>302</v>
      </c>
      <c r="I34" s="110" t="n">
        <v>600</v>
      </c>
      <c r="J34" s="110" t="n">
        <v>298</v>
      </c>
      <c r="K34" s="110" t="n">
        <v>145</v>
      </c>
      <c r="L34" s="110" t="n">
        <v>199</v>
      </c>
      <c r="M34" s="110" t="n">
        <v>231</v>
      </c>
      <c r="N34" s="110" t="n">
        <v>1882</v>
      </c>
      <c r="O34" s="110" t="n">
        <v>362</v>
      </c>
      <c r="P34" s="110" t="n">
        <v>277</v>
      </c>
      <c r="Q34" s="110" t="n">
        <v>2654</v>
      </c>
      <c r="R34" s="110" t="n">
        <f aca="false">SUM(F34:Q34)</f>
        <v>6950</v>
      </c>
    </row>
    <row r="35" customFormat="false" ht="15" hidden="false" customHeight="true" outlineLevel="0" collapsed="false">
      <c r="D35" s="100" t="s">
        <v>77</v>
      </c>
      <c r="F35" s="110" t="n">
        <v>197</v>
      </c>
      <c r="G35" s="110" t="n">
        <v>340</v>
      </c>
      <c r="H35" s="110" t="n">
        <v>888</v>
      </c>
      <c r="I35" s="110" t="n">
        <v>3706</v>
      </c>
      <c r="J35" s="110" t="n">
        <v>287</v>
      </c>
      <c r="K35" s="110" t="n">
        <v>141</v>
      </c>
      <c r="L35" s="110" t="n">
        <v>953</v>
      </c>
      <c r="M35" s="110" t="n">
        <v>52</v>
      </c>
      <c r="N35" s="110" t="n">
        <v>391</v>
      </c>
      <c r="O35" s="110" t="n">
        <v>464</v>
      </c>
      <c r="P35" s="110" t="n">
        <v>192</v>
      </c>
      <c r="Q35" s="110" t="n">
        <v>6631</v>
      </c>
      <c r="R35" s="110" t="n">
        <f aca="false">SUM(F35:Q35)</f>
        <v>14242</v>
      </c>
    </row>
    <row r="36" customFormat="false" ht="15" hidden="false" customHeight="true" outlineLevel="0" collapsed="false">
      <c r="D36" s="100" t="s">
        <v>32</v>
      </c>
      <c r="F36" s="110" t="n">
        <v>0</v>
      </c>
      <c r="G36" s="110" t="n">
        <v>0</v>
      </c>
      <c r="H36" s="110" t="n">
        <v>0</v>
      </c>
      <c r="I36" s="110" t="n">
        <v>0</v>
      </c>
      <c r="J36" s="110" t="n">
        <v>0</v>
      </c>
      <c r="K36" s="110" t="n">
        <v>8</v>
      </c>
      <c r="L36" s="110" t="n">
        <v>0</v>
      </c>
      <c r="M36" s="110" t="n">
        <v>21</v>
      </c>
      <c r="N36" s="110" t="n">
        <v>0</v>
      </c>
      <c r="O36" s="110" t="n">
        <v>0</v>
      </c>
      <c r="P36" s="110" t="n">
        <v>9</v>
      </c>
      <c r="Q36" s="110" t="n">
        <v>6</v>
      </c>
      <c r="R36" s="110" t="n">
        <f aca="false">SUM(F36:Q36)</f>
        <v>44</v>
      </c>
    </row>
    <row r="37" customFormat="false" ht="15" hidden="false" customHeight="true" outlineLevel="0" collapsed="false">
      <c r="D37" s="100" t="s">
        <v>78</v>
      </c>
      <c r="F37" s="110" t="n">
        <v>4150</v>
      </c>
      <c r="G37" s="110" t="n">
        <v>827</v>
      </c>
      <c r="H37" s="110" t="n">
        <v>-452</v>
      </c>
      <c r="I37" s="110" t="n">
        <v>-635</v>
      </c>
      <c r="J37" s="110" t="n">
        <v>-3627</v>
      </c>
      <c r="K37" s="110" t="n">
        <v>454</v>
      </c>
      <c r="L37" s="110" t="n">
        <v>729</v>
      </c>
      <c r="M37" s="110" t="n">
        <v>955</v>
      </c>
      <c r="N37" s="110" t="n">
        <v>6394</v>
      </c>
      <c r="O37" s="110" t="n">
        <v>-5330</v>
      </c>
      <c r="P37" s="110" t="n">
        <v>760</v>
      </c>
      <c r="Q37" s="110" t="n">
        <v>1451</v>
      </c>
      <c r="R37" s="110" t="n">
        <f aca="false">SUM(F37:Q37)</f>
        <v>5676</v>
      </c>
    </row>
    <row r="38" customFormat="false" ht="15" hidden="false" customHeight="true" outlineLevel="0" collapsed="false">
      <c r="D38" s="1" t="s">
        <v>79</v>
      </c>
      <c r="F38" s="110" t="n">
        <v>30057</v>
      </c>
      <c r="G38" s="110" t="n">
        <v>31454</v>
      </c>
      <c r="H38" s="110" t="n">
        <v>37587</v>
      </c>
      <c r="I38" s="110" t="n">
        <v>40711</v>
      </c>
      <c r="J38" s="110" t="n">
        <v>47464</v>
      </c>
      <c r="K38" s="110" t="n">
        <v>32305</v>
      </c>
      <c r="L38" s="110" t="n">
        <v>36431</v>
      </c>
      <c r="M38" s="110" t="n">
        <v>38779</v>
      </c>
      <c r="N38" s="110" t="n">
        <v>34228</v>
      </c>
      <c r="O38" s="110" t="n">
        <v>31470</v>
      </c>
      <c r="P38" s="110" t="n">
        <v>41264</v>
      </c>
      <c r="Q38" s="110" t="n">
        <v>49738</v>
      </c>
      <c r="R38" s="110" t="n">
        <f aca="false">SUM(F38:Q38)</f>
        <v>451488</v>
      </c>
    </row>
    <row r="39" customFormat="false" ht="15" hidden="false" customHeight="true" outlineLevel="0" collapsed="false"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 t="s">
        <v>59</v>
      </c>
    </row>
    <row r="40" customFormat="false" ht="15" hidden="false" customHeight="true" outlineLevel="0" collapsed="false">
      <c r="B40" s="107" t="s">
        <v>35</v>
      </c>
      <c r="C40" s="107"/>
      <c r="D40" s="107"/>
      <c r="E40" s="107"/>
      <c r="F40" s="112" t="n">
        <f aca="false">+F9-F30</f>
        <v>-16117</v>
      </c>
      <c r="G40" s="112" t="n">
        <f aca="false">+G9-G30</f>
        <v>-18450</v>
      </c>
      <c r="H40" s="112" t="n">
        <f aca="false">+H9-H30</f>
        <v>-22280</v>
      </c>
      <c r="I40" s="112" t="n">
        <f aca="false">+I9-I30</f>
        <v>-7824</v>
      </c>
      <c r="J40" s="112" t="n">
        <f aca="false">+J9-J30</f>
        <v>-12682</v>
      </c>
      <c r="K40" s="112" t="n">
        <f aca="false">+K9-K30</f>
        <v>-2767</v>
      </c>
      <c r="L40" s="112" t="n">
        <f aca="false">+L9-L30</f>
        <v>-19292</v>
      </c>
      <c r="M40" s="112" t="n">
        <f aca="false">+M9-M30</f>
        <v>-11670</v>
      </c>
      <c r="N40" s="112" t="n">
        <f aca="false">+N9-N30</f>
        <v>-30825</v>
      </c>
      <c r="O40" s="112" t="n">
        <f aca="false">+O9-O30</f>
        <v>-5819</v>
      </c>
      <c r="P40" s="112" t="n">
        <f aca="false">+P9-P30</f>
        <v>-12494</v>
      </c>
      <c r="Q40" s="112" t="n">
        <f aca="false">+Q9-Q30</f>
        <v>-26837</v>
      </c>
      <c r="R40" s="112" t="n">
        <f aca="false">SUM(F40:Q40)</f>
        <v>-187057</v>
      </c>
    </row>
    <row r="41" customFormat="false" ht="15" hidden="false" customHeight="true" outlineLevel="0" collapsed="false"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</row>
    <row r="42" customFormat="false" ht="15" hidden="false" customHeight="true" outlineLevel="0" collapsed="false">
      <c r="B42" s="107" t="s">
        <v>36</v>
      </c>
      <c r="C42" s="107"/>
      <c r="D42" s="107"/>
      <c r="E42" s="107"/>
      <c r="F42" s="108" t="n">
        <v>25743</v>
      </c>
      <c r="G42" s="108" t="n">
        <v>13889</v>
      </c>
      <c r="H42" s="108" t="n">
        <v>34840</v>
      </c>
      <c r="I42" s="108" t="n">
        <v>51030</v>
      </c>
      <c r="J42" s="108" t="n">
        <v>44324</v>
      </c>
      <c r="K42" s="108" t="n">
        <v>-4806</v>
      </c>
      <c r="L42" s="108" t="n">
        <v>97815</v>
      </c>
      <c r="M42" s="108" t="n">
        <v>19422</v>
      </c>
      <c r="N42" s="108" t="n">
        <v>92838</v>
      </c>
      <c r="O42" s="108" t="n">
        <v>14283</v>
      </c>
      <c r="P42" s="108" t="n">
        <v>31911</v>
      </c>
      <c r="Q42" s="108" t="n">
        <v>20757</v>
      </c>
      <c r="R42" s="108" t="n">
        <v>442046</v>
      </c>
    </row>
    <row r="43" customFormat="false" ht="15" hidden="false" customHeight="true" outlineLevel="0" collapsed="false">
      <c r="C43" s="100" t="s">
        <v>37</v>
      </c>
      <c r="F43" s="109" t="n">
        <v>-10219</v>
      </c>
      <c r="G43" s="109" t="n">
        <v>-2136</v>
      </c>
      <c r="H43" s="109" t="n">
        <v>13227</v>
      </c>
      <c r="I43" s="109" t="n">
        <v>15586</v>
      </c>
      <c r="J43" s="109" t="n">
        <v>20002</v>
      </c>
      <c r="K43" s="109" t="n">
        <v>-15633</v>
      </c>
      <c r="L43" s="109" t="n">
        <v>12825</v>
      </c>
      <c r="M43" s="109" t="n">
        <v>18749</v>
      </c>
      <c r="N43" s="109" t="n">
        <v>32601</v>
      </c>
      <c r="O43" s="109" t="n">
        <v>-1330</v>
      </c>
      <c r="P43" s="109" t="n">
        <v>-4645</v>
      </c>
      <c r="Q43" s="109" t="n">
        <v>2140</v>
      </c>
      <c r="R43" s="109" t="n">
        <v>81167</v>
      </c>
    </row>
    <row r="44" customFormat="false" ht="15" hidden="false" customHeight="true" outlineLevel="0" collapsed="false">
      <c r="D44" s="100" t="s">
        <v>38</v>
      </c>
      <c r="F44" s="110" t="n">
        <v>758</v>
      </c>
      <c r="G44" s="110" t="n">
        <v>5963</v>
      </c>
      <c r="H44" s="110" t="n">
        <v>32096</v>
      </c>
      <c r="I44" s="110" t="n">
        <v>18050</v>
      </c>
      <c r="J44" s="110" t="n">
        <v>25673</v>
      </c>
      <c r="K44" s="110" t="n">
        <v>744</v>
      </c>
      <c r="L44" s="110" t="n">
        <v>18462</v>
      </c>
      <c r="M44" s="110" t="n">
        <v>25629</v>
      </c>
      <c r="N44" s="110" t="n">
        <v>60371</v>
      </c>
      <c r="O44" s="110" t="n">
        <v>2002</v>
      </c>
      <c r="P44" s="110" t="n">
        <v>1280</v>
      </c>
      <c r="Q44" s="110" t="n">
        <v>8505</v>
      </c>
      <c r="R44" s="110" t="n">
        <v>199533</v>
      </c>
    </row>
    <row r="45" customFormat="false" ht="15" hidden="false" customHeight="true" outlineLevel="0" collapsed="false">
      <c r="D45" s="100" t="s">
        <v>97</v>
      </c>
      <c r="F45" s="110" t="n">
        <v>10977</v>
      </c>
      <c r="G45" s="110" t="n">
        <v>8099</v>
      </c>
      <c r="H45" s="110" t="n">
        <v>18869</v>
      </c>
      <c r="I45" s="110" t="n">
        <v>2464</v>
      </c>
      <c r="J45" s="110" t="n">
        <v>5671</v>
      </c>
      <c r="K45" s="110" t="n">
        <v>16377</v>
      </c>
      <c r="L45" s="110" t="n">
        <v>5637</v>
      </c>
      <c r="M45" s="110" t="n">
        <v>6880</v>
      </c>
      <c r="N45" s="110" t="n">
        <v>27770</v>
      </c>
      <c r="O45" s="110" t="n">
        <v>3332</v>
      </c>
      <c r="P45" s="110" t="n">
        <v>5925</v>
      </c>
      <c r="Q45" s="110" t="n">
        <v>6365</v>
      </c>
      <c r="R45" s="110" t="n">
        <v>118366</v>
      </c>
    </row>
    <row r="46" customFormat="false" ht="15" hidden="false" customHeight="true" outlineLevel="0" collapsed="false"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</row>
    <row r="47" customFormat="false" ht="15" hidden="false" customHeight="true" outlineLevel="0" collapsed="false">
      <c r="C47" s="100" t="s">
        <v>40</v>
      </c>
      <c r="F47" s="109" t="n">
        <v>35962</v>
      </c>
      <c r="G47" s="109" t="n">
        <v>16025</v>
      </c>
      <c r="H47" s="109" t="n">
        <v>21613</v>
      </c>
      <c r="I47" s="109" t="n">
        <v>35444</v>
      </c>
      <c r="J47" s="109" t="n">
        <v>24322</v>
      </c>
      <c r="K47" s="109" t="n">
        <v>10827</v>
      </c>
      <c r="L47" s="109" t="n">
        <v>84990</v>
      </c>
      <c r="M47" s="109" t="n">
        <v>673</v>
      </c>
      <c r="N47" s="109" t="n">
        <v>60237</v>
      </c>
      <c r="O47" s="109" t="n">
        <v>15613</v>
      </c>
      <c r="P47" s="109" t="n">
        <v>36556</v>
      </c>
      <c r="Q47" s="109" t="n">
        <v>18617</v>
      </c>
      <c r="R47" s="109" t="n">
        <v>360879</v>
      </c>
    </row>
    <row r="48" customFormat="false" ht="15" hidden="false" customHeight="true" outlineLevel="0" collapsed="false">
      <c r="D48" s="100" t="s">
        <v>41</v>
      </c>
      <c r="F48" s="110" t="n">
        <v>36013</v>
      </c>
      <c r="G48" s="110" t="n">
        <v>16191</v>
      </c>
      <c r="H48" s="110" t="n">
        <v>21672</v>
      </c>
      <c r="I48" s="110" t="n">
        <v>35571</v>
      </c>
      <c r="J48" s="110" t="n">
        <v>24382</v>
      </c>
      <c r="K48" s="110" t="n">
        <v>10954</v>
      </c>
      <c r="L48" s="110" t="n">
        <v>91370</v>
      </c>
      <c r="M48" s="110" t="n">
        <v>7182</v>
      </c>
      <c r="N48" s="110" t="n">
        <v>60264</v>
      </c>
      <c r="O48" s="110" t="n">
        <v>17986</v>
      </c>
      <c r="P48" s="110" t="n">
        <v>36858</v>
      </c>
      <c r="Q48" s="110" t="n">
        <v>25337</v>
      </c>
      <c r="R48" s="110" t="n">
        <v>383780</v>
      </c>
    </row>
    <row r="49" customFormat="false" ht="15" hidden="false" customHeight="true" outlineLevel="0" collapsed="false">
      <c r="D49" s="100" t="s">
        <v>42</v>
      </c>
      <c r="F49" s="110" t="n">
        <v>51</v>
      </c>
      <c r="G49" s="110" t="n">
        <v>166</v>
      </c>
      <c r="H49" s="110" t="n">
        <v>59</v>
      </c>
      <c r="I49" s="110" t="n">
        <v>127</v>
      </c>
      <c r="J49" s="110" t="n">
        <v>60</v>
      </c>
      <c r="K49" s="110" t="n">
        <v>127</v>
      </c>
      <c r="L49" s="110" t="n">
        <v>6380</v>
      </c>
      <c r="M49" s="110" t="n">
        <v>6509</v>
      </c>
      <c r="N49" s="110" t="n">
        <v>27</v>
      </c>
      <c r="O49" s="110" t="n">
        <v>2373</v>
      </c>
      <c r="P49" s="110" t="n">
        <v>302</v>
      </c>
      <c r="Q49" s="110" t="n">
        <v>6720</v>
      </c>
      <c r="R49" s="110" t="n">
        <v>22901</v>
      </c>
    </row>
    <row r="50" customFormat="false" ht="15" hidden="false" customHeight="true" outlineLevel="0" collapsed="false">
      <c r="E50" s="1" t="s">
        <v>67</v>
      </c>
      <c r="F50" s="110" t="n">
        <v>51</v>
      </c>
      <c r="G50" s="110" t="n">
        <v>166</v>
      </c>
      <c r="H50" s="110" t="n">
        <v>17611</v>
      </c>
      <c r="I50" s="110" t="n">
        <v>127</v>
      </c>
      <c r="J50" s="110" t="n">
        <v>60</v>
      </c>
      <c r="K50" s="110" t="n">
        <v>127</v>
      </c>
      <c r="L50" s="110" t="n">
        <v>38456</v>
      </c>
      <c r="M50" s="110" t="n">
        <v>6509</v>
      </c>
      <c r="N50" s="110" t="n">
        <v>27</v>
      </c>
      <c r="O50" s="110" t="n">
        <v>2373</v>
      </c>
      <c r="P50" s="110" t="n">
        <v>302</v>
      </c>
      <c r="Q50" s="110" t="n">
        <v>6720</v>
      </c>
      <c r="R50" s="110" t="n">
        <v>72529</v>
      </c>
    </row>
    <row r="51" customFormat="false" ht="15" hidden="false" customHeight="true" outlineLevel="0" collapsed="false">
      <c r="E51" s="16" t="s">
        <v>80</v>
      </c>
      <c r="F51" s="110" t="n">
        <v>0</v>
      </c>
      <c r="G51" s="110" t="n">
        <v>0</v>
      </c>
      <c r="H51" s="110" t="n">
        <v>17552</v>
      </c>
      <c r="I51" s="110" t="n">
        <v>0</v>
      </c>
      <c r="J51" s="110" t="n">
        <v>0</v>
      </c>
      <c r="K51" s="110" t="n">
        <v>0</v>
      </c>
      <c r="L51" s="110" t="n">
        <v>32076</v>
      </c>
      <c r="M51" s="110" t="n">
        <v>0</v>
      </c>
      <c r="N51" s="110" t="n">
        <v>0</v>
      </c>
      <c r="O51" s="110" t="n">
        <v>0</v>
      </c>
      <c r="P51" s="110" t="n">
        <v>0</v>
      </c>
      <c r="Q51" s="110" t="n">
        <v>0</v>
      </c>
      <c r="R51" s="110" t="n">
        <v>49628</v>
      </c>
    </row>
    <row r="52" customFormat="false" ht="15" hidden="false" customHeight="true" outlineLevel="0" collapsed="false"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</row>
    <row r="53" customFormat="false" ht="15" hidden="false" customHeight="true" outlineLevel="0" collapsed="false">
      <c r="B53" s="107" t="s">
        <v>45</v>
      </c>
      <c r="C53" s="107"/>
      <c r="D53" s="107"/>
      <c r="E53" s="107"/>
      <c r="F53" s="108" t="n">
        <v>-3848</v>
      </c>
      <c r="G53" s="108" t="n">
        <v>21918</v>
      </c>
      <c r="H53" s="108" t="n">
        <v>-1796</v>
      </c>
      <c r="I53" s="108" t="n">
        <v>17233</v>
      </c>
      <c r="J53" s="108" t="n">
        <v>-22917</v>
      </c>
      <c r="K53" s="108" t="n">
        <v>-6603</v>
      </c>
      <c r="L53" s="108" t="n">
        <v>9610</v>
      </c>
      <c r="M53" s="108" t="n">
        <v>-7351</v>
      </c>
      <c r="N53" s="108" t="n">
        <v>53022</v>
      </c>
      <c r="O53" s="108" t="n">
        <v>-15292</v>
      </c>
      <c r="P53" s="108" t="n">
        <v>-12789</v>
      </c>
      <c r="Q53" s="108" t="n">
        <v>-50599</v>
      </c>
      <c r="R53" s="108" t="n">
        <v>-19412</v>
      </c>
    </row>
    <row r="54" customFormat="false" ht="15" hidden="false" customHeight="false" outlineLevel="0" collapsed="false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</row>
    <row r="55" customFormat="false" ht="15" hidden="false" customHeight="false" outlineLevel="0" collapsed="false">
      <c r="B55" s="4" t="s">
        <v>46</v>
      </c>
      <c r="C55" s="1"/>
      <c r="D55" s="1"/>
      <c r="E55" s="1"/>
      <c r="F55" s="1"/>
      <c r="G55" s="1"/>
      <c r="H55" s="1"/>
      <c r="I55" s="1"/>
      <c r="J55" s="1"/>
      <c r="K55" s="1"/>
      <c r="L55" s="109"/>
      <c r="M55" s="109"/>
      <c r="N55" s="109"/>
      <c r="O55" s="109"/>
      <c r="P55" s="109"/>
      <c r="Q55" s="109"/>
      <c r="R55" s="110"/>
    </row>
    <row r="56" customFormat="false" ht="12.75" hidden="false" customHeight="true" outlineLevel="0" collapsed="false">
      <c r="B56" s="4"/>
      <c r="C56" s="130" t="s">
        <v>110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10"/>
    </row>
    <row r="57" customFormat="false" ht="14.25" hidden="false" customHeight="true" outlineLevel="0" collapsed="false">
      <c r="B57" s="4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</row>
    <row r="58" customFormat="false" ht="18.75" hidden="false" customHeight="true" outlineLevel="0" collapsed="false">
      <c r="B58" s="6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10"/>
    </row>
    <row r="59" customFormat="false" ht="14.25" hidden="false" customHeight="false" outlineLevel="0" collapsed="false">
      <c r="B59" s="6"/>
      <c r="C59" s="1"/>
      <c r="D59" s="1"/>
      <c r="E59" s="1"/>
      <c r="F59" s="1"/>
      <c r="G59" s="1"/>
      <c r="H59" s="1"/>
      <c r="I59" s="1"/>
      <c r="J59" s="1"/>
      <c r="K59" s="1"/>
    </row>
    <row r="61" customFormat="false" ht="14.25" hidden="false" customHeight="false" outlineLevel="0" collapsed="false">
      <c r="B61" s="31" t="s">
        <v>51</v>
      </c>
    </row>
    <row r="62" customFormat="false" ht="14.25" hidden="false" customHeight="false" outlineLevel="0" collapsed="false">
      <c r="B62" s="31" t="s">
        <v>106</v>
      </c>
    </row>
  </sheetData>
  <mergeCells count="2">
    <mergeCell ref="B7:E7"/>
    <mergeCell ref="C56:Q58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C30" activeCellId="0" sqref="C30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85"/>
    <col collapsed="false" customWidth="true" hidden="false" outlineLevel="0" max="3" min="3" style="100" width="24.29"/>
    <col collapsed="false" customWidth="true" hidden="true" outlineLevel="0" max="4" min="4" style="100" width="0.42"/>
    <col collapsed="false" customWidth="true" hidden="false" outlineLevel="0" max="7" min="5" style="110" width="8.71"/>
    <col collapsed="false" customWidth="true" hidden="false" outlineLevel="0" max="8" min="8" style="110" width="8"/>
    <col collapsed="false" customWidth="true" hidden="false" outlineLevel="0" max="9" min="9" style="110" width="8.71"/>
    <col collapsed="false" customWidth="true" hidden="false" outlineLevel="0" max="10" min="10" style="110" width="8"/>
    <col collapsed="false" customWidth="false" hidden="false" outlineLevel="0" max="11" min="11" style="110" width="9.14"/>
    <col collapsed="false" customWidth="true" hidden="false" outlineLevel="0" max="16" min="12" style="110" width="8.71"/>
    <col collapsed="false" customWidth="true" hidden="false" outlineLevel="0" max="17" min="17" style="110" width="9.85"/>
    <col collapsed="false" customWidth="false" hidden="false" outlineLevel="0" max="1024" min="18" style="100" width="9.14"/>
  </cols>
  <sheetData>
    <row r="1" customFormat="false" ht="15" hidden="false" customHeight="false" outlineLevel="0" collapsed="false">
      <c r="A1" s="107" t="s">
        <v>132</v>
      </c>
    </row>
    <row r="2" customFormat="false" ht="15" hidden="false" customHeight="false" outlineLevel="0" collapsed="false">
      <c r="A2" s="107" t="s">
        <v>133</v>
      </c>
    </row>
    <row r="3" customFormat="false" ht="15" hidden="false" customHeight="false" outlineLevel="0" collapsed="false">
      <c r="A3" s="100" t="s">
        <v>2</v>
      </c>
      <c r="F3" s="110" t="s">
        <v>59</v>
      </c>
      <c r="G3" s="108"/>
    </row>
    <row r="4" s="146" customFormat="true" ht="15.75" hidden="false" customHeight="false" outlineLevel="0" collapsed="false">
      <c r="A4" s="144"/>
      <c r="B4" s="144"/>
      <c r="C4" s="14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</row>
    <row r="5" customFormat="false" ht="21.75" hidden="false" customHeight="true" outlineLevel="0" collapsed="false">
      <c r="A5" s="126" t="s">
        <v>4</v>
      </c>
      <c r="B5" s="126"/>
      <c r="C5" s="126"/>
      <c r="D5" s="105"/>
      <c r="E5" s="147" t="s">
        <v>5</v>
      </c>
      <c r="F5" s="147" t="s">
        <v>6</v>
      </c>
      <c r="G5" s="147" t="s">
        <v>7</v>
      </c>
      <c r="H5" s="147" t="s">
        <v>8</v>
      </c>
      <c r="I5" s="147" t="s">
        <v>9</v>
      </c>
      <c r="J5" s="147" t="s">
        <v>10</v>
      </c>
      <c r="K5" s="147" t="s">
        <v>102</v>
      </c>
      <c r="L5" s="147" t="s">
        <v>54</v>
      </c>
      <c r="M5" s="147" t="s">
        <v>55</v>
      </c>
      <c r="N5" s="147" t="s">
        <v>56</v>
      </c>
      <c r="O5" s="147" t="s">
        <v>57</v>
      </c>
      <c r="P5" s="147" t="s">
        <v>58</v>
      </c>
      <c r="Q5" s="148" t="s">
        <v>134</v>
      </c>
    </row>
    <row r="6" customFormat="false" ht="15" hidden="false" customHeight="true" outlineLevel="0" collapsed="false"/>
    <row r="7" customFormat="false" ht="15" hidden="false" customHeight="true" outlineLevel="0" collapsed="false">
      <c r="A7" s="107" t="s">
        <v>12</v>
      </c>
      <c r="E7" s="108" t="n">
        <f aca="false">SUM(E8+E15+E21)</f>
        <v>50742</v>
      </c>
      <c r="F7" s="108" t="n">
        <f aca="false">SUM(F8+F15+F21)</f>
        <v>40466</v>
      </c>
      <c r="G7" s="108" t="n">
        <f aca="false">SUM(G8+G15+G21)</f>
        <v>45089</v>
      </c>
      <c r="H7" s="108" t="n">
        <f aca="false">SUM(H8+H15+H21)</f>
        <v>65755</v>
      </c>
      <c r="I7" s="108" t="n">
        <f aca="false">SUM(I8+I15+I21)</f>
        <v>54689</v>
      </c>
      <c r="J7" s="108" t="n">
        <f aca="false">SUM(J8+J15+J21)</f>
        <v>48775</v>
      </c>
      <c r="K7" s="108" t="n">
        <f aca="false">SUM(K8+K15+K21)</f>
        <v>51717</v>
      </c>
      <c r="L7" s="108" t="n">
        <f aca="false">SUM(L8+L15+L21)</f>
        <v>51123</v>
      </c>
      <c r="M7" s="108" t="n">
        <f aca="false">SUM(M8+M15+M21)</f>
        <v>48290</v>
      </c>
      <c r="N7" s="108" t="n">
        <f aca="false">SUM(N8+N15+N21)</f>
        <v>56153</v>
      </c>
      <c r="O7" s="108" t="n">
        <f aca="false">SUM(O8+O15+O21)</f>
        <v>56904</v>
      </c>
      <c r="P7" s="108" t="n">
        <f aca="false">SUM(P8+P15+P21)</f>
        <v>56927</v>
      </c>
      <c r="Q7" s="108" t="n">
        <f aca="false">SUM(Q8+Q15+Q21)</f>
        <v>626630</v>
      </c>
      <c r="S7" s="108"/>
    </row>
    <row r="8" customFormat="false" ht="15" hidden="false" customHeight="true" outlineLevel="0" collapsed="false">
      <c r="B8" s="100" t="s">
        <v>13</v>
      </c>
      <c r="E8" s="109" t="n">
        <f aca="false">SUM(E9+E11+E13)</f>
        <v>44211</v>
      </c>
      <c r="F8" s="109" t="n">
        <f aca="false">SUM(F9+F11+F13)</f>
        <v>35628</v>
      </c>
      <c r="G8" s="109" t="n">
        <f aca="false">SUM(G9+G11+G13)</f>
        <v>38193</v>
      </c>
      <c r="H8" s="109" t="n">
        <f aca="false">SUM(H9+H11+H13)</f>
        <v>59837</v>
      </c>
      <c r="I8" s="109" t="n">
        <f aca="false">SUM(I9+I11+I13)</f>
        <v>45604</v>
      </c>
      <c r="J8" s="109" t="n">
        <f aca="false">SUM(J9+J11+J13)</f>
        <v>41877</v>
      </c>
      <c r="K8" s="109" t="n">
        <f aca="false">SUM(K9+K11+K13)</f>
        <v>43511</v>
      </c>
      <c r="L8" s="109" t="n">
        <f aca="false">SUM(L9+L11+L13)</f>
        <v>46912</v>
      </c>
      <c r="M8" s="109" t="n">
        <f aca="false">SUM(M9+M11+M13)</f>
        <v>38448</v>
      </c>
      <c r="N8" s="109" t="n">
        <f aca="false">SUM(N9+N11+N13)</f>
        <v>44962</v>
      </c>
      <c r="O8" s="109" t="n">
        <f aca="false">SUM(O9+O11+O13)</f>
        <v>51595</v>
      </c>
      <c r="P8" s="109" t="n">
        <f aca="false">SUM(P9+P11+P13)</f>
        <v>46583</v>
      </c>
      <c r="Q8" s="109" t="n">
        <f aca="false">SUM(Q9+Q11+Q13)</f>
        <v>537361</v>
      </c>
    </row>
    <row r="9" customFormat="false" ht="15" hidden="false" customHeight="true" outlineLevel="0" collapsed="false">
      <c r="C9" s="100" t="s">
        <v>14</v>
      </c>
      <c r="E9" s="110" t="n">
        <v>34173</v>
      </c>
      <c r="F9" s="110" t="n">
        <v>27092</v>
      </c>
      <c r="G9" s="110" t="n">
        <v>28656</v>
      </c>
      <c r="H9" s="110" t="n">
        <v>50385</v>
      </c>
      <c r="I9" s="110" t="n">
        <v>36868</v>
      </c>
      <c r="J9" s="110" t="n">
        <v>32033</v>
      </c>
      <c r="K9" s="110" t="n">
        <v>33763</v>
      </c>
      <c r="L9" s="110" t="n">
        <v>38436</v>
      </c>
      <c r="M9" s="110" t="n">
        <v>29647</v>
      </c>
      <c r="N9" s="110" t="n">
        <v>35277</v>
      </c>
      <c r="O9" s="110" t="n">
        <v>42253</v>
      </c>
      <c r="P9" s="110" t="n">
        <v>36769</v>
      </c>
      <c r="Q9" s="110" t="n">
        <f aca="false">SUM(E9:P9)</f>
        <v>425352</v>
      </c>
    </row>
    <row r="10" customFormat="false" ht="15" hidden="false" customHeight="true" outlineLevel="0" collapsed="false">
      <c r="C10" s="100" t="s">
        <v>135</v>
      </c>
      <c r="E10" s="110" t="n">
        <v>184</v>
      </c>
      <c r="F10" s="110" t="n">
        <v>0</v>
      </c>
      <c r="G10" s="110" t="n">
        <v>88</v>
      </c>
      <c r="H10" s="110" t="n">
        <v>187</v>
      </c>
      <c r="I10" s="110" t="n">
        <v>181</v>
      </c>
      <c r="J10" s="110" t="n">
        <v>188</v>
      </c>
      <c r="K10" s="110" t="n">
        <v>121</v>
      </c>
      <c r="L10" s="110" t="n">
        <v>297</v>
      </c>
      <c r="M10" s="110" t="n">
        <v>96</v>
      </c>
      <c r="N10" s="110" t="n">
        <v>158</v>
      </c>
      <c r="O10" s="110" t="n">
        <v>193</v>
      </c>
      <c r="P10" s="110" t="n">
        <v>305</v>
      </c>
      <c r="Q10" s="110" t="n">
        <f aca="false">SUM(E10:P10)</f>
        <v>1998</v>
      </c>
    </row>
    <row r="11" customFormat="false" ht="15" hidden="false" customHeight="true" outlineLevel="0" collapsed="false">
      <c r="C11" s="100" t="s">
        <v>18</v>
      </c>
      <c r="E11" s="110" t="n">
        <v>9616</v>
      </c>
      <c r="F11" s="110" t="n">
        <v>8096</v>
      </c>
      <c r="G11" s="110" t="n">
        <v>9009</v>
      </c>
      <c r="H11" s="110" t="n">
        <v>8813</v>
      </c>
      <c r="I11" s="110" t="n">
        <v>8186</v>
      </c>
      <c r="J11" s="110" t="n">
        <v>9314</v>
      </c>
      <c r="K11" s="110" t="n">
        <v>9155</v>
      </c>
      <c r="L11" s="110" t="n">
        <v>7857</v>
      </c>
      <c r="M11" s="110" t="n">
        <v>8266</v>
      </c>
      <c r="N11" s="110" t="n">
        <v>9141</v>
      </c>
      <c r="O11" s="110" t="n">
        <v>9033</v>
      </c>
      <c r="P11" s="110" t="n">
        <v>9606</v>
      </c>
      <c r="Q11" s="110" t="n">
        <f aca="false">SUM(E11:P11)</f>
        <v>106092</v>
      </c>
    </row>
    <row r="12" customFormat="false" ht="15" hidden="false" customHeight="true" outlineLevel="0" collapsed="false">
      <c r="C12" s="100" t="s">
        <v>136</v>
      </c>
      <c r="E12" s="110" t="n">
        <v>0</v>
      </c>
      <c r="F12" s="110" t="n">
        <v>9769</v>
      </c>
      <c r="G12" s="110" t="n">
        <v>271</v>
      </c>
      <c r="H12" s="110" t="n">
        <v>3</v>
      </c>
      <c r="I12" s="110" t="n">
        <v>1</v>
      </c>
      <c r="J12" s="110" t="n">
        <v>77</v>
      </c>
      <c r="K12" s="110" t="n">
        <v>17</v>
      </c>
      <c r="L12" s="110" t="n">
        <v>101</v>
      </c>
      <c r="M12" s="110" t="n">
        <v>81</v>
      </c>
      <c r="N12" s="110" t="n">
        <v>17</v>
      </c>
      <c r="O12" s="110" t="n">
        <v>83</v>
      </c>
      <c r="P12" s="110" t="n">
        <v>689</v>
      </c>
      <c r="Q12" s="110" t="n">
        <f aca="false">SUM(E12:P12)</f>
        <v>11109</v>
      </c>
    </row>
    <row r="13" customFormat="false" ht="15" hidden="false" customHeight="true" outlineLevel="0" collapsed="false">
      <c r="C13" s="100" t="s">
        <v>87</v>
      </c>
      <c r="E13" s="110" t="n">
        <v>422</v>
      </c>
      <c r="F13" s="110" t="n">
        <v>440</v>
      </c>
      <c r="G13" s="110" t="n">
        <v>528</v>
      </c>
      <c r="H13" s="110" t="n">
        <v>639</v>
      </c>
      <c r="I13" s="110" t="n">
        <v>550</v>
      </c>
      <c r="J13" s="110" t="n">
        <v>530</v>
      </c>
      <c r="K13" s="110" t="n">
        <v>593</v>
      </c>
      <c r="L13" s="110" t="n">
        <v>619</v>
      </c>
      <c r="M13" s="110" t="n">
        <v>535</v>
      </c>
      <c r="N13" s="110" t="n">
        <v>544</v>
      </c>
      <c r="O13" s="110" t="n">
        <v>309</v>
      </c>
      <c r="P13" s="110" t="n">
        <v>208</v>
      </c>
      <c r="Q13" s="110" t="n">
        <f aca="false">SUM(E13:P13)</f>
        <v>5917</v>
      </c>
    </row>
    <row r="14" customFormat="false" ht="15" hidden="false" customHeight="true" outlineLevel="0" collapsed="false"/>
    <row r="15" customFormat="false" ht="15" hidden="false" customHeight="true" outlineLevel="0" collapsed="false">
      <c r="B15" s="100" t="s">
        <v>20</v>
      </c>
      <c r="E15" s="109" t="n">
        <f aca="false">SUM(E16:E19)</f>
        <v>6482</v>
      </c>
      <c r="F15" s="109" t="n">
        <f aca="false">SUM(F16:F19)</f>
        <v>4743</v>
      </c>
      <c r="G15" s="109" t="n">
        <f aca="false">SUM(G16:G19)</f>
        <v>6815</v>
      </c>
      <c r="H15" s="109" t="n">
        <f aca="false">SUM(H16:H19)</f>
        <v>5860</v>
      </c>
      <c r="I15" s="109" t="n">
        <f aca="false">SUM(I16:I19)</f>
        <v>8587</v>
      </c>
      <c r="J15" s="109" t="n">
        <f aca="false">SUM(J16:J19)</f>
        <v>6751</v>
      </c>
      <c r="K15" s="109" t="n">
        <f aca="false">SUM(K16:K19)</f>
        <v>8162</v>
      </c>
      <c r="L15" s="109" t="n">
        <f aca="false">SUM(L16:L19)</f>
        <v>4131</v>
      </c>
      <c r="M15" s="109" t="n">
        <f aca="false">SUM(M16:M19)</f>
        <v>9819</v>
      </c>
      <c r="N15" s="109" t="n">
        <f aca="false">SUM(N16:N19)</f>
        <v>11135</v>
      </c>
      <c r="O15" s="109" t="n">
        <f aca="false">SUM(O16:O19)</f>
        <v>5278</v>
      </c>
      <c r="P15" s="109" t="n">
        <f aca="false">SUM(P16:P19)</f>
        <v>10308</v>
      </c>
      <c r="Q15" s="109" t="n">
        <f aca="false">SUM(Q16:Q19)</f>
        <v>88071</v>
      </c>
    </row>
    <row r="16" customFormat="false" ht="15" hidden="false" customHeight="true" outlineLevel="0" collapsed="false">
      <c r="C16" s="100" t="s">
        <v>21</v>
      </c>
      <c r="E16" s="110" t="n">
        <v>4882</v>
      </c>
      <c r="F16" s="110" t="n">
        <v>2584</v>
      </c>
      <c r="G16" s="110" t="n">
        <v>6015</v>
      </c>
      <c r="H16" s="110" t="n">
        <v>3698</v>
      </c>
      <c r="I16" s="110" t="n">
        <v>4737</v>
      </c>
      <c r="J16" s="110" t="n">
        <v>3427</v>
      </c>
      <c r="K16" s="110" t="n">
        <v>5070</v>
      </c>
      <c r="L16" s="110" t="n">
        <v>2441</v>
      </c>
      <c r="M16" s="110" t="n">
        <v>6814</v>
      </c>
      <c r="N16" s="110" t="n">
        <v>6889</v>
      </c>
      <c r="O16" s="110" t="n">
        <v>3502</v>
      </c>
      <c r="P16" s="110" t="n">
        <v>6598</v>
      </c>
      <c r="Q16" s="110" t="n">
        <f aca="false">SUM(E16:P16)</f>
        <v>56657</v>
      </c>
    </row>
    <row r="17" customFormat="false" ht="15" hidden="false" customHeight="true" outlineLevel="0" collapsed="false">
      <c r="C17" s="100" t="s">
        <v>112</v>
      </c>
      <c r="E17" s="110" t="n">
        <f aca="false">1592-E18</f>
        <v>1491.973</v>
      </c>
      <c r="F17" s="110" t="n">
        <f aca="false">2135-F18</f>
        <v>1959.478</v>
      </c>
      <c r="G17" s="110" t="n">
        <f aca="false">791-G18</f>
        <v>664.498</v>
      </c>
      <c r="H17" s="110" t="n">
        <f aca="false">2162-H18</f>
        <v>2033.856</v>
      </c>
      <c r="I17" s="110" t="n">
        <f aca="false">3804-I18</f>
        <v>3701.539</v>
      </c>
      <c r="J17" s="110" t="n">
        <f aca="false">3163-J18</f>
        <v>3103.492</v>
      </c>
      <c r="K17" s="110" t="n">
        <f aca="false">3080-K18</f>
        <v>2888.047</v>
      </c>
      <c r="L17" s="110" t="n">
        <f aca="false">1682-L18</f>
        <v>1540.773</v>
      </c>
      <c r="M17" s="110" t="n">
        <f aca="false">3005-M18</f>
        <v>2957.786</v>
      </c>
      <c r="N17" s="110" t="n">
        <f aca="false">4246-N18</f>
        <v>4017.87</v>
      </c>
      <c r="O17" s="110" t="n">
        <f aca="false">1660-O18</f>
        <v>1508.886</v>
      </c>
      <c r="P17" s="110" t="n">
        <f aca="false">3527-P18</f>
        <v>3503.474</v>
      </c>
      <c r="Q17" s="110" t="n">
        <f aca="false">SUM(E17:P17)</f>
        <v>29371.672</v>
      </c>
      <c r="R17" s="110"/>
    </row>
    <row r="18" customFormat="false" ht="15" hidden="false" customHeight="true" outlineLevel="0" collapsed="false">
      <c r="C18" s="100" t="s">
        <v>24</v>
      </c>
      <c r="E18" s="110" t="n">
        <v>100.027</v>
      </c>
      <c r="F18" s="110" t="n">
        <v>175.522</v>
      </c>
      <c r="G18" s="110" t="n">
        <v>126.502</v>
      </c>
      <c r="H18" s="110" t="n">
        <v>128.144</v>
      </c>
      <c r="I18" s="110" t="n">
        <v>102.461</v>
      </c>
      <c r="J18" s="110" t="n">
        <v>59.508</v>
      </c>
      <c r="K18" s="110" t="n">
        <v>191.953</v>
      </c>
      <c r="L18" s="110" t="n">
        <v>141.227</v>
      </c>
      <c r="M18" s="110" t="n">
        <v>47.214</v>
      </c>
      <c r="N18" s="110" t="n">
        <v>228.13</v>
      </c>
      <c r="O18" s="110" t="n">
        <v>151.114</v>
      </c>
      <c r="P18" s="110" t="n">
        <v>23.526</v>
      </c>
      <c r="Q18" s="110" t="n">
        <f aca="false">SUM(E18:P18)</f>
        <v>1475.328</v>
      </c>
    </row>
    <row r="19" customFormat="false" ht="15" hidden="false" customHeight="true" outlineLevel="0" collapsed="false">
      <c r="C19" s="100" t="s">
        <v>23</v>
      </c>
      <c r="E19" s="110" t="n">
        <v>8</v>
      </c>
      <c r="F19" s="110" t="n">
        <v>24</v>
      </c>
      <c r="G19" s="110" t="n">
        <v>9</v>
      </c>
      <c r="H19" s="110" t="n">
        <v>0</v>
      </c>
      <c r="I19" s="110" t="n">
        <v>46</v>
      </c>
      <c r="J19" s="110" t="n">
        <v>161</v>
      </c>
      <c r="K19" s="110" t="n">
        <v>12</v>
      </c>
      <c r="L19" s="110" t="n">
        <v>8</v>
      </c>
      <c r="M19" s="110" t="n">
        <v>0</v>
      </c>
      <c r="N19" s="110" t="n">
        <v>0</v>
      </c>
      <c r="O19" s="110" t="n">
        <v>116</v>
      </c>
      <c r="P19" s="110" t="n">
        <v>183</v>
      </c>
      <c r="Q19" s="110" t="n">
        <f aca="false">SUM(E19:P19)</f>
        <v>567</v>
      </c>
      <c r="R19" s="110"/>
    </row>
    <row r="20" customFormat="false" ht="15" hidden="false" customHeight="true" outlineLevel="0" collapsed="false"/>
    <row r="21" customFormat="false" ht="15" hidden="false" customHeight="true" outlineLevel="0" collapsed="false">
      <c r="B21" s="100" t="s">
        <v>26</v>
      </c>
      <c r="E21" s="110" t="n">
        <v>49</v>
      </c>
      <c r="F21" s="110" t="n">
        <v>95</v>
      </c>
      <c r="G21" s="110" t="n">
        <v>81</v>
      </c>
      <c r="H21" s="110" t="n">
        <v>58</v>
      </c>
      <c r="I21" s="110" t="n">
        <v>498</v>
      </c>
      <c r="J21" s="110" t="n">
        <v>147</v>
      </c>
      <c r="K21" s="110" t="n">
        <v>44</v>
      </c>
      <c r="L21" s="110" t="n">
        <v>80</v>
      </c>
      <c r="M21" s="110" t="n">
        <v>23</v>
      </c>
      <c r="N21" s="110" t="n">
        <v>56</v>
      </c>
      <c r="O21" s="110" t="n">
        <v>31</v>
      </c>
      <c r="P21" s="110" t="n">
        <v>36</v>
      </c>
      <c r="Q21" s="110" t="n">
        <v>1198</v>
      </c>
      <c r="R21" s="110"/>
    </row>
    <row r="22" customFormat="false" ht="15" hidden="false" customHeight="true" outlineLevel="0" collapsed="false"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</row>
    <row r="23" customFormat="false" ht="15" hidden="false" customHeight="true" outlineLevel="0" collapsed="false">
      <c r="A23" s="107" t="s">
        <v>27</v>
      </c>
      <c r="E23" s="108" t="n">
        <f aca="false">SUM(E25:E31)</f>
        <v>64690</v>
      </c>
      <c r="F23" s="108" t="n">
        <f aca="false">SUM(F25:F31)</f>
        <v>58160</v>
      </c>
      <c r="G23" s="108" t="n">
        <f aca="false">SUM(G25:G31)</f>
        <v>72326</v>
      </c>
      <c r="H23" s="108" t="n">
        <f aca="false">SUM(H25:H31)</f>
        <v>72339</v>
      </c>
      <c r="I23" s="108" t="n">
        <f aca="false">SUM(I25:I31)</f>
        <v>64585</v>
      </c>
      <c r="J23" s="108" t="n">
        <f aca="false">SUM(J25:J31)</f>
        <v>52992</v>
      </c>
      <c r="K23" s="108" t="n">
        <f aca="false">SUM(K25:K31)</f>
        <v>67536</v>
      </c>
      <c r="L23" s="108" t="n">
        <f aca="false">SUM(L25:L31)</f>
        <v>69293</v>
      </c>
      <c r="M23" s="108" t="n">
        <f aca="false">SUM(M25:M31)</f>
        <v>77428</v>
      </c>
      <c r="N23" s="108" t="n">
        <f aca="false">SUM(N25:N31)</f>
        <v>77324</v>
      </c>
      <c r="O23" s="108" t="n">
        <f aca="false">SUM(O25:O31)</f>
        <v>65234</v>
      </c>
      <c r="P23" s="108" t="n">
        <f aca="false">SUM(P25:P31)</f>
        <v>84591</v>
      </c>
      <c r="Q23" s="108" t="n">
        <f aca="false">SUM(E23:P23)</f>
        <v>826498</v>
      </c>
    </row>
    <row r="24" customFormat="false" ht="13.5" hidden="false" customHeight="true" outlineLevel="0" collapsed="false">
      <c r="A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</row>
    <row r="25" customFormat="false" ht="15" hidden="false" customHeight="true" outlineLevel="0" collapsed="false">
      <c r="C25" s="100" t="s">
        <v>28</v>
      </c>
      <c r="E25" s="110" t="n">
        <v>11541</v>
      </c>
      <c r="F25" s="110" t="n">
        <v>11307</v>
      </c>
      <c r="G25" s="110" t="n">
        <v>11265</v>
      </c>
      <c r="H25" s="110" t="n">
        <v>12281</v>
      </c>
      <c r="I25" s="110" t="n">
        <v>10815</v>
      </c>
      <c r="J25" s="110" t="n">
        <v>11797</v>
      </c>
      <c r="K25" s="110" t="n">
        <v>11729</v>
      </c>
      <c r="L25" s="110" t="n">
        <v>12538</v>
      </c>
      <c r="M25" s="110" t="n">
        <v>15402</v>
      </c>
      <c r="N25" s="110" t="n">
        <v>12190</v>
      </c>
      <c r="O25" s="110" t="n">
        <v>11988</v>
      </c>
      <c r="P25" s="110" t="n">
        <v>12649</v>
      </c>
      <c r="Q25" s="110" t="n">
        <f aca="false">SUM(E25:P25)</f>
        <v>145502</v>
      </c>
    </row>
    <row r="26" customFormat="false" ht="15" hidden="false" customHeight="true" outlineLevel="0" collapsed="false">
      <c r="C26" s="100" t="s">
        <v>29</v>
      </c>
      <c r="E26" s="110" t="n">
        <v>19141</v>
      </c>
      <c r="F26" s="110" t="n">
        <v>15512</v>
      </c>
      <c r="G26" s="110" t="n">
        <v>25514</v>
      </c>
      <c r="H26" s="110" t="n">
        <v>21943</v>
      </c>
      <c r="I26" s="110" t="n">
        <v>17441</v>
      </c>
      <c r="J26" s="110" t="n">
        <v>11569</v>
      </c>
      <c r="K26" s="110" t="n">
        <v>18537</v>
      </c>
      <c r="L26" s="110" t="n">
        <v>15573</v>
      </c>
      <c r="M26" s="110" t="n">
        <v>23954</v>
      </c>
      <c r="N26" s="110" t="n">
        <v>24548</v>
      </c>
      <c r="O26" s="110" t="n">
        <v>15737</v>
      </c>
      <c r="P26" s="110" t="n">
        <v>16939</v>
      </c>
      <c r="Q26" s="110" t="n">
        <f aca="false">SUM(E26:P26)</f>
        <v>226408</v>
      </c>
    </row>
    <row r="27" customFormat="false" ht="15" hidden="false" customHeight="true" outlineLevel="0" collapsed="false">
      <c r="C27" s="100" t="s">
        <v>30</v>
      </c>
      <c r="E27" s="110" t="n">
        <v>184</v>
      </c>
      <c r="F27" s="110" t="n">
        <v>9769</v>
      </c>
      <c r="G27" s="110" t="n">
        <v>359</v>
      </c>
      <c r="H27" s="110" t="n">
        <v>190</v>
      </c>
      <c r="I27" s="110" t="n">
        <v>182</v>
      </c>
      <c r="J27" s="110" t="n">
        <v>265</v>
      </c>
      <c r="K27" s="110" t="n">
        <v>138</v>
      </c>
      <c r="L27" s="110" t="n">
        <v>398</v>
      </c>
      <c r="M27" s="110" t="n">
        <v>177</v>
      </c>
      <c r="N27" s="110" t="n">
        <v>175</v>
      </c>
      <c r="O27" s="110" t="n">
        <v>276</v>
      </c>
      <c r="P27" s="110" t="n">
        <v>994</v>
      </c>
      <c r="Q27" s="110" t="n">
        <f aca="false">SUM(E27:P27)</f>
        <v>13107</v>
      </c>
    </row>
    <row r="28" customFormat="false" ht="15" hidden="false" customHeight="true" outlineLevel="0" collapsed="false">
      <c r="C28" s="100" t="s">
        <v>77</v>
      </c>
      <c r="E28" s="110" t="n">
        <v>2173</v>
      </c>
      <c r="F28" s="110" t="n">
        <v>176</v>
      </c>
      <c r="G28" s="110" t="n">
        <v>553</v>
      </c>
      <c r="H28" s="110" t="n">
        <v>89</v>
      </c>
      <c r="I28" s="110" t="n">
        <v>282</v>
      </c>
      <c r="J28" s="110" t="n">
        <v>396</v>
      </c>
      <c r="K28" s="110" t="n">
        <v>584</v>
      </c>
      <c r="L28" s="110" t="n">
        <v>952</v>
      </c>
      <c r="M28" s="110" t="n">
        <v>841</v>
      </c>
      <c r="N28" s="110" t="n">
        <v>7867</v>
      </c>
      <c r="O28" s="110" t="n">
        <v>202</v>
      </c>
      <c r="P28" s="110" t="n">
        <v>862</v>
      </c>
      <c r="Q28" s="110" t="n">
        <f aca="false">SUM(E28:P28)</f>
        <v>14977</v>
      </c>
    </row>
    <row r="29" customFormat="false" ht="15" hidden="false" customHeight="true" outlineLevel="0" collapsed="false">
      <c r="C29" s="100" t="s">
        <v>32</v>
      </c>
      <c r="E29" s="110" t="n">
        <v>0</v>
      </c>
      <c r="F29" s="110" t="n">
        <v>0</v>
      </c>
      <c r="G29" s="110" t="n">
        <v>0</v>
      </c>
      <c r="H29" s="110" t="n">
        <v>159</v>
      </c>
      <c r="I29" s="110" t="n">
        <v>0</v>
      </c>
      <c r="J29" s="110" t="n">
        <v>0</v>
      </c>
      <c r="K29" s="110" t="n">
        <v>0</v>
      </c>
      <c r="L29" s="110" t="n">
        <v>167</v>
      </c>
      <c r="M29" s="110" t="n">
        <v>167</v>
      </c>
      <c r="N29" s="110" t="n">
        <v>0</v>
      </c>
      <c r="O29" s="110" t="n">
        <v>130</v>
      </c>
      <c r="P29" s="110" t="n">
        <v>2000</v>
      </c>
      <c r="Q29" s="110" t="n">
        <f aca="false">SUM(E29:P29)</f>
        <v>2623</v>
      </c>
    </row>
    <row r="30" customFormat="false" ht="15" hidden="false" customHeight="true" outlineLevel="0" collapsed="false">
      <c r="C30" s="100" t="s">
        <v>78</v>
      </c>
      <c r="E30" s="110" t="n">
        <v>363</v>
      </c>
      <c r="F30" s="110" t="n">
        <v>1160</v>
      </c>
      <c r="G30" s="110" t="n">
        <v>-217</v>
      </c>
      <c r="H30" s="110" t="n">
        <v>632</v>
      </c>
      <c r="I30" s="110" t="n">
        <v>96</v>
      </c>
      <c r="J30" s="110" t="n">
        <v>759</v>
      </c>
      <c r="K30" s="110" t="n">
        <v>75</v>
      </c>
      <c r="L30" s="110" t="n">
        <v>548</v>
      </c>
      <c r="M30" s="110" t="n">
        <v>1119</v>
      </c>
      <c r="N30" s="110" t="n">
        <v>-1895</v>
      </c>
      <c r="O30" s="110" t="n">
        <v>589</v>
      </c>
      <c r="P30" s="110" t="n">
        <v>2391</v>
      </c>
      <c r="Q30" s="110" t="n">
        <f aca="false">SUM(E30:P30)</f>
        <v>5620</v>
      </c>
    </row>
    <row r="31" customFormat="false" ht="15" hidden="false" customHeight="true" outlineLevel="0" collapsed="false">
      <c r="C31" s="1" t="s">
        <v>79</v>
      </c>
      <c r="E31" s="110" t="n">
        <v>31288</v>
      </c>
      <c r="F31" s="110" t="n">
        <v>20236</v>
      </c>
      <c r="G31" s="110" t="n">
        <v>34852</v>
      </c>
      <c r="H31" s="110" t="n">
        <v>37045</v>
      </c>
      <c r="I31" s="110" t="n">
        <v>35769</v>
      </c>
      <c r="J31" s="110" t="n">
        <v>28206</v>
      </c>
      <c r="K31" s="110" t="n">
        <v>36473</v>
      </c>
      <c r="L31" s="110" t="n">
        <v>39117</v>
      </c>
      <c r="M31" s="110" t="n">
        <v>35768</v>
      </c>
      <c r="N31" s="110" t="n">
        <v>34439</v>
      </c>
      <c r="O31" s="110" t="n">
        <v>36312</v>
      </c>
      <c r="P31" s="110" t="n">
        <v>48756</v>
      </c>
      <c r="Q31" s="110" t="n">
        <f aca="false">SUM(E31:P31)</f>
        <v>418261</v>
      </c>
    </row>
    <row r="32" customFormat="false" ht="15" hidden="false" customHeight="true" outlineLevel="0" collapsed="false">
      <c r="Q32" s="110" t="s">
        <v>59</v>
      </c>
    </row>
    <row r="33" customFormat="false" ht="15" hidden="false" customHeight="true" outlineLevel="0" collapsed="false">
      <c r="A33" s="107" t="s">
        <v>137</v>
      </c>
      <c r="B33" s="107"/>
      <c r="C33" s="107"/>
      <c r="D33" s="107"/>
      <c r="E33" s="112" t="n">
        <f aca="false">+E7-E23</f>
        <v>-13948</v>
      </c>
      <c r="F33" s="112" t="n">
        <f aca="false">+F7-F23</f>
        <v>-17694</v>
      </c>
      <c r="G33" s="112" t="n">
        <f aca="false">+G7-G23</f>
        <v>-27237</v>
      </c>
      <c r="H33" s="112" t="n">
        <f aca="false">+H7-H23</f>
        <v>-6584</v>
      </c>
      <c r="I33" s="112" t="n">
        <f aca="false">+I7-I23</f>
        <v>-9896</v>
      </c>
      <c r="J33" s="112" t="n">
        <f aca="false">+J7-J23</f>
        <v>-4217</v>
      </c>
      <c r="K33" s="112" t="n">
        <f aca="false">+K7-K23</f>
        <v>-15819</v>
      </c>
      <c r="L33" s="112" t="n">
        <f aca="false">+L7-L23</f>
        <v>-18170</v>
      </c>
      <c r="M33" s="112" t="n">
        <f aca="false">+M7-M23</f>
        <v>-29138</v>
      </c>
      <c r="N33" s="112" t="n">
        <f aca="false">+N7-N23</f>
        <v>-21171</v>
      </c>
      <c r="O33" s="112" t="n">
        <f aca="false">+O7-O23</f>
        <v>-8330</v>
      </c>
      <c r="P33" s="112" t="n">
        <f aca="false">+P7-P23</f>
        <v>-27664</v>
      </c>
      <c r="Q33" s="112" t="n">
        <f aca="false">SUM(E33:P33)</f>
        <v>-199868</v>
      </c>
    </row>
    <row r="34" customFormat="false" ht="15" hidden="false" customHeight="true" outlineLevel="0" collapsed="false"/>
    <row r="35" customFormat="false" ht="15" hidden="false" customHeight="true" outlineLevel="0" collapsed="false">
      <c r="A35" s="107" t="s">
        <v>36</v>
      </c>
      <c r="B35" s="107"/>
      <c r="C35" s="107"/>
      <c r="D35" s="107"/>
      <c r="E35" s="108" t="n">
        <v>23521</v>
      </c>
      <c r="F35" s="108" t="n">
        <v>6864</v>
      </c>
      <c r="G35" s="108" t="n">
        <v>18311</v>
      </c>
      <c r="H35" s="108" t="n">
        <v>26399</v>
      </c>
      <c r="I35" s="108" t="n">
        <v>4799</v>
      </c>
      <c r="J35" s="108" t="n">
        <v>3651</v>
      </c>
      <c r="K35" s="108" t="n">
        <v>104411</v>
      </c>
      <c r="L35" s="108" t="n">
        <v>-4742</v>
      </c>
      <c r="M35" s="108" t="n">
        <v>13290</v>
      </c>
      <c r="N35" s="108" t="n">
        <v>80672</v>
      </c>
      <c r="O35" s="108" t="n">
        <v>2257</v>
      </c>
      <c r="P35" s="108" t="n">
        <v>7390</v>
      </c>
      <c r="Q35" s="108" t="n">
        <v>286823</v>
      </c>
    </row>
    <row r="36" customFormat="false" ht="15" hidden="false" customHeight="true" outlineLevel="0" collapsed="false">
      <c r="B36" s="100" t="s">
        <v>37</v>
      </c>
      <c r="E36" s="109" t="n">
        <v>23711</v>
      </c>
      <c r="F36" s="109" t="n">
        <v>25792</v>
      </c>
      <c r="G36" s="109" t="n">
        <v>92</v>
      </c>
      <c r="H36" s="109" t="n">
        <v>5192</v>
      </c>
      <c r="I36" s="109" t="n">
        <v>-3931</v>
      </c>
      <c r="J36" s="109" t="n">
        <v>-4977</v>
      </c>
      <c r="K36" s="109" t="n">
        <v>38069</v>
      </c>
      <c r="L36" s="109" t="n">
        <v>-6362</v>
      </c>
      <c r="M36" s="109" t="n">
        <v>-1096</v>
      </c>
      <c r="N36" s="109" t="n">
        <v>59455</v>
      </c>
      <c r="O36" s="109" t="n">
        <v>9919</v>
      </c>
      <c r="P36" s="109" t="n">
        <v>-2002</v>
      </c>
      <c r="Q36" s="109" t="n">
        <v>143862</v>
      </c>
    </row>
    <row r="37" customFormat="false" ht="15" hidden="false" customHeight="true" outlineLevel="0" collapsed="false">
      <c r="A37" s="100" t="s">
        <v>59</v>
      </c>
      <c r="C37" s="100" t="s">
        <v>38</v>
      </c>
      <c r="E37" s="110" t="n">
        <v>29513</v>
      </c>
      <c r="F37" s="110" t="n">
        <v>30526</v>
      </c>
      <c r="G37" s="110" t="n">
        <v>2667</v>
      </c>
      <c r="H37" s="110" t="n">
        <v>7740</v>
      </c>
      <c r="I37" s="110" t="n">
        <v>1045</v>
      </c>
      <c r="J37" s="110" t="n">
        <v>1305</v>
      </c>
      <c r="K37" s="110" t="n">
        <v>44126</v>
      </c>
      <c r="L37" s="110" t="n">
        <v>12415</v>
      </c>
      <c r="M37" s="110" t="n">
        <v>6263</v>
      </c>
      <c r="N37" s="110" t="n">
        <v>68340</v>
      </c>
      <c r="O37" s="110" t="n">
        <v>15159</v>
      </c>
      <c r="P37" s="110" t="n">
        <v>21023</v>
      </c>
      <c r="Q37" s="110" t="n">
        <v>240122</v>
      </c>
    </row>
    <row r="38" customFormat="false" ht="15" hidden="false" customHeight="true" outlineLevel="0" collapsed="false">
      <c r="C38" s="100" t="s">
        <v>39</v>
      </c>
      <c r="E38" s="110" t="n">
        <v>5802</v>
      </c>
      <c r="F38" s="110" t="n">
        <v>4734</v>
      </c>
      <c r="G38" s="110" t="n">
        <v>2575</v>
      </c>
      <c r="H38" s="110" t="n">
        <v>2548</v>
      </c>
      <c r="I38" s="110" t="n">
        <v>4976</v>
      </c>
      <c r="J38" s="110" t="n">
        <v>6282</v>
      </c>
      <c r="K38" s="110" t="n">
        <v>6057</v>
      </c>
      <c r="L38" s="110" t="n">
        <v>18777</v>
      </c>
      <c r="M38" s="110" t="n">
        <v>7359</v>
      </c>
      <c r="N38" s="110" t="n">
        <v>8885</v>
      </c>
      <c r="O38" s="110" t="n">
        <v>5240</v>
      </c>
      <c r="P38" s="110" t="n">
        <v>23025</v>
      </c>
      <c r="Q38" s="110" t="n">
        <v>96260</v>
      </c>
    </row>
    <row r="39" customFormat="false" ht="15" hidden="false" customHeight="true" outlineLevel="0" collapsed="false"/>
    <row r="40" customFormat="false" ht="15" hidden="false" customHeight="true" outlineLevel="0" collapsed="false">
      <c r="B40" s="100" t="s">
        <v>40</v>
      </c>
      <c r="E40" s="109" t="n">
        <v>-190</v>
      </c>
      <c r="F40" s="109" t="n">
        <v>-18928</v>
      </c>
      <c r="G40" s="109" t="n">
        <v>18219</v>
      </c>
      <c r="H40" s="109" t="n">
        <v>21207</v>
      </c>
      <c r="I40" s="109" t="n">
        <v>8730</v>
      </c>
      <c r="J40" s="109" t="n">
        <v>8628</v>
      </c>
      <c r="K40" s="109" t="n">
        <v>66342</v>
      </c>
      <c r="L40" s="109" t="n">
        <v>1620</v>
      </c>
      <c r="M40" s="109" t="n">
        <v>14386</v>
      </c>
      <c r="N40" s="109" t="n">
        <v>21217</v>
      </c>
      <c r="O40" s="109" t="n">
        <v>-7662</v>
      </c>
      <c r="P40" s="109" t="n">
        <v>9392</v>
      </c>
      <c r="Q40" s="109" t="n">
        <v>142961</v>
      </c>
    </row>
    <row r="41" customFormat="false" ht="15" hidden="false" customHeight="true" outlineLevel="0" collapsed="false">
      <c r="C41" s="100" t="s">
        <v>41</v>
      </c>
      <c r="E41" s="110" t="n">
        <v>5971</v>
      </c>
      <c r="F41" s="110" t="n">
        <v>-12464</v>
      </c>
      <c r="G41" s="110" t="n">
        <v>31444</v>
      </c>
      <c r="H41" s="110" t="n">
        <v>29169</v>
      </c>
      <c r="I41" s="110" t="n">
        <v>22146</v>
      </c>
      <c r="J41" s="110" t="n">
        <v>23786</v>
      </c>
      <c r="K41" s="110" t="n">
        <v>93164</v>
      </c>
      <c r="L41" s="110" t="n">
        <v>5537</v>
      </c>
      <c r="M41" s="110" t="n">
        <v>27714</v>
      </c>
      <c r="N41" s="110" t="n">
        <v>34662</v>
      </c>
      <c r="O41" s="110" t="n">
        <v>5020</v>
      </c>
      <c r="P41" s="110" t="n">
        <v>24134</v>
      </c>
      <c r="Q41" s="110" t="n">
        <v>290283</v>
      </c>
    </row>
    <row r="42" customFormat="false" ht="15" hidden="false" customHeight="true" outlineLevel="0" collapsed="false">
      <c r="C42" s="100" t="s">
        <v>39</v>
      </c>
      <c r="E42" s="110" t="n">
        <v>6161</v>
      </c>
      <c r="F42" s="110" t="n">
        <v>6464</v>
      </c>
      <c r="G42" s="110" t="n">
        <v>13225</v>
      </c>
      <c r="H42" s="110" t="n">
        <v>7962</v>
      </c>
      <c r="I42" s="110" t="n">
        <v>13416</v>
      </c>
      <c r="J42" s="110" t="n">
        <v>15158</v>
      </c>
      <c r="K42" s="110" t="n">
        <v>26822</v>
      </c>
      <c r="L42" s="110" t="n">
        <v>3917</v>
      </c>
      <c r="M42" s="110" t="n">
        <v>13328</v>
      </c>
      <c r="N42" s="110" t="n">
        <v>13445</v>
      </c>
      <c r="O42" s="110" t="n">
        <v>12682</v>
      </c>
      <c r="P42" s="110" t="n">
        <v>14742</v>
      </c>
      <c r="Q42" s="110" t="n">
        <v>147322</v>
      </c>
    </row>
    <row r="43" customFormat="false" ht="15" hidden="false" customHeight="true" outlineLevel="0" collapsed="false"/>
    <row r="44" s="107" customFormat="true" ht="15" hidden="false" customHeight="true" outlineLevel="0" collapsed="false">
      <c r="A44" s="107" t="s">
        <v>45</v>
      </c>
      <c r="E44" s="108" t="n">
        <v>16487</v>
      </c>
      <c r="F44" s="108" t="n">
        <v>-10539</v>
      </c>
      <c r="G44" s="108" t="n">
        <v>-9411</v>
      </c>
      <c r="H44" s="108" t="n">
        <v>8634</v>
      </c>
      <c r="I44" s="108" t="n">
        <v>-13054</v>
      </c>
      <c r="J44" s="108" t="n">
        <v>1458</v>
      </c>
      <c r="K44" s="108" t="n">
        <v>63880</v>
      </c>
      <c r="L44" s="108" t="n">
        <v>-30402</v>
      </c>
      <c r="M44" s="108" t="n">
        <v>-27790</v>
      </c>
      <c r="N44" s="108" t="n">
        <v>54071</v>
      </c>
      <c r="O44" s="108" t="n">
        <v>-19501</v>
      </c>
      <c r="P44" s="108" t="n">
        <v>-8066</v>
      </c>
      <c r="Q44" s="108" t="n">
        <v>25767</v>
      </c>
      <c r="R44" s="112"/>
    </row>
    <row r="45" customFormat="false" ht="15" hidden="false" customHeight="false" outlineLevel="0" collapsed="false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</row>
    <row r="46" customFormat="false" ht="15" hidden="false" customHeight="false" outlineLevel="0" collapsed="false">
      <c r="A46" s="31" t="s">
        <v>138</v>
      </c>
    </row>
    <row r="47" customFormat="false" ht="14.25" hidden="false" customHeight="false" outlineLevel="0" collapsed="false">
      <c r="A47" s="31"/>
    </row>
    <row r="49" s="100" customFormat="true" ht="14.25" hidden="false" customHeight="false" outlineLevel="0" collapsed="false"/>
    <row r="50" customFormat="false" ht="14.25" hidden="false" customHeight="false" outlineLevel="0" collapsed="false">
      <c r="A50" s="31" t="s">
        <v>139</v>
      </c>
      <c r="C50" s="110"/>
      <c r="D50" s="110"/>
      <c r="F50" s="100"/>
      <c r="G50" s="149"/>
      <c r="H50" s="149"/>
    </row>
    <row r="51" customFormat="false" ht="14.25" hidden="false" customHeight="false" outlineLevel="0" collapsed="false">
      <c r="A51" s="31" t="s">
        <v>140</v>
      </c>
      <c r="F51" s="100"/>
      <c r="G51" s="100"/>
      <c r="H51" s="100"/>
    </row>
    <row r="52" customFormat="false" ht="14.25" hidden="false" customHeight="false" outlineLevel="0" collapsed="false">
      <c r="A52" s="31"/>
      <c r="B52" s="31"/>
      <c r="C52" s="31"/>
      <c r="D52" s="31"/>
      <c r="E52" s="150"/>
    </row>
    <row r="53" customFormat="false" ht="14.25" hidden="false" customHeight="false" outlineLevel="0" collapsed="false">
      <c r="A53" s="31"/>
      <c r="B53" s="31"/>
      <c r="C53" s="31"/>
      <c r="D53" s="31"/>
      <c r="E53" s="150"/>
    </row>
    <row r="54" customFormat="false" ht="14.25" hidden="false" customHeight="false" outlineLevel="0" collapsed="false">
      <c r="A54" s="31"/>
      <c r="B54" s="31"/>
      <c r="C54" s="31"/>
      <c r="D54" s="31"/>
      <c r="E54" s="150"/>
    </row>
    <row r="55" customFormat="false" ht="14.25" hidden="false" customHeight="false" outlineLevel="0" collapsed="false">
      <c r="A55" s="31"/>
      <c r="B55" s="31"/>
      <c r="C55" s="31"/>
      <c r="D55" s="31"/>
      <c r="E55" s="150"/>
    </row>
  </sheetData>
  <mergeCells count="1">
    <mergeCell ref="A5:C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C31" activeCellId="0" sqref="C31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85"/>
    <col collapsed="false" customWidth="true" hidden="false" outlineLevel="0" max="3" min="3" style="100" width="23.71"/>
    <col collapsed="false" customWidth="true" hidden="false" outlineLevel="0" max="4" min="4" style="100" width="0.42"/>
    <col collapsed="false" customWidth="true" hidden="false" outlineLevel="0" max="16" min="5" style="110" width="8.71"/>
    <col collapsed="false" customWidth="true" hidden="false" outlineLevel="0" max="17" min="17" style="110" width="9.85"/>
    <col collapsed="false" customWidth="false" hidden="false" outlineLevel="0" max="1024" min="18" style="100" width="9.14"/>
  </cols>
  <sheetData>
    <row r="1" customFormat="false" ht="15" hidden="false" customHeight="false" outlineLevel="0" collapsed="false">
      <c r="A1" s="107" t="s">
        <v>132</v>
      </c>
    </row>
    <row r="2" customFormat="false" ht="15" hidden="false" customHeight="false" outlineLevel="0" collapsed="false">
      <c r="A2" s="107" t="s">
        <v>141</v>
      </c>
    </row>
    <row r="3" customFormat="false" ht="15" hidden="false" customHeight="false" outlineLevel="0" collapsed="false">
      <c r="A3" s="100" t="s">
        <v>2</v>
      </c>
      <c r="F3" s="110" t="s">
        <v>59</v>
      </c>
      <c r="G3" s="108"/>
    </row>
    <row r="4" customFormat="false" ht="15" hidden="false" customHeight="false" outlineLevel="0" collapsed="false"/>
    <row r="5" customFormat="false" ht="22.5" hidden="false" customHeight="true" outlineLevel="0" collapsed="false">
      <c r="A5" s="126" t="s">
        <v>4</v>
      </c>
      <c r="B5" s="126"/>
      <c r="C5" s="126"/>
      <c r="D5" s="126"/>
      <c r="E5" s="147" t="s">
        <v>5</v>
      </c>
      <c r="F5" s="147" t="s">
        <v>6</v>
      </c>
      <c r="G5" s="147" t="s">
        <v>7</v>
      </c>
      <c r="H5" s="147" t="s">
        <v>8</v>
      </c>
      <c r="I5" s="147" t="s">
        <v>9</v>
      </c>
      <c r="J5" s="147" t="s">
        <v>10</v>
      </c>
      <c r="K5" s="147" t="s">
        <v>102</v>
      </c>
      <c r="L5" s="147" t="s">
        <v>54</v>
      </c>
      <c r="M5" s="147" t="s">
        <v>55</v>
      </c>
      <c r="N5" s="147" t="s">
        <v>56</v>
      </c>
      <c r="O5" s="147" t="s">
        <v>57</v>
      </c>
      <c r="P5" s="147" t="s">
        <v>58</v>
      </c>
      <c r="Q5" s="148" t="s">
        <v>134</v>
      </c>
    </row>
    <row r="6" customFormat="false" ht="15.75" hidden="false" customHeight="true" outlineLevel="0" collapsed="false"/>
    <row r="7" customFormat="false" ht="15.75" hidden="false" customHeight="true" outlineLevel="0" collapsed="false">
      <c r="A7" s="107" t="s">
        <v>12</v>
      </c>
      <c r="E7" s="108" t="n">
        <f aca="false">SUM(E8+E15+E21)</f>
        <v>47300</v>
      </c>
      <c r="F7" s="108" t="n">
        <f aca="false">SUM(F8+F15+F21)</f>
        <v>37899</v>
      </c>
      <c r="G7" s="108" t="n">
        <f aca="false">SUM(G8+G15+G21)</f>
        <v>39922</v>
      </c>
      <c r="H7" s="108" t="n">
        <f aca="false">SUM(H8+H15+H21)</f>
        <v>55607</v>
      </c>
      <c r="I7" s="108" t="n">
        <f aca="false">SUM(I8+I15+I21)</f>
        <v>43116</v>
      </c>
      <c r="J7" s="108" t="n">
        <f aca="false">SUM(J8+J15+J21)</f>
        <v>42679</v>
      </c>
      <c r="K7" s="108" t="n">
        <f aca="false">SUM(K8+K15+K21)</f>
        <v>46570</v>
      </c>
      <c r="L7" s="108" t="n">
        <f aca="false">SUM(L8+L15+L21)</f>
        <v>50274</v>
      </c>
      <c r="M7" s="108" t="n">
        <f aca="false">SUM(M8+M15+M21)</f>
        <v>46266</v>
      </c>
      <c r="N7" s="108" t="n">
        <f aca="false">SUM(N8+N15+N21)</f>
        <v>43553</v>
      </c>
      <c r="O7" s="108" t="n">
        <f aca="false">SUM(O8+O15+O21)</f>
        <v>53446</v>
      </c>
      <c r="P7" s="108" t="n">
        <f aca="false">SUM(P8+P15+P21)</f>
        <v>60510</v>
      </c>
      <c r="Q7" s="108" t="n">
        <f aca="false">SUM(Q8+Q15+Q21)</f>
        <v>567141</v>
      </c>
    </row>
    <row r="8" customFormat="false" ht="15.75" hidden="false" customHeight="true" outlineLevel="0" collapsed="false">
      <c r="B8" s="100" t="s">
        <v>13</v>
      </c>
      <c r="E8" s="109" t="n">
        <f aca="false">SUM(E9+E11+E13)</f>
        <v>42342</v>
      </c>
      <c r="F8" s="109" t="n">
        <f aca="false">SUM(F9+F11+F13)</f>
        <v>32087</v>
      </c>
      <c r="G8" s="109" t="n">
        <f aca="false">SUM(G9+G11+G13)</f>
        <v>34085</v>
      </c>
      <c r="H8" s="109" t="n">
        <f aca="false">SUM(H9+H11+H13)</f>
        <v>51283</v>
      </c>
      <c r="I8" s="109" t="n">
        <f aca="false">SUM(I9+I11+I13)</f>
        <v>39170</v>
      </c>
      <c r="J8" s="109" t="n">
        <f aca="false">SUM(J9+J11+J13)</f>
        <v>36753</v>
      </c>
      <c r="K8" s="109" t="n">
        <f aca="false">SUM(K9+K11+K13)</f>
        <v>38628</v>
      </c>
      <c r="L8" s="109" t="n">
        <f aca="false">SUM(L9+L11+L13)</f>
        <v>43801</v>
      </c>
      <c r="M8" s="109" t="n">
        <f aca="false">SUM(M9+M11+M13)</f>
        <v>41103</v>
      </c>
      <c r="N8" s="109" t="n">
        <f aca="false">SUM(N9+N11+N13)</f>
        <v>39161</v>
      </c>
      <c r="O8" s="109" t="n">
        <f aca="false">SUM(O9+O11+O13)</f>
        <v>49197</v>
      </c>
      <c r="P8" s="109" t="n">
        <f aca="false">SUM(P9+P11+P13)</f>
        <v>48762</v>
      </c>
      <c r="Q8" s="109" t="n">
        <f aca="false">SUM(Q9+Q11+Q13)</f>
        <v>496372</v>
      </c>
    </row>
    <row r="9" customFormat="false" ht="15.75" hidden="false" customHeight="true" outlineLevel="0" collapsed="false">
      <c r="C9" s="100" t="s">
        <v>14</v>
      </c>
      <c r="E9" s="110" t="n">
        <v>35037</v>
      </c>
      <c r="F9" s="110" t="n">
        <v>24852</v>
      </c>
      <c r="G9" s="110" t="n">
        <v>26734</v>
      </c>
      <c r="H9" s="110" t="n">
        <v>42484</v>
      </c>
      <c r="I9" s="110" t="n">
        <v>30887</v>
      </c>
      <c r="J9" s="110" t="n">
        <v>28711</v>
      </c>
      <c r="K9" s="110" t="n">
        <v>30248</v>
      </c>
      <c r="L9" s="110" t="n">
        <v>34176</v>
      </c>
      <c r="M9" s="110" t="n">
        <v>32365</v>
      </c>
      <c r="N9" s="110" t="n">
        <v>30465</v>
      </c>
      <c r="O9" s="110" t="n">
        <v>40824</v>
      </c>
      <c r="P9" s="110" t="n">
        <v>37766</v>
      </c>
      <c r="Q9" s="110" t="n">
        <f aca="false">SUM(E9:P9)</f>
        <v>394549</v>
      </c>
    </row>
    <row r="10" customFormat="false" ht="15.75" hidden="false" customHeight="true" outlineLevel="0" collapsed="false">
      <c r="C10" s="100" t="s">
        <v>142</v>
      </c>
      <c r="E10" s="110" t="n">
        <v>0</v>
      </c>
      <c r="F10" s="110" t="n">
        <v>6149</v>
      </c>
      <c r="G10" s="110" t="n">
        <v>0</v>
      </c>
      <c r="H10" s="110" t="n">
        <v>383</v>
      </c>
      <c r="I10" s="110" t="n">
        <v>0</v>
      </c>
      <c r="J10" s="110" t="n">
        <v>380</v>
      </c>
      <c r="K10" s="110" t="n">
        <v>476</v>
      </c>
      <c r="L10" s="110" t="n">
        <v>0</v>
      </c>
      <c r="M10" s="110" t="n">
        <v>511</v>
      </c>
      <c r="N10" s="110" t="n">
        <v>0</v>
      </c>
      <c r="O10" s="110" t="n">
        <v>173</v>
      </c>
      <c r="P10" s="110" t="n">
        <v>121</v>
      </c>
      <c r="Q10" s="110" t="n">
        <f aca="false">SUM(E10:P10)</f>
        <v>8193</v>
      </c>
    </row>
    <row r="11" customFormat="false" ht="15.75" hidden="false" customHeight="true" outlineLevel="0" collapsed="false">
      <c r="C11" s="100" t="s">
        <v>18</v>
      </c>
      <c r="E11" s="110" t="n">
        <v>6893</v>
      </c>
      <c r="F11" s="110" t="n">
        <v>6826</v>
      </c>
      <c r="G11" s="110" t="n">
        <v>6982</v>
      </c>
      <c r="H11" s="110" t="n">
        <v>8375</v>
      </c>
      <c r="I11" s="110" t="n">
        <v>7701</v>
      </c>
      <c r="J11" s="110" t="n">
        <v>7624</v>
      </c>
      <c r="K11" s="110" t="n">
        <v>7864</v>
      </c>
      <c r="L11" s="110" t="n">
        <v>9212</v>
      </c>
      <c r="M11" s="110" t="n">
        <v>8107</v>
      </c>
      <c r="N11" s="110" t="n">
        <v>8233</v>
      </c>
      <c r="O11" s="110" t="n">
        <v>8215</v>
      </c>
      <c r="P11" s="110" t="n">
        <v>10218</v>
      </c>
      <c r="Q11" s="110" t="n">
        <f aca="false">SUM(E11:P11)</f>
        <v>96250</v>
      </c>
    </row>
    <row r="12" customFormat="false" ht="15.75" hidden="false" customHeight="true" outlineLevel="0" collapsed="false">
      <c r="C12" s="100" t="s">
        <v>143</v>
      </c>
      <c r="E12" s="110" t="n">
        <v>0</v>
      </c>
      <c r="F12" s="110" t="n">
        <v>0</v>
      </c>
      <c r="G12" s="110" t="n">
        <v>20</v>
      </c>
      <c r="H12" s="110" t="n">
        <v>0</v>
      </c>
      <c r="I12" s="110" t="n">
        <v>1867</v>
      </c>
      <c r="J12" s="110" t="n">
        <v>28</v>
      </c>
      <c r="K12" s="110" t="n">
        <v>0</v>
      </c>
      <c r="L12" s="110" t="n">
        <v>106</v>
      </c>
      <c r="M12" s="110" t="n">
        <v>160</v>
      </c>
      <c r="N12" s="110" t="n">
        <v>76</v>
      </c>
      <c r="O12" s="110" t="n">
        <v>226</v>
      </c>
      <c r="P12" s="110" t="n">
        <v>589</v>
      </c>
      <c r="Q12" s="110" t="n">
        <f aca="false">SUM(E12:P12)</f>
        <v>3072</v>
      </c>
    </row>
    <row r="13" customFormat="false" ht="15.75" hidden="false" customHeight="true" outlineLevel="0" collapsed="false">
      <c r="C13" s="100" t="s">
        <v>87</v>
      </c>
      <c r="E13" s="110" t="n">
        <v>412</v>
      </c>
      <c r="F13" s="110" t="n">
        <v>409</v>
      </c>
      <c r="G13" s="110" t="n">
        <v>369</v>
      </c>
      <c r="H13" s="110" t="n">
        <v>424</v>
      </c>
      <c r="I13" s="110" t="n">
        <v>582</v>
      </c>
      <c r="J13" s="110" t="n">
        <v>418</v>
      </c>
      <c r="K13" s="110" t="n">
        <v>516</v>
      </c>
      <c r="L13" s="110" t="n">
        <v>413</v>
      </c>
      <c r="M13" s="110" t="n">
        <v>631</v>
      </c>
      <c r="N13" s="110" t="n">
        <v>463</v>
      </c>
      <c r="O13" s="110" t="n">
        <v>158</v>
      </c>
      <c r="P13" s="110" t="n">
        <v>778</v>
      </c>
      <c r="Q13" s="110" t="n">
        <f aca="false">SUM(E13:P13)</f>
        <v>5573</v>
      </c>
    </row>
    <row r="14" customFormat="false" ht="15.75" hidden="false" customHeight="true" outlineLevel="0" collapsed="false"/>
    <row r="15" customFormat="false" ht="15.75" hidden="false" customHeight="true" outlineLevel="0" collapsed="false">
      <c r="B15" s="100" t="s">
        <v>20</v>
      </c>
      <c r="E15" s="109" t="n">
        <f aca="false">SUM(E16:E19)</f>
        <v>4958</v>
      </c>
      <c r="F15" s="109" t="n">
        <f aca="false">SUM(F16:F19)</f>
        <v>5774</v>
      </c>
      <c r="G15" s="109" t="n">
        <f aca="false">SUM(G16:G19)</f>
        <v>5835</v>
      </c>
      <c r="H15" s="109" t="n">
        <f aca="false">SUM(H16:H19)</f>
        <v>4264</v>
      </c>
      <c r="I15" s="109" t="n">
        <f aca="false">SUM(I16:I19)</f>
        <v>3913</v>
      </c>
      <c r="J15" s="109" t="n">
        <f aca="false">SUM(J16:J19)</f>
        <v>5887</v>
      </c>
      <c r="K15" s="109" t="n">
        <f aca="false">SUM(K16:K19)</f>
        <v>7804</v>
      </c>
      <c r="L15" s="109" t="n">
        <f aca="false">SUM(L16:L19)</f>
        <v>6385</v>
      </c>
      <c r="M15" s="109" t="n">
        <f aca="false">SUM(M16:M19)</f>
        <v>5063</v>
      </c>
      <c r="N15" s="109" t="n">
        <f aca="false">SUM(N16:N19)</f>
        <v>4220</v>
      </c>
      <c r="O15" s="109" t="n">
        <f aca="false">SUM(O16:O19)</f>
        <v>4193</v>
      </c>
      <c r="P15" s="109" t="n">
        <f aca="false">SUM(P16:P19)</f>
        <v>11422</v>
      </c>
      <c r="Q15" s="109" t="n">
        <f aca="false">SUM(Q16:Q19)-1</f>
        <v>69717</v>
      </c>
    </row>
    <row r="16" customFormat="false" ht="15.75" hidden="false" customHeight="true" outlineLevel="0" collapsed="false">
      <c r="C16" s="100" t="s">
        <v>21</v>
      </c>
      <c r="E16" s="110" t="n">
        <v>2176</v>
      </c>
      <c r="F16" s="110" t="n">
        <v>1769</v>
      </c>
      <c r="G16" s="110" t="n">
        <v>4158</v>
      </c>
      <c r="H16" s="110" t="n">
        <v>2129</v>
      </c>
      <c r="I16" s="110" t="n">
        <v>2422</v>
      </c>
      <c r="J16" s="110" t="n">
        <v>3804</v>
      </c>
      <c r="K16" s="110" t="n">
        <v>5523</v>
      </c>
      <c r="L16" s="110" t="n">
        <v>5263</v>
      </c>
      <c r="M16" s="110" t="n">
        <v>4510</v>
      </c>
      <c r="N16" s="110" t="n">
        <v>2214</v>
      </c>
      <c r="O16" s="110" t="n">
        <v>2836</v>
      </c>
      <c r="P16" s="110" t="n">
        <v>10390</v>
      </c>
      <c r="Q16" s="110" t="n">
        <f aca="false">SUM(E16:P16)</f>
        <v>47194</v>
      </c>
    </row>
    <row r="17" customFormat="false" ht="15.75" hidden="false" customHeight="true" outlineLevel="0" collapsed="false">
      <c r="C17" s="100" t="s">
        <v>112</v>
      </c>
      <c r="E17" s="110" t="n">
        <v>2778</v>
      </c>
      <c r="F17" s="110" t="n">
        <v>3964</v>
      </c>
      <c r="G17" s="110" t="n">
        <v>1666</v>
      </c>
      <c r="H17" s="110" t="n">
        <f aca="false">2072-H18</f>
        <v>2071</v>
      </c>
      <c r="I17" s="110" t="n">
        <f aca="false">1469-I18</f>
        <v>1347.581725</v>
      </c>
      <c r="J17" s="110" t="n">
        <f aca="false">1988-J18</f>
        <v>1939.83371</v>
      </c>
      <c r="K17" s="110" t="n">
        <f aca="false">2280-K18</f>
        <v>2276</v>
      </c>
      <c r="L17" s="110" t="n">
        <f aca="false">1114-L18</f>
        <v>1048.203569</v>
      </c>
      <c r="M17" s="110" t="n">
        <f aca="false">511-M18</f>
        <v>468.116243</v>
      </c>
      <c r="N17" s="110" t="n">
        <f aca="false">2006-N18</f>
        <v>1813.254875</v>
      </c>
      <c r="O17" s="110" t="n">
        <f aca="false">1256-O18</f>
        <v>1179.610261</v>
      </c>
      <c r="P17" s="110" t="n">
        <f aca="false">828-P18</f>
        <v>735.561404</v>
      </c>
      <c r="Q17" s="110" t="n">
        <f aca="false">SUM(E17:P17)</f>
        <v>21287.161787</v>
      </c>
    </row>
    <row r="18" customFormat="false" ht="15.75" hidden="false" customHeight="true" outlineLevel="0" collapsed="false">
      <c r="C18" s="100" t="s">
        <v>24</v>
      </c>
      <c r="E18" s="110" t="n">
        <v>0</v>
      </c>
      <c r="F18" s="110" t="n">
        <v>0</v>
      </c>
      <c r="G18" s="110" t="n">
        <v>1</v>
      </c>
      <c r="H18" s="110" t="n">
        <v>1</v>
      </c>
      <c r="I18" s="110" t="n">
        <v>121.418275</v>
      </c>
      <c r="J18" s="110" t="n">
        <v>48.16629</v>
      </c>
      <c r="K18" s="110" t="n">
        <v>4</v>
      </c>
      <c r="L18" s="110" t="n">
        <v>65.796431</v>
      </c>
      <c r="M18" s="110" t="n">
        <v>42.883757</v>
      </c>
      <c r="N18" s="110" t="n">
        <v>192.745125</v>
      </c>
      <c r="O18" s="110" t="n">
        <v>76.389739</v>
      </c>
      <c r="P18" s="110" t="n">
        <v>92.438596</v>
      </c>
      <c r="Q18" s="110" t="n">
        <f aca="false">SUM(E18:P18)</f>
        <v>645.838213</v>
      </c>
    </row>
    <row r="19" customFormat="false" ht="15.75" hidden="false" customHeight="true" outlineLevel="0" collapsed="false">
      <c r="C19" s="100" t="s">
        <v>23</v>
      </c>
      <c r="E19" s="110" t="n">
        <v>4</v>
      </c>
      <c r="F19" s="110" t="n">
        <v>41</v>
      </c>
      <c r="G19" s="110" t="n">
        <v>10</v>
      </c>
      <c r="H19" s="110" t="n">
        <v>63</v>
      </c>
      <c r="I19" s="110" t="n">
        <v>22</v>
      </c>
      <c r="J19" s="110" t="n">
        <v>95</v>
      </c>
      <c r="K19" s="110" t="n">
        <v>1</v>
      </c>
      <c r="L19" s="110" t="n">
        <v>8</v>
      </c>
      <c r="M19" s="110" t="n">
        <v>42</v>
      </c>
      <c r="N19" s="110" t="n">
        <v>0</v>
      </c>
      <c r="O19" s="110" t="n">
        <v>101</v>
      </c>
      <c r="P19" s="110" t="n">
        <v>204</v>
      </c>
      <c r="Q19" s="110" t="n">
        <f aca="false">SUM(E19:P19)</f>
        <v>591</v>
      </c>
    </row>
    <row r="20" customFormat="false" ht="15.75" hidden="false" customHeight="true" outlineLevel="0" collapsed="false"/>
    <row r="21" customFormat="false" ht="15.75" hidden="false" customHeight="true" outlineLevel="0" collapsed="false">
      <c r="B21" s="100" t="s">
        <v>26</v>
      </c>
      <c r="E21" s="110" t="n">
        <v>0</v>
      </c>
      <c r="F21" s="110" t="n">
        <v>38</v>
      </c>
      <c r="G21" s="110" t="n">
        <v>2</v>
      </c>
      <c r="H21" s="110" t="n">
        <v>60</v>
      </c>
      <c r="I21" s="110" t="n">
        <v>33</v>
      </c>
      <c r="J21" s="110" t="n">
        <v>39</v>
      </c>
      <c r="K21" s="110" t="n">
        <v>138</v>
      </c>
      <c r="L21" s="110" t="n">
        <v>88</v>
      </c>
      <c r="M21" s="110" t="n">
        <v>100</v>
      </c>
      <c r="N21" s="110" t="n">
        <v>172</v>
      </c>
      <c r="O21" s="110" t="n">
        <v>56</v>
      </c>
      <c r="P21" s="110" t="n">
        <v>326</v>
      </c>
      <c r="Q21" s="110" t="n">
        <v>1052</v>
      </c>
    </row>
    <row r="22" customFormat="false" ht="15.75" hidden="false" customHeight="true" outlineLevel="0" collapsed="false"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10"/>
    </row>
    <row r="23" customFormat="false" ht="15.75" hidden="false" customHeight="true" outlineLevel="0" collapsed="false">
      <c r="A23" s="107" t="s">
        <v>27</v>
      </c>
      <c r="E23" s="108" t="n">
        <f aca="false">SUM(E25:E31)</f>
        <v>62279</v>
      </c>
      <c r="F23" s="108" t="n">
        <f aca="false">SUM(F25:F31)</f>
        <v>58861</v>
      </c>
      <c r="G23" s="108" t="n">
        <f aca="false">SUM(G25:G31)</f>
        <v>65188</v>
      </c>
      <c r="H23" s="108" t="n">
        <f aca="false">SUM(H25:H31)</f>
        <v>77363</v>
      </c>
      <c r="I23" s="108" t="n">
        <f aca="false">SUM(I25:I31)</f>
        <v>67692</v>
      </c>
      <c r="J23" s="108" t="n">
        <f aca="false">SUM(J25:J31)</f>
        <v>54857</v>
      </c>
      <c r="K23" s="108" t="n">
        <f aca="false">SUM(K25:K31)</f>
        <v>58697</v>
      </c>
      <c r="L23" s="108" t="n">
        <f aca="false">SUM(L25:L31)</f>
        <v>62462</v>
      </c>
      <c r="M23" s="108" t="n">
        <f aca="false">SUM(M25:M31)</f>
        <v>68706</v>
      </c>
      <c r="N23" s="108" t="n">
        <f aca="false">SUM(N25:N31)</f>
        <v>64647</v>
      </c>
      <c r="O23" s="108" t="n">
        <f aca="false">SUM(O25:O31)</f>
        <v>66433</v>
      </c>
      <c r="P23" s="108" t="n">
        <f aca="false">SUM(P25:P31)</f>
        <v>70697</v>
      </c>
      <c r="Q23" s="108" t="n">
        <f aca="false">SUM(E23:P23)</f>
        <v>777882</v>
      </c>
    </row>
    <row r="24" customFormat="false" ht="15.75" hidden="false" customHeight="true" outlineLevel="0" collapsed="false">
      <c r="A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</row>
    <row r="25" customFormat="false" ht="15.75" hidden="false" customHeight="true" outlineLevel="0" collapsed="false">
      <c r="C25" s="100" t="s">
        <v>28</v>
      </c>
      <c r="E25" s="110" t="n">
        <v>11807</v>
      </c>
      <c r="F25" s="110" t="n">
        <v>11383</v>
      </c>
      <c r="G25" s="110" t="n">
        <v>11789</v>
      </c>
      <c r="H25" s="110" t="n">
        <v>12410</v>
      </c>
      <c r="I25" s="110" t="n">
        <v>11449</v>
      </c>
      <c r="J25" s="110" t="n">
        <v>12453</v>
      </c>
      <c r="K25" s="110" t="n">
        <v>11142</v>
      </c>
      <c r="L25" s="110" t="n">
        <v>11381</v>
      </c>
      <c r="M25" s="110" t="n">
        <v>11982</v>
      </c>
      <c r="N25" s="110" t="n">
        <v>12100</v>
      </c>
      <c r="O25" s="110" t="n">
        <v>11298</v>
      </c>
      <c r="P25" s="110" t="n">
        <v>11346</v>
      </c>
      <c r="Q25" s="110" t="n">
        <f aca="false">SUM(E25:P25)</f>
        <v>140540</v>
      </c>
    </row>
    <row r="26" customFormat="false" ht="15.75" hidden="false" customHeight="true" outlineLevel="0" collapsed="false">
      <c r="C26" s="100" t="s">
        <v>29</v>
      </c>
      <c r="E26" s="110" t="n">
        <v>15045</v>
      </c>
      <c r="F26" s="110" t="n">
        <v>12203</v>
      </c>
      <c r="G26" s="110" t="n">
        <v>14460</v>
      </c>
      <c r="H26" s="110" t="n">
        <v>17566</v>
      </c>
      <c r="I26" s="110" t="n">
        <v>13045</v>
      </c>
      <c r="J26" s="110" t="n">
        <v>9324</v>
      </c>
      <c r="K26" s="110" t="n">
        <v>15994</v>
      </c>
      <c r="L26" s="110" t="n">
        <v>14406</v>
      </c>
      <c r="M26" s="110" t="n">
        <v>24693</v>
      </c>
      <c r="N26" s="110" t="n">
        <v>18472</v>
      </c>
      <c r="O26" s="110" t="n">
        <v>15484</v>
      </c>
      <c r="P26" s="110" t="n">
        <v>15169</v>
      </c>
      <c r="Q26" s="110" t="n">
        <f aca="false">SUM(E26:P26)</f>
        <v>185861</v>
      </c>
    </row>
    <row r="27" customFormat="false" ht="15.75" hidden="false" customHeight="true" outlineLevel="0" collapsed="false">
      <c r="C27" s="100" t="s">
        <v>30</v>
      </c>
      <c r="E27" s="110" t="n">
        <v>0</v>
      </c>
      <c r="F27" s="110" t="n">
        <v>6149</v>
      </c>
      <c r="G27" s="110" t="n">
        <v>20</v>
      </c>
      <c r="H27" s="110" t="n">
        <v>383</v>
      </c>
      <c r="I27" s="110" t="n">
        <v>1867</v>
      </c>
      <c r="J27" s="110" t="n">
        <v>408</v>
      </c>
      <c r="K27" s="110" t="n">
        <v>476</v>
      </c>
      <c r="L27" s="110" t="n">
        <v>106</v>
      </c>
      <c r="M27" s="110" t="n">
        <v>671</v>
      </c>
      <c r="N27" s="110" t="n">
        <v>76</v>
      </c>
      <c r="O27" s="110" t="n">
        <v>399</v>
      </c>
      <c r="P27" s="110" t="n">
        <v>710</v>
      </c>
      <c r="Q27" s="110" t="n">
        <f aca="false">SUM(E27:P27)</f>
        <v>11265</v>
      </c>
    </row>
    <row r="28" customFormat="false" ht="15.75" hidden="false" customHeight="true" outlineLevel="0" collapsed="false">
      <c r="C28" s="100" t="s">
        <v>77</v>
      </c>
      <c r="E28" s="110" t="n">
        <v>151</v>
      </c>
      <c r="F28" s="110" t="n">
        <v>864</v>
      </c>
      <c r="G28" s="110" t="n">
        <v>524</v>
      </c>
      <c r="H28" s="110" t="n">
        <v>2032</v>
      </c>
      <c r="I28" s="110" t="n">
        <v>1285</v>
      </c>
      <c r="J28" s="110" t="n">
        <v>442</v>
      </c>
      <c r="K28" s="110" t="n">
        <v>837</v>
      </c>
      <c r="L28" s="110" t="n">
        <v>148</v>
      </c>
      <c r="M28" s="110" t="n">
        <v>144</v>
      </c>
      <c r="N28" s="110" t="n">
        <v>151</v>
      </c>
      <c r="O28" s="110" t="n">
        <v>351</v>
      </c>
      <c r="P28" s="110" t="n">
        <v>655</v>
      </c>
      <c r="Q28" s="110" t="n">
        <f aca="false">SUM(E28:P28)</f>
        <v>7584</v>
      </c>
    </row>
    <row r="29" customFormat="false" ht="15.75" hidden="false" customHeight="true" outlineLevel="0" collapsed="false">
      <c r="C29" s="100" t="s">
        <v>32</v>
      </c>
      <c r="E29" s="110" t="n">
        <v>0</v>
      </c>
      <c r="F29" s="110" t="n">
        <v>0</v>
      </c>
      <c r="G29" s="110" t="n">
        <v>0</v>
      </c>
      <c r="H29" s="110" t="n">
        <v>540</v>
      </c>
      <c r="I29" s="110" t="n">
        <v>45</v>
      </c>
      <c r="J29" s="110" t="n">
        <v>0</v>
      </c>
      <c r="K29" s="110" t="n">
        <v>100</v>
      </c>
      <c r="L29" s="110" t="n">
        <v>250</v>
      </c>
      <c r="M29" s="110" t="n">
        <v>0</v>
      </c>
      <c r="N29" s="110" t="n">
        <v>500</v>
      </c>
      <c r="O29" s="110" t="n">
        <v>0</v>
      </c>
      <c r="P29" s="110" t="n">
        <v>51</v>
      </c>
      <c r="Q29" s="110" t="n">
        <f aca="false">SUM(E29:P29)</f>
        <v>1486</v>
      </c>
    </row>
    <row r="30" customFormat="false" ht="15.75" hidden="false" customHeight="true" outlineLevel="0" collapsed="false">
      <c r="C30" s="100" t="s">
        <v>78</v>
      </c>
      <c r="E30" s="110" t="n">
        <v>500</v>
      </c>
      <c r="F30" s="110" t="n">
        <v>248</v>
      </c>
      <c r="G30" s="110" t="n">
        <v>495</v>
      </c>
      <c r="H30" s="110" t="n">
        <v>1038</v>
      </c>
      <c r="I30" s="110" t="n">
        <v>752</v>
      </c>
      <c r="J30" s="110" t="n">
        <v>534</v>
      </c>
      <c r="K30" s="110" t="n">
        <v>41</v>
      </c>
      <c r="L30" s="110" t="n">
        <v>-455</v>
      </c>
      <c r="M30" s="110" t="n">
        <v>191</v>
      </c>
      <c r="N30" s="110" t="n">
        <v>1250</v>
      </c>
      <c r="O30" s="110" t="n">
        <v>472</v>
      </c>
      <c r="P30" s="110" t="n">
        <v>-2440</v>
      </c>
      <c r="Q30" s="110" t="n">
        <f aca="false">SUM(E30:P30)</f>
        <v>2626</v>
      </c>
    </row>
    <row r="31" customFormat="false" ht="15.75" hidden="false" customHeight="true" outlineLevel="0" collapsed="false">
      <c r="C31" s="1" t="s">
        <v>79</v>
      </c>
      <c r="E31" s="110" t="n">
        <v>34776</v>
      </c>
      <c r="F31" s="110" t="n">
        <v>28014</v>
      </c>
      <c r="G31" s="110" t="n">
        <v>37900</v>
      </c>
      <c r="H31" s="110" t="n">
        <v>43394</v>
      </c>
      <c r="I31" s="110" t="n">
        <v>39249</v>
      </c>
      <c r="J31" s="110" t="n">
        <v>31696</v>
      </c>
      <c r="K31" s="110" t="n">
        <v>30107</v>
      </c>
      <c r="L31" s="110" t="n">
        <v>36626</v>
      </c>
      <c r="M31" s="110" t="n">
        <v>31025</v>
      </c>
      <c r="N31" s="110" t="n">
        <v>32098</v>
      </c>
      <c r="O31" s="110" t="n">
        <v>38429</v>
      </c>
      <c r="P31" s="110" t="n">
        <v>45206</v>
      </c>
      <c r="Q31" s="110" t="n">
        <f aca="false">SUM(E31:P31)</f>
        <v>428520</v>
      </c>
    </row>
    <row r="32" customFormat="false" ht="15.75" hidden="false" customHeight="true" outlineLevel="0" collapsed="false"/>
    <row r="33" customFormat="false" ht="15.75" hidden="false" customHeight="true" outlineLevel="0" collapsed="false">
      <c r="A33" s="107" t="s">
        <v>137</v>
      </c>
      <c r="B33" s="107"/>
      <c r="C33" s="107"/>
      <c r="D33" s="107"/>
      <c r="E33" s="112" t="n">
        <f aca="false">+E7-E23</f>
        <v>-14979</v>
      </c>
      <c r="F33" s="112" t="n">
        <f aca="false">+F7-F23</f>
        <v>-20962</v>
      </c>
      <c r="G33" s="112" t="n">
        <f aca="false">+G7-G23</f>
        <v>-25266</v>
      </c>
      <c r="H33" s="112" t="n">
        <f aca="false">+H7-H23</f>
        <v>-21756</v>
      </c>
      <c r="I33" s="112" t="n">
        <f aca="false">+I7-I23</f>
        <v>-24576</v>
      </c>
      <c r="J33" s="112" t="n">
        <f aca="false">+J7-J23</f>
        <v>-12178</v>
      </c>
      <c r="K33" s="112" t="n">
        <f aca="false">+K7-K23</f>
        <v>-12127</v>
      </c>
      <c r="L33" s="112" t="n">
        <f aca="false">+L7-L23</f>
        <v>-12188</v>
      </c>
      <c r="M33" s="112" t="n">
        <f aca="false">+M7-M23</f>
        <v>-22440</v>
      </c>
      <c r="N33" s="112" t="n">
        <f aca="false">+N7-N23</f>
        <v>-21094</v>
      </c>
      <c r="O33" s="112" t="n">
        <f aca="false">+O7-O23</f>
        <v>-12987</v>
      </c>
      <c r="P33" s="112" t="n">
        <f aca="false">+P7-P23</f>
        <v>-10187</v>
      </c>
      <c r="Q33" s="112" t="n">
        <f aca="false">SUM(E33:P33)</f>
        <v>-210740</v>
      </c>
    </row>
    <row r="34" customFormat="false" ht="15.75" hidden="false" customHeight="true" outlineLevel="0" collapsed="false"/>
    <row r="35" customFormat="false" ht="15.75" hidden="false" customHeight="true" outlineLevel="0" collapsed="false">
      <c r="A35" s="107" t="s">
        <v>36</v>
      </c>
      <c r="B35" s="107"/>
      <c r="C35" s="107"/>
      <c r="D35" s="107"/>
      <c r="E35" s="108" t="n">
        <v>47429</v>
      </c>
      <c r="F35" s="108" t="n">
        <v>4123</v>
      </c>
      <c r="G35" s="108" t="n">
        <v>47797</v>
      </c>
      <c r="H35" s="108" t="n">
        <v>38974</v>
      </c>
      <c r="I35" s="108" t="n">
        <v>12340</v>
      </c>
      <c r="J35" s="108" t="n">
        <v>44798</v>
      </c>
      <c r="K35" s="108" t="n">
        <v>-9217</v>
      </c>
      <c r="L35" s="108" t="n">
        <v>14297</v>
      </c>
      <c r="M35" s="108" t="n">
        <v>13228</v>
      </c>
      <c r="N35" s="108" t="n">
        <v>21333</v>
      </c>
      <c r="O35" s="108" t="n">
        <v>47465</v>
      </c>
      <c r="P35" s="108" t="n">
        <v>-18409</v>
      </c>
      <c r="Q35" s="108" t="n">
        <v>264158</v>
      </c>
    </row>
    <row r="36" customFormat="false" ht="15.75" hidden="false" customHeight="true" outlineLevel="0" collapsed="false">
      <c r="B36" s="100" t="s">
        <v>37</v>
      </c>
      <c r="E36" s="109" t="n">
        <v>38686</v>
      </c>
      <c r="F36" s="109" t="n">
        <v>-3981</v>
      </c>
      <c r="G36" s="109" t="n">
        <v>50865</v>
      </c>
      <c r="H36" s="109" t="n">
        <v>7077</v>
      </c>
      <c r="I36" s="109" t="n">
        <v>-3547</v>
      </c>
      <c r="J36" s="109" t="n">
        <v>-4657</v>
      </c>
      <c r="K36" s="109" t="n">
        <v>-3850</v>
      </c>
      <c r="L36" s="109" t="n">
        <v>-998</v>
      </c>
      <c r="M36" s="109" t="n">
        <v>15826</v>
      </c>
      <c r="N36" s="109" t="n">
        <v>-1733</v>
      </c>
      <c r="O36" s="109" t="n">
        <v>21534</v>
      </c>
      <c r="P36" s="109" t="n">
        <v>-6109</v>
      </c>
      <c r="Q36" s="109" t="n">
        <v>109113</v>
      </c>
    </row>
    <row r="37" customFormat="false" ht="15.75" hidden="false" customHeight="true" outlineLevel="0" collapsed="false">
      <c r="A37" s="100" t="s">
        <v>59</v>
      </c>
      <c r="C37" s="100" t="s">
        <v>38</v>
      </c>
      <c r="E37" s="110" t="n">
        <v>44153</v>
      </c>
      <c r="F37" s="110" t="n">
        <v>3587</v>
      </c>
      <c r="G37" s="110" t="n">
        <v>53109</v>
      </c>
      <c r="H37" s="110" t="n">
        <v>9347</v>
      </c>
      <c r="I37" s="110" t="n">
        <v>1355</v>
      </c>
      <c r="J37" s="110" t="n">
        <v>17742</v>
      </c>
      <c r="K37" s="110" t="n">
        <v>1968</v>
      </c>
      <c r="L37" s="110" t="n">
        <v>3020</v>
      </c>
      <c r="M37" s="110" t="n">
        <v>18392</v>
      </c>
      <c r="N37" s="110" t="n">
        <v>826</v>
      </c>
      <c r="O37" s="110" t="n">
        <v>40103</v>
      </c>
      <c r="P37" s="110" t="n">
        <v>6665</v>
      </c>
      <c r="Q37" s="110" t="n">
        <v>200267</v>
      </c>
    </row>
    <row r="38" customFormat="false" ht="15.75" hidden="false" customHeight="true" outlineLevel="0" collapsed="false">
      <c r="C38" s="100" t="s">
        <v>39</v>
      </c>
      <c r="E38" s="110" t="n">
        <v>5467</v>
      </c>
      <c r="F38" s="110" t="n">
        <v>7568</v>
      </c>
      <c r="G38" s="110" t="n">
        <v>2244</v>
      </c>
      <c r="H38" s="110" t="n">
        <v>2270</v>
      </c>
      <c r="I38" s="110" t="n">
        <v>4902</v>
      </c>
      <c r="J38" s="110" t="n">
        <v>22399</v>
      </c>
      <c r="K38" s="110" t="n">
        <v>5818</v>
      </c>
      <c r="L38" s="110" t="n">
        <v>4018</v>
      </c>
      <c r="M38" s="110" t="n">
        <v>2566</v>
      </c>
      <c r="N38" s="110" t="n">
        <v>2559</v>
      </c>
      <c r="O38" s="110" t="n">
        <v>18569</v>
      </c>
      <c r="P38" s="110" t="n">
        <v>12774</v>
      </c>
      <c r="Q38" s="110" t="n">
        <v>91154</v>
      </c>
    </row>
    <row r="39" customFormat="false" ht="15.75" hidden="false" customHeight="true" outlineLevel="0" collapsed="false"/>
    <row r="40" customFormat="false" ht="15.75" hidden="false" customHeight="true" outlineLevel="0" collapsed="false">
      <c r="B40" s="100" t="s">
        <v>40</v>
      </c>
      <c r="E40" s="109" t="n">
        <v>8743</v>
      </c>
      <c r="F40" s="109" t="n">
        <v>8104</v>
      </c>
      <c r="G40" s="109" t="n">
        <v>-3068</v>
      </c>
      <c r="H40" s="109" t="n">
        <v>31897</v>
      </c>
      <c r="I40" s="109" t="n">
        <v>15887</v>
      </c>
      <c r="J40" s="109" t="n">
        <v>49455</v>
      </c>
      <c r="K40" s="109" t="n">
        <v>-5367</v>
      </c>
      <c r="L40" s="109" t="n">
        <v>15295</v>
      </c>
      <c r="M40" s="109" t="n">
        <v>-2598</v>
      </c>
      <c r="N40" s="109" t="n">
        <v>23066</v>
      </c>
      <c r="O40" s="109" t="n">
        <v>25931</v>
      </c>
      <c r="P40" s="109" t="n">
        <v>-12300</v>
      </c>
      <c r="Q40" s="109" t="n">
        <v>155045</v>
      </c>
    </row>
    <row r="41" customFormat="false" ht="15.75" hidden="false" customHeight="true" outlineLevel="0" collapsed="false">
      <c r="C41" s="100" t="s">
        <v>41</v>
      </c>
      <c r="E41" s="110" t="n">
        <v>16756</v>
      </c>
      <c r="F41" s="110" t="n">
        <v>12144</v>
      </c>
      <c r="G41" s="110" t="n">
        <v>3594</v>
      </c>
      <c r="H41" s="110" t="n">
        <v>38082</v>
      </c>
      <c r="I41" s="110" t="n">
        <v>26567</v>
      </c>
      <c r="J41" s="110" t="n">
        <v>56031</v>
      </c>
      <c r="K41" s="110" t="n">
        <v>1672</v>
      </c>
      <c r="L41" s="110" t="n">
        <v>18598</v>
      </c>
      <c r="M41" s="110" t="n">
        <v>4629</v>
      </c>
      <c r="N41" s="110" t="n">
        <v>29995</v>
      </c>
      <c r="O41" s="110" t="n">
        <v>31494</v>
      </c>
      <c r="P41" s="110" t="n">
        <v>-3573</v>
      </c>
      <c r="Q41" s="110" t="n">
        <v>235989</v>
      </c>
    </row>
    <row r="42" customFormat="false" ht="15.75" hidden="false" customHeight="true" outlineLevel="0" collapsed="false">
      <c r="C42" s="100" t="s">
        <v>39</v>
      </c>
      <c r="E42" s="110" t="n">
        <v>8013</v>
      </c>
      <c r="F42" s="110" t="n">
        <v>4040</v>
      </c>
      <c r="G42" s="110" t="n">
        <v>6662</v>
      </c>
      <c r="H42" s="110" t="n">
        <v>6185</v>
      </c>
      <c r="I42" s="110" t="n">
        <v>10680</v>
      </c>
      <c r="J42" s="110" t="n">
        <v>6576</v>
      </c>
      <c r="K42" s="110" t="n">
        <v>7039</v>
      </c>
      <c r="L42" s="110" t="n">
        <v>3303</v>
      </c>
      <c r="M42" s="110" t="n">
        <v>7227</v>
      </c>
      <c r="N42" s="110" t="n">
        <v>6929</v>
      </c>
      <c r="O42" s="110" t="n">
        <v>5563</v>
      </c>
      <c r="P42" s="110" t="n">
        <v>8727</v>
      </c>
      <c r="Q42" s="110" t="n">
        <v>80944</v>
      </c>
    </row>
    <row r="43" customFormat="false" ht="15.75" hidden="false" customHeight="true" outlineLevel="0" collapsed="false"/>
    <row r="44" s="107" customFormat="true" ht="15.75" hidden="false" customHeight="true" outlineLevel="0" collapsed="false">
      <c r="A44" s="107" t="s">
        <v>45</v>
      </c>
      <c r="E44" s="108" t="n">
        <v>27364</v>
      </c>
      <c r="F44" s="108" t="n">
        <v>-19073</v>
      </c>
      <c r="G44" s="108" t="n">
        <v>19374</v>
      </c>
      <c r="H44" s="108" t="n">
        <v>15433</v>
      </c>
      <c r="I44" s="108" t="n">
        <v>-15132</v>
      </c>
      <c r="J44" s="108" t="n">
        <v>28299</v>
      </c>
      <c r="K44" s="108" t="n">
        <v>-37618</v>
      </c>
      <c r="L44" s="108" t="n">
        <v>-26835</v>
      </c>
      <c r="M44" s="108" t="n">
        <v>5286</v>
      </c>
      <c r="N44" s="108" t="n">
        <v>105</v>
      </c>
      <c r="O44" s="108" t="n">
        <v>23971</v>
      </c>
      <c r="P44" s="108" t="n">
        <v>-22880</v>
      </c>
      <c r="Q44" s="108" t="n">
        <v>-1706</v>
      </c>
      <c r="R44" s="112"/>
    </row>
    <row r="45" customFormat="false" ht="15" hidden="false" customHeight="false" outlineLevel="0" collapsed="false">
      <c r="A45" s="151"/>
      <c r="B45" s="113"/>
      <c r="C45" s="113"/>
      <c r="D45" s="113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</row>
    <row r="46" customFormat="false" ht="15" hidden="false" customHeight="false" outlineLevel="0" collapsed="false">
      <c r="A46" s="31"/>
    </row>
    <row r="47" customFormat="false" ht="14.25" hidden="false" customHeight="false" outlineLevel="0" collapsed="false">
      <c r="A47" s="31"/>
    </row>
    <row r="49" s="100" customFormat="true" ht="14.25" hidden="false" customHeight="false" outlineLevel="0" collapsed="false"/>
    <row r="50" customFormat="false" ht="14.25" hidden="false" customHeight="false" outlineLevel="0" collapsed="false">
      <c r="A50" s="31" t="s">
        <v>139</v>
      </c>
      <c r="C50" s="110"/>
      <c r="D50" s="110"/>
      <c r="F50" s="100"/>
      <c r="G50" s="149"/>
      <c r="H50" s="149"/>
    </row>
    <row r="51" customFormat="false" ht="14.25" hidden="false" customHeight="false" outlineLevel="0" collapsed="false">
      <c r="A51" s="31" t="s">
        <v>140</v>
      </c>
      <c r="F51" s="100"/>
      <c r="G51" s="100"/>
      <c r="H51" s="100"/>
    </row>
    <row r="52" customFormat="false" ht="14.25" hidden="false" customHeight="false" outlineLevel="0" collapsed="false">
      <c r="A52" s="31"/>
      <c r="B52" s="31"/>
      <c r="C52" s="31"/>
      <c r="D52" s="31"/>
      <c r="E52" s="150"/>
    </row>
    <row r="53" customFormat="false" ht="14.25" hidden="false" customHeight="false" outlineLevel="0" collapsed="false">
      <c r="A53" s="31"/>
      <c r="B53" s="31"/>
      <c r="C53" s="31"/>
      <c r="D53" s="31"/>
      <c r="E53" s="150"/>
    </row>
    <row r="54" customFormat="false" ht="14.25" hidden="false" customHeight="false" outlineLevel="0" collapsed="false">
      <c r="A54" s="31"/>
      <c r="B54" s="31"/>
      <c r="C54" s="31"/>
      <c r="D54" s="31"/>
      <c r="E54" s="150"/>
    </row>
    <row r="55" customFormat="false" ht="14.25" hidden="false" customHeight="false" outlineLevel="0" collapsed="false">
      <c r="A55" s="31"/>
      <c r="B55" s="31"/>
      <c r="C55" s="31"/>
      <c r="D55" s="31"/>
      <c r="E55" s="150"/>
    </row>
  </sheetData>
  <mergeCells count="1">
    <mergeCell ref="A5:D5"/>
  </mergeCells>
  <printOptions headings="false" gridLines="false" gridLinesSet="true" horizontalCentered="true" verticalCentered="false"/>
  <pageMargins left="0" right="0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C28" activeCellId="0" sqref="C28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85"/>
    <col collapsed="false" customWidth="true" hidden="false" outlineLevel="0" max="3" min="3" style="100" width="23.71"/>
    <col collapsed="false" customWidth="true" hidden="false" outlineLevel="0" max="4" min="4" style="110" width="8"/>
    <col collapsed="false" customWidth="true" hidden="false" outlineLevel="0" max="6" min="5" style="110" width="8.71"/>
    <col collapsed="false" customWidth="true" hidden="false" outlineLevel="0" max="7" min="7" style="110" width="8"/>
    <col collapsed="false" customWidth="true" hidden="false" outlineLevel="0" max="9" min="8" style="110" width="8.71"/>
    <col collapsed="false" customWidth="true" hidden="false" outlineLevel="0" max="10" min="10" style="110" width="8"/>
    <col collapsed="false" customWidth="true" hidden="false" outlineLevel="0" max="15" min="11" style="110" width="8.71"/>
    <col collapsed="false" customWidth="true" hidden="false" outlineLevel="0" max="16" min="16" style="110" width="9.85"/>
    <col collapsed="false" customWidth="false" hidden="false" outlineLevel="0" max="1024" min="17" style="100" width="9.14"/>
  </cols>
  <sheetData>
    <row r="1" customFormat="false" ht="15" hidden="false" customHeight="false" outlineLevel="0" collapsed="false">
      <c r="A1" s="107" t="s">
        <v>132</v>
      </c>
    </row>
    <row r="2" customFormat="false" ht="15" hidden="false" customHeight="false" outlineLevel="0" collapsed="false">
      <c r="A2" s="107" t="s">
        <v>144</v>
      </c>
    </row>
    <row r="3" customFormat="false" ht="15" hidden="false" customHeight="false" outlineLevel="0" collapsed="false">
      <c r="A3" s="100" t="s">
        <v>2</v>
      </c>
      <c r="E3" s="110" t="s">
        <v>59</v>
      </c>
      <c r="F3" s="108"/>
    </row>
    <row r="4" customFormat="false" ht="15" hidden="false" customHeight="false" outlineLevel="0" collapsed="false"/>
    <row r="5" customFormat="false" ht="20.25" hidden="false" customHeight="true" outlineLevel="0" collapsed="false">
      <c r="A5" s="126" t="s">
        <v>4</v>
      </c>
      <c r="B5" s="126"/>
      <c r="C5" s="126"/>
      <c r="D5" s="147" t="s">
        <v>5</v>
      </c>
      <c r="E5" s="147" t="s">
        <v>6</v>
      </c>
      <c r="F5" s="147" t="s">
        <v>7</v>
      </c>
      <c r="G5" s="147" t="s">
        <v>8</v>
      </c>
      <c r="H5" s="147" t="s">
        <v>9</v>
      </c>
      <c r="I5" s="147" t="s">
        <v>10</v>
      </c>
      <c r="J5" s="147" t="s">
        <v>102</v>
      </c>
      <c r="K5" s="147" t="s">
        <v>54</v>
      </c>
      <c r="L5" s="147" t="s">
        <v>55</v>
      </c>
      <c r="M5" s="147" t="s">
        <v>56</v>
      </c>
      <c r="N5" s="147" t="s">
        <v>57</v>
      </c>
      <c r="O5" s="147" t="s">
        <v>58</v>
      </c>
      <c r="P5" s="148" t="s">
        <v>134</v>
      </c>
    </row>
    <row r="6" customFormat="false" ht="15" hidden="false" customHeight="true" outlineLevel="0" collapsed="false"/>
    <row r="7" customFormat="false" ht="15" hidden="false" customHeight="true" outlineLevel="0" collapsed="false">
      <c r="A7" s="107" t="s">
        <v>12</v>
      </c>
      <c r="D7" s="108" t="n">
        <f aca="false">SUM(D8+D14+D19)</f>
        <v>49856</v>
      </c>
      <c r="E7" s="108" t="n">
        <f aca="false">SUM(E8+E14+E19)</f>
        <v>30291</v>
      </c>
      <c r="F7" s="108" t="n">
        <f aca="false">SUM(F8+F14+F19)</f>
        <v>41067</v>
      </c>
      <c r="G7" s="108" t="n">
        <f aca="false">SUM(G8+G14+G19)</f>
        <v>66165</v>
      </c>
      <c r="H7" s="108" t="n">
        <f aca="false">SUM(H8+H14+H19)</f>
        <v>42367</v>
      </c>
      <c r="I7" s="108" t="n">
        <f aca="false">SUM(I8+I14+I19)</f>
        <v>36953</v>
      </c>
      <c r="J7" s="108" t="n">
        <f aca="false">SUM(J8+J14+J19)</f>
        <v>53983</v>
      </c>
      <c r="K7" s="108" t="n">
        <f aca="false">SUM(K8+K14+K19)</f>
        <v>44882</v>
      </c>
      <c r="L7" s="108" t="n">
        <f aca="false">SUM(L8+L14+L19)</f>
        <v>40418</v>
      </c>
      <c r="M7" s="108" t="n">
        <f aca="false">SUM(M8+M14+M19)</f>
        <v>52936</v>
      </c>
      <c r="N7" s="108" t="n">
        <f aca="false">SUM(N8+N14+N19)</f>
        <v>49985</v>
      </c>
      <c r="O7" s="108" t="n">
        <f aca="false">SUM(O8+O14+O19)</f>
        <v>54829</v>
      </c>
      <c r="P7" s="108" t="n">
        <f aca="false">SUM(P8+P14+P19)</f>
        <v>563732</v>
      </c>
    </row>
    <row r="8" customFormat="false" ht="15" hidden="false" customHeight="true" outlineLevel="0" collapsed="false">
      <c r="B8" s="100" t="s">
        <v>13</v>
      </c>
      <c r="D8" s="109" t="n">
        <f aca="false">SUM(D9+D10+D12)</f>
        <v>46062</v>
      </c>
      <c r="E8" s="109" t="n">
        <f aca="false">SUM(E9+E10+E12)</f>
        <v>26772</v>
      </c>
      <c r="F8" s="109" t="n">
        <f aca="false">SUM(F9+F10+F12)</f>
        <v>34110</v>
      </c>
      <c r="G8" s="109" t="n">
        <f aca="false">SUM(G9+G10+G12)</f>
        <v>62076</v>
      </c>
      <c r="H8" s="109" t="n">
        <f aca="false">SUM(H9+H10+H12)</f>
        <v>38102</v>
      </c>
      <c r="I8" s="109" t="n">
        <f aca="false">SUM(I9+I10+I12)</f>
        <v>32304</v>
      </c>
      <c r="J8" s="109" t="n">
        <f aca="false">SUM(J9+J10+J12)</f>
        <v>48107</v>
      </c>
      <c r="K8" s="109" t="n">
        <f aca="false">SUM(K9+K10+K12)</f>
        <v>37823</v>
      </c>
      <c r="L8" s="109" t="n">
        <f aca="false">SUM(L9+L10+L12)</f>
        <v>33636</v>
      </c>
      <c r="M8" s="109" t="n">
        <f aca="false">SUM(M9+M10+M12)</f>
        <v>46746</v>
      </c>
      <c r="N8" s="109" t="n">
        <f aca="false">SUM(N9+N10+N12)</f>
        <v>42500</v>
      </c>
      <c r="O8" s="109" t="n">
        <f aca="false">SUM(O9+O10+O12)</f>
        <v>41621</v>
      </c>
      <c r="P8" s="109" t="n">
        <f aca="false">SUM(P9+P10+P12)</f>
        <v>489859</v>
      </c>
    </row>
    <row r="9" customFormat="false" ht="15" hidden="false" customHeight="true" outlineLevel="0" collapsed="false">
      <c r="C9" s="100" t="s">
        <v>14</v>
      </c>
      <c r="D9" s="110" t="n">
        <v>39294</v>
      </c>
      <c r="E9" s="110" t="n">
        <v>20360</v>
      </c>
      <c r="F9" s="110" t="n">
        <v>25458</v>
      </c>
      <c r="G9" s="110" t="n">
        <v>53592</v>
      </c>
      <c r="H9" s="110" t="n">
        <v>28439</v>
      </c>
      <c r="I9" s="110" t="n">
        <v>23934</v>
      </c>
      <c r="J9" s="110" t="n">
        <v>38599</v>
      </c>
      <c r="K9" s="110" t="n">
        <v>28558</v>
      </c>
      <c r="L9" s="110" t="n">
        <v>24662</v>
      </c>
      <c r="M9" s="110" t="n">
        <v>37307</v>
      </c>
      <c r="N9" s="110" t="n">
        <v>34719</v>
      </c>
      <c r="O9" s="110" t="n">
        <v>33757</v>
      </c>
      <c r="P9" s="110" t="n">
        <f aca="false">SUM(D9:O9)</f>
        <v>388679</v>
      </c>
    </row>
    <row r="10" customFormat="false" ht="15" hidden="false" customHeight="true" outlineLevel="0" collapsed="false">
      <c r="C10" s="100" t="s">
        <v>18</v>
      </c>
      <c r="D10" s="110" t="n">
        <v>6414</v>
      </c>
      <c r="E10" s="110" t="n">
        <v>6079</v>
      </c>
      <c r="F10" s="110" t="n">
        <v>8107</v>
      </c>
      <c r="G10" s="110" t="n">
        <v>8125</v>
      </c>
      <c r="H10" s="110" t="n">
        <v>9255</v>
      </c>
      <c r="I10" s="110" t="n">
        <v>7919</v>
      </c>
      <c r="J10" s="110" t="n">
        <v>9098</v>
      </c>
      <c r="K10" s="110" t="n">
        <v>8786</v>
      </c>
      <c r="L10" s="110" t="n">
        <v>8489</v>
      </c>
      <c r="M10" s="110" t="n">
        <v>8708</v>
      </c>
      <c r="N10" s="110" t="n">
        <v>7543</v>
      </c>
      <c r="O10" s="110" t="n">
        <v>7709</v>
      </c>
      <c r="P10" s="110" t="n">
        <f aca="false">SUM(D10:O10)</f>
        <v>96232</v>
      </c>
    </row>
    <row r="11" customFormat="false" ht="15" hidden="false" customHeight="true" outlineLevel="0" collapsed="false">
      <c r="C11" s="100" t="s">
        <v>145</v>
      </c>
      <c r="D11" s="110" t="n">
        <v>0</v>
      </c>
      <c r="E11" s="110" t="n">
        <v>0</v>
      </c>
      <c r="F11" s="110" t="n">
        <v>116</v>
      </c>
      <c r="G11" s="110" t="n">
        <v>0</v>
      </c>
      <c r="H11" s="110" t="n">
        <v>167</v>
      </c>
      <c r="I11" s="110" t="n">
        <v>1870</v>
      </c>
      <c r="J11" s="110" t="n">
        <v>10</v>
      </c>
      <c r="K11" s="110" t="n">
        <v>290</v>
      </c>
      <c r="L11" s="110" t="n">
        <v>1</v>
      </c>
      <c r="M11" s="110" t="n">
        <v>185</v>
      </c>
      <c r="N11" s="110" t="n">
        <v>103</v>
      </c>
      <c r="O11" s="110" t="n">
        <v>1007</v>
      </c>
      <c r="P11" s="110" t="n">
        <f aca="false">SUM(D11:O11)</f>
        <v>3749</v>
      </c>
    </row>
    <row r="12" customFormat="false" ht="15" hidden="false" customHeight="true" outlineLevel="0" collapsed="false">
      <c r="C12" s="100" t="s">
        <v>87</v>
      </c>
      <c r="D12" s="110" t="n">
        <v>354</v>
      </c>
      <c r="E12" s="110" t="n">
        <v>333</v>
      </c>
      <c r="F12" s="110" t="n">
        <v>545</v>
      </c>
      <c r="G12" s="110" t="n">
        <v>359</v>
      </c>
      <c r="H12" s="110" t="n">
        <v>408</v>
      </c>
      <c r="I12" s="110" t="n">
        <v>451</v>
      </c>
      <c r="J12" s="110" t="n">
        <v>410</v>
      </c>
      <c r="K12" s="110" t="n">
        <v>479</v>
      </c>
      <c r="L12" s="110" t="n">
        <v>485</v>
      </c>
      <c r="M12" s="110" t="n">
        <v>731</v>
      </c>
      <c r="N12" s="110" t="n">
        <v>238</v>
      </c>
      <c r="O12" s="110" t="n">
        <v>155</v>
      </c>
      <c r="P12" s="110" t="n">
        <f aca="false">SUM(D12:O12)</f>
        <v>4948</v>
      </c>
    </row>
    <row r="13" customFormat="false" ht="15" hidden="false" customHeight="true" outlineLevel="0" collapsed="false"/>
    <row r="14" customFormat="false" ht="15" hidden="false" customHeight="true" outlineLevel="0" collapsed="false">
      <c r="B14" s="100" t="s">
        <v>20</v>
      </c>
      <c r="D14" s="109" t="n">
        <f aca="false">SUM(D15:D17)</f>
        <v>3194</v>
      </c>
      <c r="E14" s="109" t="n">
        <f aca="false">SUM(E15:E17)</f>
        <v>3434</v>
      </c>
      <c r="F14" s="109" t="n">
        <f aca="false">SUM(F15:F17)</f>
        <v>6944</v>
      </c>
      <c r="G14" s="109" t="n">
        <f aca="false">SUM(G15:G17)</f>
        <v>4038</v>
      </c>
      <c r="H14" s="109" t="n">
        <f aca="false">SUM(H15:H17)</f>
        <v>4206</v>
      </c>
      <c r="I14" s="109" t="n">
        <f aca="false">SUM(I15:I17)</f>
        <v>4328</v>
      </c>
      <c r="J14" s="109" t="n">
        <f aca="false">SUM(J15:J17)</f>
        <v>5845</v>
      </c>
      <c r="K14" s="109" t="n">
        <f aca="false">SUM(K15:K17)</f>
        <v>7033</v>
      </c>
      <c r="L14" s="109" t="n">
        <f aca="false">SUM(L15:L17)</f>
        <v>6242</v>
      </c>
      <c r="M14" s="109" t="n">
        <f aca="false">SUM(M15:M17)</f>
        <v>5949</v>
      </c>
      <c r="N14" s="109" t="n">
        <f aca="false">SUM(N15:N17)</f>
        <v>7485</v>
      </c>
      <c r="O14" s="109" t="n">
        <f aca="false">SUM(O15:O17)</f>
        <v>13184</v>
      </c>
      <c r="P14" s="109" t="n">
        <f aca="false">SUM(P15:P17)</f>
        <v>71882</v>
      </c>
    </row>
    <row r="15" customFormat="false" ht="15" hidden="false" customHeight="true" outlineLevel="0" collapsed="false">
      <c r="C15" s="100" t="s">
        <v>21</v>
      </c>
      <c r="D15" s="110" t="n">
        <v>1611</v>
      </c>
      <c r="E15" s="110" t="n">
        <v>1146</v>
      </c>
      <c r="F15" s="110" t="n">
        <v>3850</v>
      </c>
      <c r="G15" s="110" t="n">
        <v>2371</v>
      </c>
      <c r="H15" s="110" t="n">
        <v>2369</v>
      </c>
      <c r="I15" s="110" t="n">
        <v>3330</v>
      </c>
      <c r="J15" s="110" t="n">
        <v>5483</v>
      </c>
      <c r="K15" s="110" t="n">
        <v>4626</v>
      </c>
      <c r="L15" s="110" t="n">
        <v>4944</v>
      </c>
      <c r="M15" s="110" t="n">
        <v>3249</v>
      </c>
      <c r="N15" s="110" t="n">
        <v>2807</v>
      </c>
      <c r="O15" s="110" t="n">
        <v>10627</v>
      </c>
      <c r="P15" s="110" t="n">
        <v>46413</v>
      </c>
    </row>
    <row r="16" customFormat="false" ht="15" hidden="false" customHeight="true" outlineLevel="0" collapsed="false">
      <c r="C16" s="100" t="s">
        <v>112</v>
      </c>
      <c r="D16" s="110" t="n">
        <v>1583</v>
      </c>
      <c r="E16" s="110" t="n">
        <v>2288</v>
      </c>
      <c r="F16" s="110" t="n">
        <v>2872</v>
      </c>
      <c r="G16" s="110" t="n">
        <v>1667</v>
      </c>
      <c r="H16" s="110" t="n">
        <v>1577</v>
      </c>
      <c r="I16" s="110" t="n">
        <v>998</v>
      </c>
      <c r="J16" s="110" t="n">
        <v>335</v>
      </c>
      <c r="K16" s="110" t="n">
        <v>2134</v>
      </c>
      <c r="L16" s="110" t="n">
        <v>1237</v>
      </c>
      <c r="M16" s="110" t="n">
        <v>2670</v>
      </c>
      <c r="N16" s="110" t="n">
        <v>4678</v>
      </c>
      <c r="O16" s="110" t="n">
        <v>2257</v>
      </c>
      <c r="P16" s="110" t="n">
        <v>24296</v>
      </c>
    </row>
    <row r="17" customFormat="false" ht="15" hidden="false" customHeight="true" outlineLevel="0" collapsed="false">
      <c r="C17" s="100" t="s">
        <v>23</v>
      </c>
      <c r="D17" s="110" t="n">
        <v>0</v>
      </c>
      <c r="E17" s="110" t="n">
        <v>0</v>
      </c>
      <c r="F17" s="110" t="n">
        <v>222</v>
      </c>
      <c r="G17" s="110" t="n">
        <v>0</v>
      </c>
      <c r="H17" s="110" t="n">
        <v>260</v>
      </c>
      <c r="I17" s="110" t="n">
        <v>0</v>
      </c>
      <c r="J17" s="110" t="n">
        <v>27</v>
      </c>
      <c r="K17" s="110" t="n">
        <v>273</v>
      </c>
      <c r="L17" s="110" t="n">
        <v>61</v>
      </c>
      <c r="M17" s="110" t="n">
        <v>30</v>
      </c>
      <c r="N17" s="110" t="n">
        <v>0</v>
      </c>
      <c r="O17" s="110" t="n">
        <v>300</v>
      </c>
      <c r="P17" s="110" t="n">
        <v>1173</v>
      </c>
    </row>
    <row r="18" customFormat="false" ht="15" hidden="false" customHeight="true" outlineLevel="0" collapsed="false"/>
    <row r="19" customFormat="false" ht="15" hidden="false" customHeight="true" outlineLevel="0" collapsed="false">
      <c r="B19" s="100" t="s">
        <v>26</v>
      </c>
      <c r="D19" s="110" t="n">
        <v>600</v>
      </c>
      <c r="E19" s="110" t="n">
        <v>85</v>
      </c>
      <c r="F19" s="110" t="n">
        <v>13</v>
      </c>
      <c r="G19" s="110" t="n">
        <v>51</v>
      </c>
      <c r="H19" s="110" t="n">
        <v>59</v>
      </c>
      <c r="I19" s="110" t="n">
        <v>321</v>
      </c>
      <c r="J19" s="110" t="n">
        <v>31</v>
      </c>
      <c r="K19" s="110" t="n">
        <v>26</v>
      </c>
      <c r="L19" s="110" t="n">
        <v>540</v>
      </c>
      <c r="M19" s="110" t="n">
        <v>241</v>
      </c>
      <c r="N19" s="110" t="n">
        <v>0</v>
      </c>
      <c r="O19" s="110" t="n">
        <v>24</v>
      </c>
      <c r="P19" s="110" t="n">
        <v>1991</v>
      </c>
    </row>
    <row r="20" customFormat="false" ht="15" hidden="false" customHeight="true" outlineLevel="0" collapsed="false"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</row>
    <row r="21" customFormat="false" ht="15" hidden="false" customHeight="true" outlineLevel="0" collapsed="false">
      <c r="A21" s="107" t="s">
        <v>27</v>
      </c>
      <c r="D21" s="108" t="n">
        <f aca="false">SUM(D22:D28)</f>
        <v>56242</v>
      </c>
      <c r="E21" s="108" t="n">
        <f aca="false">SUM(E22:E28)</f>
        <v>42888</v>
      </c>
      <c r="F21" s="108" t="n">
        <f aca="false">SUM(F22:F28)</f>
        <v>60009</v>
      </c>
      <c r="G21" s="108" t="n">
        <f aca="false">SUM(G22:G28)</f>
        <v>56319</v>
      </c>
      <c r="H21" s="108" t="n">
        <f aca="false">SUM(H22:H28)</f>
        <v>72614</v>
      </c>
      <c r="I21" s="108" t="n">
        <f aca="false">SUM(I22:I28)</f>
        <v>56449</v>
      </c>
      <c r="J21" s="108" t="n">
        <f aca="false">SUM(J22:J28)</f>
        <v>58747</v>
      </c>
      <c r="K21" s="108" t="n">
        <f aca="false">SUM(K22:K28)</f>
        <v>61823</v>
      </c>
      <c r="L21" s="108" t="n">
        <f aca="false">SUM(L22:L28)</f>
        <v>63043</v>
      </c>
      <c r="M21" s="108" t="n">
        <f aca="false">SUM(M22:M28)</f>
        <v>64103</v>
      </c>
      <c r="N21" s="108" t="n">
        <f aca="false">SUM(N22:N28)</f>
        <v>61294</v>
      </c>
      <c r="O21" s="108" t="n">
        <f aca="false">SUM(O22:O28)</f>
        <v>57224</v>
      </c>
      <c r="P21" s="108" t="n">
        <f aca="false">SUM(P22:P28)</f>
        <v>710755</v>
      </c>
    </row>
    <row r="22" customFormat="false" ht="15" hidden="false" customHeight="true" outlineLevel="0" collapsed="false">
      <c r="C22" s="100" t="s">
        <v>28</v>
      </c>
      <c r="D22" s="110" t="n">
        <v>8637</v>
      </c>
      <c r="E22" s="110" t="n">
        <v>8776</v>
      </c>
      <c r="F22" s="110" t="n">
        <v>9262</v>
      </c>
      <c r="G22" s="110" t="n">
        <v>16173</v>
      </c>
      <c r="H22" s="110" t="n">
        <v>4580</v>
      </c>
      <c r="I22" s="110" t="n">
        <v>9424</v>
      </c>
      <c r="J22" s="110" t="n">
        <v>9259</v>
      </c>
      <c r="K22" s="110" t="n">
        <v>10776</v>
      </c>
      <c r="L22" s="110" t="n">
        <v>10894</v>
      </c>
      <c r="M22" s="110" t="n">
        <v>10381</v>
      </c>
      <c r="N22" s="110" t="n">
        <v>10581</v>
      </c>
      <c r="O22" s="110" t="n">
        <v>9436</v>
      </c>
      <c r="P22" s="110" t="n">
        <f aca="false">SUM(D22:O22)</f>
        <v>118179</v>
      </c>
    </row>
    <row r="23" customFormat="false" ht="15" hidden="false" customHeight="true" outlineLevel="0" collapsed="false">
      <c r="C23" s="100" t="s">
        <v>29</v>
      </c>
      <c r="D23" s="110" t="n">
        <v>15075</v>
      </c>
      <c r="E23" s="110" t="n">
        <v>9572</v>
      </c>
      <c r="F23" s="110" t="n">
        <v>18513</v>
      </c>
      <c r="G23" s="110" t="n">
        <v>16290</v>
      </c>
      <c r="H23" s="110" t="n">
        <v>9780</v>
      </c>
      <c r="I23" s="110" t="n">
        <v>13850</v>
      </c>
      <c r="J23" s="110" t="n">
        <v>15406</v>
      </c>
      <c r="K23" s="110" t="n">
        <v>12945</v>
      </c>
      <c r="L23" s="110" t="n">
        <v>20208</v>
      </c>
      <c r="M23" s="110" t="n">
        <v>17854</v>
      </c>
      <c r="N23" s="110" t="n">
        <v>13181</v>
      </c>
      <c r="O23" s="110" t="n">
        <v>12160</v>
      </c>
      <c r="P23" s="110" t="n">
        <f aca="false">SUM(D23:O23)</f>
        <v>174834</v>
      </c>
    </row>
    <row r="24" customFormat="false" ht="15" hidden="false" customHeight="true" outlineLevel="0" collapsed="false">
      <c r="C24" s="100" t="s">
        <v>30</v>
      </c>
      <c r="D24" s="110" t="n">
        <v>0</v>
      </c>
      <c r="E24" s="110" t="n">
        <v>0</v>
      </c>
      <c r="F24" s="110" t="n">
        <v>116</v>
      </c>
      <c r="G24" s="110" t="n">
        <v>0</v>
      </c>
      <c r="H24" s="110" t="n">
        <v>167</v>
      </c>
      <c r="I24" s="110" t="n">
        <v>1870</v>
      </c>
      <c r="J24" s="110" t="n">
        <v>10</v>
      </c>
      <c r="K24" s="110" t="n">
        <v>290</v>
      </c>
      <c r="L24" s="110" t="n">
        <v>1</v>
      </c>
      <c r="M24" s="110" t="n">
        <v>185</v>
      </c>
      <c r="N24" s="110" t="n">
        <v>103</v>
      </c>
      <c r="O24" s="110" t="n">
        <v>1007</v>
      </c>
      <c r="P24" s="110" t="n">
        <f aca="false">SUM(D24:O24)</f>
        <v>3749</v>
      </c>
    </row>
    <row r="25" customFormat="false" ht="15" hidden="false" customHeight="true" outlineLevel="0" collapsed="false">
      <c r="C25" s="100" t="s">
        <v>77</v>
      </c>
      <c r="D25" s="110" t="n">
        <v>144</v>
      </c>
      <c r="E25" s="110" t="n">
        <v>362</v>
      </c>
      <c r="F25" s="110" t="n">
        <v>844</v>
      </c>
      <c r="G25" s="110" t="n">
        <v>512</v>
      </c>
      <c r="H25" s="110" t="n">
        <v>2119</v>
      </c>
      <c r="I25" s="110" t="n">
        <v>2001</v>
      </c>
      <c r="J25" s="110" t="n">
        <v>285</v>
      </c>
      <c r="K25" s="110" t="n">
        <v>664</v>
      </c>
      <c r="L25" s="110" t="n">
        <v>607</v>
      </c>
      <c r="M25" s="110" t="n">
        <v>873</v>
      </c>
      <c r="N25" s="110" t="n">
        <v>361</v>
      </c>
      <c r="O25" s="110" t="n">
        <v>593</v>
      </c>
      <c r="P25" s="110" t="n">
        <f aca="false">SUM(D25:O25)</f>
        <v>9365</v>
      </c>
    </row>
    <row r="26" customFormat="false" ht="15" hidden="false" customHeight="true" outlineLevel="0" collapsed="false">
      <c r="C26" s="100" t="s">
        <v>32</v>
      </c>
      <c r="D26" s="110" t="n">
        <v>0</v>
      </c>
      <c r="E26" s="110" t="n">
        <v>0</v>
      </c>
      <c r="F26" s="110" t="n">
        <v>34</v>
      </c>
      <c r="G26" s="110" t="n">
        <v>0</v>
      </c>
      <c r="H26" s="110" t="n">
        <v>0</v>
      </c>
      <c r="I26" s="110" t="n">
        <v>300</v>
      </c>
      <c r="J26" s="110" t="n">
        <v>15</v>
      </c>
      <c r="K26" s="110" t="n">
        <v>135</v>
      </c>
      <c r="L26" s="110" t="n">
        <v>0</v>
      </c>
      <c r="M26" s="110" t="n">
        <v>0</v>
      </c>
      <c r="N26" s="110" t="n">
        <v>0</v>
      </c>
      <c r="O26" s="110" t="n">
        <v>0</v>
      </c>
      <c r="P26" s="110" t="n">
        <f aca="false">SUM(D26:O26)</f>
        <v>484</v>
      </c>
    </row>
    <row r="27" customFormat="false" ht="15" hidden="false" customHeight="true" outlineLevel="0" collapsed="false">
      <c r="C27" s="100" t="s">
        <v>78</v>
      </c>
      <c r="D27" s="110" t="n">
        <v>555</v>
      </c>
      <c r="E27" s="110" t="n">
        <v>214</v>
      </c>
      <c r="F27" s="110" t="n">
        <v>2067</v>
      </c>
      <c r="G27" s="110" t="n">
        <v>189</v>
      </c>
      <c r="H27" s="110" t="n">
        <v>394</v>
      </c>
      <c r="I27" s="110" t="n">
        <v>115</v>
      </c>
      <c r="J27" s="110" t="n">
        <v>373</v>
      </c>
      <c r="K27" s="110" t="n">
        <v>1423</v>
      </c>
      <c r="L27" s="110" t="n">
        <v>-1309</v>
      </c>
      <c r="M27" s="110" t="n">
        <v>358</v>
      </c>
      <c r="N27" s="110" t="n">
        <v>-299</v>
      </c>
      <c r="O27" s="110" t="n">
        <v>-136</v>
      </c>
      <c r="P27" s="110" t="n">
        <f aca="false">SUM(D27:O27)</f>
        <v>3944</v>
      </c>
    </row>
    <row r="28" customFormat="false" ht="15" hidden="false" customHeight="true" outlineLevel="0" collapsed="false">
      <c r="C28" s="1" t="s">
        <v>79</v>
      </c>
      <c r="D28" s="110" t="n">
        <v>31831</v>
      </c>
      <c r="E28" s="110" t="n">
        <v>23964</v>
      </c>
      <c r="F28" s="110" t="n">
        <v>29173</v>
      </c>
      <c r="G28" s="110" t="n">
        <v>23155</v>
      </c>
      <c r="H28" s="110" t="n">
        <v>55574</v>
      </c>
      <c r="I28" s="110" t="n">
        <v>28889</v>
      </c>
      <c r="J28" s="110" t="n">
        <v>33399</v>
      </c>
      <c r="K28" s="110" t="n">
        <v>35590</v>
      </c>
      <c r="L28" s="110" t="n">
        <v>32642</v>
      </c>
      <c r="M28" s="110" t="n">
        <v>34452</v>
      </c>
      <c r="N28" s="110" t="n">
        <v>37367</v>
      </c>
      <c r="O28" s="110" t="n">
        <v>34164</v>
      </c>
      <c r="P28" s="110" t="n">
        <f aca="false">SUM(D28:O28)</f>
        <v>400200</v>
      </c>
    </row>
    <row r="29" customFormat="false" ht="15" hidden="false" customHeight="true" outlineLevel="0" collapsed="false">
      <c r="P29" s="110" t="s">
        <v>59</v>
      </c>
    </row>
    <row r="30" customFormat="false" ht="15" hidden="false" customHeight="true" outlineLevel="0" collapsed="false">
      <c r="A30" s="107" t="s">
        <v>137</v>
      </c>
      <c r="B30" s="107"/>
      <c r="C30" s="107"/>
      <c r="D30" s="112" t="n">
        <v>-6386</v>
      </c>
      <c r="E30" s="112" t="n">
        <v>-12597</v>
      </c>
      <c r="F30" s="112" t="n">
        <v>-18942</v>
      </c>
      <c r="G30" s="112" t="n">
        <v>9846</v>
      </c>
      <c r="H30" s="112" t="n">
        <v>-30247</v>
      </c>
      <c r="I30" s="112" t="n">
        <v>-19496</v>
      </c>
      <c r="J30" s="112" t="n">
        <v>-4764</v>
      </c>
      <c r="K30" s="112" t="n">
        <v>-16941</v>
      </c>
      <c r="L30" s="112" t="n">
        <v>-22625</v>
      </c>
      <c r="M30" s="112" t="n">
        <v>-11167</v>
      </c>
      <c r="N30" s="112" t="n">
        <v>-11309</v>
      </c>
      <c r="O30" s="112" t="n">
        <v>-2395</v>
      </c>
      <c r="P30" s="112" t="n">
        <v>-147023</v>
      </c>
    </row>
    <row r="31" customFormat="false" ht="15" hidden="false" customHeight="true" outlineLevel="0" collapsed="false"/>
    <row r="32" customFormat="false" ht="15" hidden="false" customHeight="true" outlineLevel="0" collapsed="false">
      <c r="A32" s="107" t="s">
        <v>36</v>
      </c>
      <c r="B32" s="107"/>
      <c r="C32" s="107"/>
      <c r="D32" s="108" t="n">
        <v>39306</v>
      </c>
      <c r="E32" s="108" t="n">
        <v>7650</v>
      </c>
      <c r="F32" s="108" t="n">
        <v>9545</v>
      </c>
      <c r="G32" s="108" t="n">
        <v>5961</v>
      </c>
      <c r="H32" s="108" t="n">
        <v>24201</v>
      </c>
      <c r="I32" s="108" t="n">
        <v>1349</v>
      </c>
      <c r="J32" s="108" t="n">
        <v>826</v>
      </c>
      <c r="K32" s="108" t="n">
        <v>16605</v>
      </c>
      <c r="L32" s="108" t="n">
        <v>17474</v>
      </c>
      <c r="M32" s="108" t="n">
        <v>6240</v>
      </c>
      <c r="N32" s="108" t="n">
        <v>26632</v>
      </c>
      <c r="O32" s="108" t="n">
        <v>19446</v>
      </c>
      <c r="P32" s="108" t="n">
        <v>175235</v>
      </c>
    </row>
    <row r="33" customFormat="false" ht="15" hidden="false" customHeight="true" outlineLevel="0" collapsed="false">
      <c r="B33" s="100" t="s">
        <v>37</v>
      </c>
      <c r="D33" s="109" t="n">
        <v>-3205</v>
      </c>
      <c r="E33" s="109" t="n">
        <v>-3484</v>
      </c>
      <c r="F33" s="109" t="n">
        <v>-1729</v>
      </c>
      <c r="G33" s="109" t="n">
        <v>90</v>
      </c>
      <c r="H33" s="109" t="n">
        <v>-1060</v>
      </c>
      <c r="I33" s="109" t="n">
        <v>6323</v>
      </c>
      <c r="J33" s="109" t="n">
        <v>1379</v>
      </c>
      <c r="K33" s="109" t="n">
        <v>-1223</v>
      </c>
      <c r="L33" s="109" t="n">
        <v>-1634</v>
      </c>
      <c r="M33" s="109" t="n">
        <v>-800</v>
      </c>
      <c r="N33" s="109" t="n">
        <v>-4154</v>
      </c>
      <c r="O33" s="109" t="n">
        <v>32412</v>
      </c>
      <c r="P33" s="109" t="n">
        <v>22915</v>
      </c>
    </row>
    <row r="34" customFormat="false" ht="15" hidden="false" customHeight="true" outlineLevel="0" collapsed="false">
      <c r="A34" s="100" t="s">
        <v>59</v>
      </c>
      <c r="C34" s="100" t="s">
        <v>38</v>
      </c>
      <c r="D34" s="110" t="n">
        <v>963</v>
      </c>
      <c r="E34" s="110" t="n">
        <v>422</v>
      </c>
      <c r="F34" s="110" t="n">
        <v>528</v>
      </c>
      <c r="G34" s="110" t="n">
        <v>2337</v>
      </c>
      <c r="H34" s="110" t="n">
        <v>3952</v>
      </c>
      <c r="I34" s="110" t="n">
        <v>10863</v>
      </c>
      <c r="J34" s="110" t="n">
        <v>6651</v>
      </c>
      <c r="K34" s="110" t="n">
        <v>2054</v>
      </c>
      <c r="L34" s="110" t="n">
        <v>678</v>
      </c>
      <c r="M34" s="110" t="n">
        <v>2034</v>
      </c>
      <c r="N34" s="110" t="n">
        <v>1223</v>
      </c>
      <c r="O34" s="110" t="n">
        <v>36777</v>
      </c>
      <c r="P34" s="110" t="n">
        <v>68482</v>
      </c>
    </row>
    <row r="35" customFormat="false" ht="15" hidden="false" customHeight="true" outlineLevel="0" collapsed="false">
      <c r="C35" s="100" t="s">
        <v>39</v>
      </c>
      <c r="D35" s="110" t="n">
        <v>4168</v>
      </c>
      <c r="E35" s="110" t="n">
        <v>3906</v>
      </c>
      <c r="F35" s="110" t="n">
        <v>2257</v>
      </c>
      <c r="G35" s="110" t="n">
        <v>2247</v>
      </c>
      <c r="H35" s="110" t="n">
        <v>5012</v>
      </c>
      <c r="I35" s="110" t="n">
        <v>4540</v>
      </c>
      <c r="J35" s="110" t="n">
        <v>5272</v>
      </c>
      <c r="K35" s="110" t="n">
        <v>3277</v>
      </c>
      <c r="L35" s="110" t="n">
        <v>2312</v>
      </c>
      <c r="M35" s="110" t="n">
        <v>2834</v>
      </c>
      <c r="N35" s="110" t="n">
        <v>5377</v>
      </c>
      <c r="O35" s="110" t="n">
        <v>4365</v>
      </c>
      <c r="P35" s="110" t="n">
        <v>45567</v>
      </c>
    </row>
    <row r="36" customFormat="false" ht="15" hidden="false" customHeight="true" outlineLevel="0" collapsed="false"/>
    <row r="37" customFormat="false" ht="15" hidden="false" customHeight="true" outlineLevel="0" collapsed="false">
      <c r="B37" s="100" t="s">
        <v>40</v>
      </c>
      <c r="D37" s="109" t="n">
        <v>42511</v>
      </c>
      <c r="E37" s="109" t="n">
        <v>11134</v>
      </c>
      <c r="F37" s="109" t="n">
        <v>11274</v>
      </c>
      <c r="G37" s="109" t="n">
        <v>5871</v>
      </c>
      <c r="H37" s="109" t="n">
        <v>25261</v>
      </c>
      <c r="I37" s="109" t="n">
        <v>-4974</v>
      </c>
      <c r="J37" s="109" t="n">
        <v>-553</v>
      </c>
      <c r="K37" s="109" t="n">
        <v>17828</v>
      </c>
      <c r="L37" s="109" t="n">
        <v>19108</v>
      </c>
      <c r="M37" s="109" t="n">
        <v>7040</v>
      </c>
      <c r="N37" s="109" t="n">
        <v>30786</v>
      </c>
      <c r="O37" s="109" t="n">
        <v>-12966</v>
      </c>
      <c r="P37" s="109" t="n">
        <v>152320</v>
      </c>
    </row>
    <row r="38" customFormat="false" ht="15" hidden="false" customHeight="true" outlineLevel="0" collapsed="false">
      <c r="C38" s="100" t="s">
        <v>41</v>
      </c>
      <c r="D38" s="110" t="n">
        <v>46000</v>
      </c>
      <c r="E38" s="110" t="n">
        <v>15089</v>
      </c>
      <c r="F38" s="110" t="n">
        <v>18145</v>
      </c>
      <c r="G38" s="110" t="n">
        <v>8585</v>
      </c>
      <c r="H38" s="110" t="n">
        <v>27233</v>
      </c>
      <c r="I38" s="110" t="n">
        <v>945</v>
      </c>
      <c r="J38" s="110" t="n">
        <v>6380</v>
      </c>
      <c r="K38" s="110" t="n">
        <v>20405</v>
      </c>
      <c r="L38" s="110" t="n">
        <v>22939</v>
      </c>
      <c r="M38" s="110" t="n">
        <v>10056</v>
      </c>
      <c r="N38" s="110" t="n">
        <v>34888</v>
      </c>
      <c r="O38" s="110" t="n">
        <v>-4307</v>
      </c>
      <c r="P38" s="110" t="n">
        <v>206358</v>
      </c>
    </row>
    <row r="39" customFormat="false" ht="15" hidden="false" customHeight="true" outlineLevel="0" collapsed="false">
      <c r="C39" s="100" t="s">
        <v>39</v>
      </c>
      <c r="D39" s="110" t="n">
        <v>3489</v>
      </c>
      <c r="E39" s="110" t="n">
        <v>3955</v>
      </c>
      <c r="F39" s="110" t="n">
        <v>6871</v>
      </c>
      <c r="G39" s="110" t="n">
        <v>2714</v>
      </c>
      <c r="H39" s="110" t="n">
        <v>1972</v>
      </c>
      <c r="I39" s="110" t="n">
        <v>5919</v>
      </c>
      <c r="J39" s="110" t="n">
        <v>6933</v>
      </c>
      <c r="K39" s="110" t="n">
        <v>2577</v>
      </c>
      <c r="L39" s="110" t="n">
        <v>3831</v>
      </c>
      <c r="M39" s="110" t="n">
        <v>3016</v>
      </c>
      <c r="N39" s="110" t="n">
        <v>4102</v>
      </c>
      <c r="O39" s="110" t="n">
        <v>8659</v>
      </c>
      <c r="P39" s="110" t="n">
        <v>54038</v>
      </c>
    </row>
    <row r="40" customFormat="false" ht="15" hidden="false" customHeight="true" outlineLevel="0" collapsed="false"/>
    <row r="41" s="107" customFormat="true" ht="15" hidden="false" customHeight="true" outlineLevel="0" collapsed="false">
      <c r="A41" s="107" t="s">
        <v>45</v>
      </c>
      <c r="D41" s="108" t="n">
        <v>26629</v>
      </c>
      <c r="E41" s="108" t="n">
        <v>-5458</v>
      </c>
      <c r="F41" s="108" t="n">
        <v>-11282</v>
      </c>
      <c r="G41" s="108" t="n">
        <v>6407</v>
      </c>
      <c r="H41" s="108" t="n">
        <v>-9972</v>
      </c>
      <c r="I41" s="108" t="n">
        <v>-18467</v>
      </c>
      <c r="J41" s="108" t="n">
        <v>-7942</v>
      </c>
      <c r="K41" s="108" t="n">
        <v>-3770</v>
      </c>
      <c r="L41" s="108" t="n">
        <v>-11621</v>
      </c>
      <c r="M41" s="108" t="n">
        <v>-6736</v>
      </c>
      <c r="N41" s="108" t="n">
        <v>-1604</v>
      </c>
      <c r="O41" s="108" t="n">
        <v>21587</v>
      </c>
      <c r="P41" s="108" t="n">
        <v>-22229</v>
      </c>
      <c r="Q41" s="112"/>
    </row>
    <row r="42" customFormat="false" ht="15" hidden="false" customHeight="false" outlineLevel="0" collapsed="false">
      <c r="A42" s="113"/>
      <c r="B42" s="113"/>
      <c r="C42" s="113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</row>
    <row r="43" customFormat="false" ht="15" hidden="false" customHeight="false" outlineLevel="0" collapsed="false">
      <c r="A43" s="31" t="s">
        <v>138</v>
      </c>
    </row>
    <row r="44" customFormat="false" ht="14.25" hidden="false" customHeight="false" outlineLevel="0" collapsed="false">
      <c r="A44" s="31"/>
    </row>
    <row r="46" s="100" customFormat="true" ht="14.25" hidden="false" customHeight="false" outlineLevel="0" collapsed="false"/>
    <row r="47" customFormat="false" ht="14.25" hidden="false" customHeight="false" outlineLevel="0" collapsed="false">
      <c r="A47" s="31" t="s">
        <v>139</v>
      </c>
      <c r="C47" s="110"/>
      <c r="E47" s="100"/>
      <c r="F47" s="149"/>
      <c r="G47" s="149"/>
    </row>
    <row r="48" customFormat="false" ht="14.25" hidden="false" customHeight="false" outlineLevel="0" collapsed="false">
      <c r="A48" s="31" t="s">
        <v>140</v>
      </c>
      <c r="E48" s="100"/>
      <c r="F48" s="100"/>
      <c r="G48" s="100"/>
    </row>
    <row r="49" customFormat="false" ht="14.25" hidden="false" customHeight="false" outlineLevel="0" collapsed="false">
      <c r="A49" s="31"/>
      <c r="B49" s="31"/>
      <c r="C49" s="31"/>
      <c r="D49" s="150"/>
    </row>
    <row r="50" customFormat="false" ht="14.25" hidden="false" customHeight="false" outlineLevel="0" collapsed="false">
      <c r="A50" s="31"/>
      <c r="B50" s="31"/>
      <c r="C50" s="31"/>
      <c r="D50" s="150"/>
    </row>
    <row r="51" customFormat="false" ht="14.25" hidden="false" customHeight="false" outlineLevel="0" collapsed="false">
      <c r="A51" s="31"/>
      <c r="B51" s="31"/>
      <c r="C51" s="31"/>
      <c r="D51" s="150"/>
    </row>
    <row r="52" customFormat="false" ht="14.25" hidden="false" customHeight="false" outlineLevel="0" collapsed="false">
      <c r="A52" s="31"/>
      <c r="B52" s="31"/>
      <c r="C52" s="31"/>
      <c r="D52" s="150"/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.236111111111111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C29" activeCellId="0" sqref="C29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85"/>
    <col collapsed="false" customWidth="true" hidden="false" outlineLevel="0" max="3" min="3" style="100" width="24.15"/>
    <col collapsed="false" customWidth="true" hidden="false" outlineLevel="0" max="5" min="4" style="110" width="8"/>
    <col collapsed="false" customWidth="true" hidden="false" outlineLevel="0" max="6" min="6" style="110" width="8.71"/>
    <col collapsed="false" customWidth="true" hidden="false" outlineLevel="0" max="7" min="7" style="110" width="8"/>
    <col collapsed="false" customWidth="true" hidden="false" outlineLevel="0" max="15" min="8" style="110" width="8.71"/>
    <col collapsed="false" customWidth="true" hidden="false" outlineLevel="0" max="16" min="16" style="110" width="9.85"/>
    <col collapsed="false" customWidth="false" hidden="false" outlineLevel="0" max="1024" min="17" style="100" width="9.14"/>
  </cols>
  <sheetData>
    <row r="1" customFormat="false" ht="15" hidden="false" customHeight="false" outlineLevel="0" collapsed="false">
      <c r="A1" s="107" t="s">
        <v>132</v>
      </c>
    </row>
    <row r="2" customFormat="false" ht="15" hidden="false" customHeight="false" outlineLevel="0" collapsed="false">
      <c r="A2" s="107" t="s">
        <v>146</v>
      </c>
    </row>
    <row r="3" customFormat="false" ht="15" hidden="false" customHeight="false" outlineLevel="0" collapsed="false">
      <c r="A3" s="100" t="s">
        <v>2</v>
      </c>
      <c r="E3" s="110" t="s">
        <v>59</v>
      </c>
      <c r="F3" s="108"/>
    </row>
    <row r="4" customFormat="false" ht="14.25" hidden="false" customHeight="false" outlineLevel="0" collapsed="false">
      <c r="C4" s="153"/>
      <c r="D4" s="154"/>
      <c r="E4" s="154"/>
    </row>
    <row r="5" customFormat="false" ht="21.75" hidden="false" customHeight="true" outlineLevel="0" collapsed="false">
      <c r="A5" s="155" t="s">
        <v>4</v>
      </c>
      <c r="B5" s="155"/>
      <c r="C5" s="155"/>
      <c r="D5" s="156" t="s">
        <v>5</v>
      </c>
      <c r="E5" s="156" t="s">
        <v>6</v>
      </c>
      <c r="F5" s="157" t="s">
        <v>7</v>
      </c>
      <c r="G5" s="157" t="s">
        <v>8</v>
      </c>
      <c r="H5" s="157" t="s">
        <v>9</v>
      </c>
      <c r="I5" s="157" t="s">
        <v>10</v>
      </c>
      <c r="J5" s="157" t="s">
        <v>102</v>
      </c>
      <c r="K5" s="157" t="s">
        <v>54</v>
      </c>
      <c r="L5" s="157" t="s">
        <v>55</v>
      </c>
      <c r="M5" s="157" t="s">
        <v>56</v>
      </c>
      <c r="N5" s="157" t="s">
        <v>57</v>
      </c>
      <c r="O5" s="157" t="s">
        <v>58</v>
      </c>
      <c r="P5" s="158" t="s">
        <v>134</v>
      </c>
    </row>
    <row r="6" customFormat="false" ht="15" hidden="false" customHeight="true" outlineLevel="0" collapsed="false"/>
    <row r="7" customFormat="false" ht="15" hidden="false" customHeight="true" outlineLevel="0" collapsed="false">
      <c r="A7" s="107" t="s">
        <v>12</v>
      </c>
      <c r="D7" s="108" t="n">
        <f aca="false">D8+D13+D19</f>
        <v>44114</v>
      </c>
      <c r="E7" s="108" t="n">
        <f aca="false">E8+E13+E19</f>
        <v>31068</v>
      </c>
      <c r="F7" s="108" t="n">
        <f aca="false">F8+F13+F19</f>
        <v>39351</v>
      </c>
      <c r="G7" s="108" t="n">
        <f aca="false">G8+G13+G19</f>
        <v>58060</v>
      </c>
      <c r="H7" s="108" t="n">
        <f aca="false">H8+H13+H19</f>
        <v>40515</v>
      </c>
      <c r="I7" s="108" t="n">
        <f aca="false">I8+I13+I19</f>
        <v>37249</v>
      </c>
      <c r="J7" s="108" t="n">
        <f aca="false">J8+J13+J19</f>
        <v>45886</v>
      </c>
      <c r="K7" s="108" t="n">
        <f aca="false">K8+K13+K19</f>
        <v>45577</v>
      </c>
      <c r="L7" s="108" t="n">
        <f aca="false">L8+L13+L19</f>
        <v>34639</v>
      </c>
      <c r="M7" s="108" t="n">
        <f aca="false">M8+M13+M19</f>
        <v>46802</v>
      </c>
      <c r="N7" s="108" t="n">
        <f aca="false">N8+N13+N19</f>
        <v>41246</v>
      </c>
      <c r="O7" s="108" t="n">
        <f aca="false">O8+O13+O19</f>
        <v>50255</v>
      </c>
      <c r="P7" s="108" t="n">
        <f aca="false">P8+P13+P19</f>
        <v>514762</v>
      </c>
    </row>
    <row r="8" customFormat="false" ht="15" hidden="false" customHeight="true" outlineLevel="0" collapsed="false">
      <c r="B8" s="100" t="s">
        <v>13</v>
      </c>
      <c r="D8" s="109" t="n">
        <v>42682</v>
      </c>
      <c r="E8" s="109" t="n">
        <v>29218</v>
      </c>
      <c r="F8" s="109" t="n">
        <v>31509</v>
      </c>
      <c r="G8" s="109" t="n">
        <v>53546</v>
      </c>
      <c r="H8" s="109" t="n">
        <v>37752</v>
      </c>
      <c r="I8" s="109" t="n">
        <v>33406</v>
      </c>
      <c r="J8" s="109" t="n">
        <v>41171</v>
      </c>
      <c r="K8" s="109" t="n">
        <v>40146</v>
      </c>
      <c r="L8" s="109" t="n">
        <v>28238</v>
      </c>
      <c r="M8" s="109" t="n">
        <v>43250</v>
      </c>
      <c r="N8" s="109" t="n">
        <v>35954</v>
      </c>
      <c r="O8" s="109" t="n">
        <v>43162</v>
      </c>
      <c r="P8" s="109" t="n">
        <v>460034</v>
      </c>
    </row>
    <row r="9" customFormat="false" ht="15" hidden="false" customHeight="true" outlineLevel="0" collapsed="false">
      <c r="C9" s="100" t="s">
        <v>14</v>
      </c>
      <c r="D9" s="110" t="n">
        <v>35867</v>
      </c>
      <c r="E9" s="110" t="n">
        <v>22378</v>
      </c>
      <c r="F9" s="110" t="n">
        <v>23860</v>
      </c>
      <c r="G9" s="110" t="n">
        <v>45563</v>
      </c>
      <c r="H9" s="110" t="n">
        <v>29036</v>
      </c>
      <c r="I9" s="110" t="n">
        <v>24365</v>
      </c>
      <c r="J9" s="110" t="n">
        <v>32570</v>
      </c>
      <c r="K9" s="110" t="n">
        <v>31197</v>
      </c>
      <c r="L9" s="110" t="n">
        <v>20424</v>
      </c>
      <c r="M9" s="110" t="n">
        <v>34126</v>
      </c>
      <c r="N9" s="110" t="n">
        <v>28005</v>
      </c>
      <c r="O9" s="110" t="n">
        <v>33411</v>
      </c>
      <c r="P9" s="110" t="n">
        <v>360802</v>
      </c>
    </row>
    <row r="10" customFormat="false" ht="15" hidden="false" customHeight="true" outlineLevel="0" collapsed="false">
      <c r="C10" s="100" t="s">
        <v>18</v>
      </c>
      <c r="D10" s="110" t="n">
        <v>6466</v>
      </c>
      <c r="E10" s="110" t="n">
        <v>6452</v>
      </c>
      <c r="F10" s="110" t="n">
        <v>7249</v>
      </c>
      <c r="G10" s="110" t="n">
        <v>7688</v>
      </c>
      <c r="H10" s="110" t="n">
        <v>8288</v>
      </c>
      <c r="I10" s="110" t="n">
        <v>8564</v>
      </c>
      <c r="J10" s="110" t="n">
        <v>8220</v>
      </c>
      <c r="K10" s="110" t="n">
        <v>8620</v>
      </c>
      <c r="L10" s="110" t="n">
        <v>7514</v>
      </c>
      <c r="M10" s="110" t="n">
        <v>8821</v>
      </c>
      <c r="N10" s="110" t="n">
        <v>7616</v>
      </c>
      <c r="O10" s="110" t="n">
        <v>9508</v>
      </c>
      <c r="P10" s="110" t="n">
        <v>95006</v>
      </c>
    </row>
    <row r="11" customFormat="false" ht="15" hidden="false" customHeight="true" outlineLevel="0" collapsed="false">
      <c r="C11" s="100" t="s">
        <v>87</v>
      </c>
      <c r="D11" s="110" t="n">
        <v>349</v>
      </c>
      <c r="E11" s="110" t="n">
        <v>388</v>
      </c>
      <c r="F11" s="110" t="n">
        <v>400</v>
      </c>
      <c r="G11" s="110" t="n">
        <v>295</v>
      </c>
      <c r="H11" s="110" t="n">
        <v>428</v>
      </c>
      <c r="I11" s="110" t="n">
        <v>477</v>
      </c>
      <c r="J11" s="110" t="n">
        <v>381</v>
      </c>
      <c r="K11" s="110" t="n">
        <v>329</v>
      </c>
      <c r="L11" s="110" t="n">
        <v>300</v>
      </c>
      <c r="M11" s="110" t="n">
        <v>303</v>
      </c>
      <c r="N11" s="110" t="n">
        <v>333</v>
      </c>
      <c r="O11" s="110" t="n">
        <v>243</v>
      </c>
      <c r="P11" s="110" t="n">
        <v>4226</v>
      </c>
    </row>
    <row r="12" customFormat="false" ht="15" hidden="false" customHeight="true" outlineLevel="0" collapsed="false"/>
    <row r="13" customFormat="false" ht="15" hidden="false" customHeight="true" outlineLevel="0" collapsed="false">
      <c r="B13" s="100" t="s">
        <v>20</v>
      </c>
      <c r="D13" s="109" t="n">
        <f aca="false">SUM(D14:D17)</f>
        <v>1432</v>
      </c>
      <c r="E13" s="109" t="n">
        <f aca="false">SUM(E14:E17)</f>
        <v>1562</v>
      </c>
      <c r="F13" s="109" t="n">
        <f aca="false">SUM(F14:F17)</f>
        <v>7565</v>
      </c>
      <c r="G13" s="109" t="n">
        <f aca="false">SUM(G14:G17)</f>
        <v>4488</v>
      </c>
      <c r="H13" s="109" t="n">
        <f aca="false">SUM(H14:H17)</f>
        <v>2745</v>
      </c>
      <c r="I13" s="109" t="n">
        <f aca="false">SUM(I14:I17)</f>
        <v>3826</v>
      </c>
      <c r="J13" s="109" t="n">
        <f aca="false">SUM(J14:J17)</f>
        <v>4686</v>
      </c>
      <c r="K13" s="109" t="n">
        <f aca="false">SUM(K14:K17)</f>
        <v>5295</v>
      </c>
      <c r="L13" s="109" t="n">
        <f aca="false">SUM(L14:L17)</f>
        <v>6334</v>
      </c>
      <c r="M13" s="109" t="n">
        <f aca="false">SUM(M14:M17)</f>
        <v>3348</v>
      </c>
      <c r="N13" s="109" t="n">
        <f aca="false">SUM(N14:N17)</f>
        <v>5222</v>
      </c>
      <c r="O13" s="109" t="n">
        <f aca="false">SUM(O14:O17)</f>
        <v>6849</v>
      </c>
      <c r="P13" s="109" t="n">
        <f aca="false">SUM(P14:P17)</f>
        <v>53352</v>
      </c>
    </row>
    <row r="14" customFormat="false" ht="15" hidden="false" customHeight="true" outlineLevel="0" collapsed="false">
      <c r="C14" s="100" t="s">
        <v>21</v>
      </c>
      <c r="D14" s="110" t="n">
        <v>1254</v>
      </c>
      <c r="E14" s="110" t="n">
        <v>1207</v>
      </c>
      <c r="F14" s="110" t="n">
        <v>3976</v>
      </c>
      <c r="G14" s="110" t="n">
        <v>1756</v>
      </c>
      <c r="H14" s="110" t="n">
        <v>1829</v>
      </c>
      <c r="I14" s="110" t="n">
        <v>1761</v>
      </c>
      <c r="J14" s="110" t="n">
        <v>2428</v>
      </c>
      <c r="K14" s="110" t="n">
        <v>2188</v>
      </c>
      <c r="L14" s="110" t="n">
        <v>4714</v>
      </c>
      <c r="M14" s="110" t="n">
        <v>1398</v>
      </c>
      <c r="N14" s="110" t="n">
        <v>2149</v>
      </c>
      <c r="O14" s="110" t="n">
        <v>6104</v>
      </c>
      <c r="P14" s="110" t="n">
        <v>30764</v>
      </c>
    </row>
    <row r="15" customFormat="false" ht="15" hidden="false" customHeight="true" outlineLevel="0" collapsed="false">
      <c r="C15" s="100" t="s">
        <v>112</v>
      </c>
      <c r="D15" s="110" t="n">
        <v>172</v>
      </c>
      <c r="E15" s="110" t="n">
        <v>355</v>
      </c>
      <c r="F15" s="110" t="n">
        <v>3589</v>
      </c>
      <c r="G15" s="110" t="n">
        <v>1722</v>
      </c>
      <c r="H15" s="110" t="n">
        <v>886</v>
      </c>
      <c r="I15" s="110" t="n">
        <v>1720</v>
      </c>
      <c r="J15" s="110" t="n">
        <v>1758</v>
      </c>
      <c r="K15" s="110" t="n">
        <v>3107</v>
      </c>
      <c r="L15" s="110" t="n">
        <v>1620</v>
      </c>
      <c r="M15" s="110" t="n">
        <v>1494</v>
      </c>
      <c r="N15" s="110" t="n">
        <v>1043</v>
      </c>
      <c r="O15" s="110" t="n">
        <v>470</v>
      </c>
      <c r="P15" s="110" t="n">
        <v>17936</v>
      </c>
    </row>
    <row r="16" customFormat="false" ht="15" hidden="false" customHeight="true" outlineLevel="0" collapsed="false">
      <c r="C16" s="100" t="s">
        <v>23</v>
      </c>
      <c r="D16" s="110" t="n">
        <v>0</v>
      </c>
      <c r="E16" s="110" t="n">
        <v>0</v>
      </c>
      <c r="F16" s="110" t="n">
        <v>0</v>
      </c>
      <c r="G16" s="110" t="n">
        <v>1010</v>
      </c>
      <c r="H16" s="110" t="n">
        <v>30</v>
      </c>
      <c r="I16" s="110" t="n">
        <v>345</v>
      </c>
      <c r="J16" s="110" t="n">
        <v>500</v>
      </c>
      <c r="K16" s="110" t="n">
        <v>0</v>
      </c>
      <c r="L16" s="110" t="n">
        <v>0</v>
      </c>
      <c r="M16" s="110" t="n">
        <v>456</v>
      </c>
      <c r="N16" s="110" t="n">
        <v>2030</v>
      </c>
      <c r="O16" s="110" t="n">
        <v>275</v>
      </c>
      <c r="P16" s="110" t="n">
        <v>4646</v>
      </c>
    </row>
    <row r="17" customFormat="false" ht="15" hidden="false" customHeight="true" outlineLevel="0" collapsed="false">
      <c r="C17" s="100" t="s">
        <v>147</v>
      </c>
      <c r="D17" s="110" t="n">
        <v>6</v>
      </c>
      <c r="E17" s="110" t="n">
        <v>0</v>
      </c>
      <c r="F17" s="110" t="n">
        <v>0</v>
      </c>
      <c r="G17" s="110" t="n">
        <v>0</v>
      </c>
      <c r="H17" s="110" t="n">
        <v>0</v>
      </c>
      <c r="I17" s="110" t="n">
        <v>0</v>
      </c>
      <c r="J17" s="110" t="n">
        <v>0</v>
      </c>
      <c r="K17" s="110" t="n">
        <v>0</v>
      </c>
      <c r="L17" s="110" t="n">
        <v>0</v>
      </c>
      <c r="M17" s="110" t="n">
        <v>0</v>
      </c>
      <c r="N17" s="110" t="n">
        <v>0</v>
      </c>
      <c r="O17" s="110" t="n">
        <v>0</v>
      </c>
      <c r="P17" s="110" t="n">
        <v>6</v>
      </c>
    </row>
    <row r="18" customFormat="false" ht="15" hidden="false" customHeight="true" outlineLevel="0" collapsed="false"/>
    <row r="19" customFormat="false" ht="15" hidden="false" customHeight="true" outlineLevel="0" collapsed="false">
      <c r="B19" s="100" t="s">
        <v>26</v>
      </c>
      <c r="D19" s="110" t="n">
        <v>0</v>
      </c>
      <c r="E19" s="110" t="n">
        <v>288</v>
      </c>
      <c r="F19" s="110" t="n">
        <v>277</v>
      </c>
      <c r="G19" s="110" t="n">
        <v>26</v>
      </c>
      <c r="H19" s="110" t="n">
        <v>18</v>
      </c>
      <c r="I19" s="110" t="n">
        <v>17</v>
      </c>
      <c r="J19" s="110" t="n">
        <v>29</v>
      </c>
      <c r="K19" s="110" t="n">
        <v>136</v>
      </c>
      <c r="L19" s="110" t="n">
        <v>67</v>
      </c>
      <c r="M19" s="110" t="n">
        <v>204</v>
      </c>
      <c r="N19" s="110" t="n">
        <v>70</v>
      </c>
      <c r="O19" s="110" t="n">
        <v>244</v>
      </c>
      <c r="P19" s="110" t="n">
        <v>1376</v>
      </c>
    </row>
    <row r="20" customFormat="false" ht="15" hidden="false" customHeight="true" outlineLevel="0" collapsed="false"/>
    <row r="21" customFormat="false" ht="15" hidden="false" customHeight="true" outlineLevel="0" collapsed="false">
      <c r="A21" s="107" t="s">
        <v>27</v>
      </c>
      <c r="D21" s="108" t="n">
        <f aca="false">SUM(D23:D29)</f>
        <v>44228</v>
      </c>
      <c r="E21" s="108" t="n">
        <f aca="false">SUM(E23:E29)</f>
        <v>39986</v>
      </c>
      <c r="F21" s="108" t="n">
        <f aca="false">SUM(F23:F29)</f>
        <v>52632</v>
      </c>
      <c r="G21" s="108" t="n">
        <f aca="false">SUM(G23:G29)</f>
        <v>49030</v>
      </c>
      <c r="H21" s="108" t="n">
        <f aca="false">SUM(H23:H29)</f>
        <v>61343</v>
      </c>
      <c r="I21" s="108" t="n">
        <f aca="false">SUM(I23:I29)</f>
        <v>50832</v>
      </c>
      <c r="J21" s="108" t="n">
        <f aca="false">SUM(J23:J29)</f>
        <v>57901</v>
      </c>
      <c r="K21" s="108" t="n">
        <f aca="false">SUM(K23:K29)</f>
        <v>55655</v>
      </c>
      <c r="L21" s="108" t="n">
        <f aca="false">SUM(L23:L29)</f>
        <v>47835</v>
      </c>
      <c r="M21" s="108" t="n">
        <f aca="false">SUM(M23:M29)</f>
        <v>59360</v>
      </c>
      <c r="N21" s="108" t="n">
        <f aca="false">SUM(N23:N29)</f>
        <v>60143</v>
      </c>
      <c r="O21" s="108" t="n">
        <f aca="false">SUM(O23:O29)</f>
        <v>70029</v>
      </c>
      <c r="P21" s="108" t="n">
        <f aca="false">SUM(D21:O21)</f>
        <v>648974</v>
      </c>
    </row>
    <row r="22" customFormat="false" ht="18" hidden="false" customHeight="true" outlineLevel="0" collapsed="false">
      <c r="B22" s="100" t="s">
        <v>15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10"/>
    </row>
    <row r="23" customFormat="false" ht="15" hidden="false" customHeight="true" outlineLevel="0" collapsed="false">
      <c r="C23" s="100" t="s">
        <v>28</v>
      </c>
      <c r="D23" s="110" t="n">
        <v>7506</v>
      </c>
      <c r="E23" s="110" t="n">
        <v>9492</v>
      </c>
      <c r="F23" s="110" t="n">
        <v>8176</v>
      </c>
      <c r="G23" s="110" t="n">
        <v>6504</v>
      </c>
      <c r="H23" s="110" t="n">
        <v>13382</v>
      </c>
      <c r="I23" s="110" t="n">
        <v>8369</v>
      </c>
      <c r="J23" s="110" t="n">
        <v>10213</v>
      </c>
      <c r="K23" s="110" t="n">
        <v>9890</v>
      </c>
      <c r="L23" s="110" t="n">
        <v>1139</v>
      </c>
      <c r="M23" s="110" t="n">
        <v>8343</v>
      </c>
      <c r="N23" s="110" t="n">
        <v>6888</v>
      </c>
      <c r="O23" s="110" t="n">
        <v>9914</v>
      </c>
      <c r="P23" s="110" t="n">
        <f aca="false">SUM(D23:O23)</f>
        <v>99816</v>
      </c>
      <c r="Q23" s="110"/>
    </row>
    <row r="24" customFormat="false" ht="15" hidden="false" customHeight="true" outlineLevel="0" collapsed="false">
      <c r="C24" s="100" t="s">
        <v>29</v>
      </c>
      <c r="D24" s="110" t="n">
        <v>9158</v>
      </c>
      <c r="E24" s="110" t="n">
        <v>6023</v>
      </c>
      <c r="F24" s="110" t="n">
        <v>10442</v>
      </c>
      <c r="G24" s="110" t="n">
        <v>12849</v>
      </c>
      <c r="H24" s="110" t="n">
        <v>9625</v>
      </c>
      <c r="I24" s="110" t="n">
        <v>10415</v>
      </c>
      <c r="J24" s="110" t="n">
        <v>11685</v>
      </c>
      <c r="K24" s="110" t="n">
        <v>8820</v>
      </c>
      <c r="L24" s="110" t="n">
        <v>17711</v>
      </c>
      <c r="M24" s="110" t="n">
        <v>17691</v>
      </c>
      <c r="N24" s="110" t="n">
        <v>13454</v>
      </c>
      <c r="O24" s="110" t="n">
        <v>13021</v>
      </c>
      <c r="P24" s="110" t="n">
        <f aca="false">SUM(D24:O24)</f>
        <v>140894</v>
      </c>
    </row>
    <row r="25" customFormat="false" ht="15" hidden="false" customHeight="true" outlineLevel="0" collapsed="false">
      <c r="C25" s="100" t="s">
        <v>77</v>
      </c>
      <c r="D25" s="110" t="n">
        <v>282</v>
      </c>
      <c r="E25" s="110" t="n">
        <v>259</v>
      </c>
      <c r="F25" s="110" t="n">
        <v>264</v>
      </c>
      <c r="G25" s="110" t="n">
        <v>158</v>
      </c>
      <c r="H25" s="110" t="n">
        <v>374</v>
      </c>
      <c r="I25" s="110" t="n">
        <v>1757</v>
      </c>
      <c r="J25" s="110" t="n">
        <v>507</v>
      </c>
      <c r="K25" s="110" t="n">
        <v>1007</v>
      </c>
      <c r="L25" s="110" t="n">
        <v>626</v>
      </c>
      <c r="M25" s="110" t="n">
        <v>515</v>
      </c>
      <c r="N25" s="110" t="n">
        <v>1984</v>
      </c>
      <c r="O25" s="110" t="n">
        <v>1331</v>
      </c>
      <c r="P25" s="110" t="n">
        <f aca="false">SUM(D25:O25)</f>
        <v>9064</v>
      </c>
    </row>
    <row r="26" customFormat="false" ht="15" hidden="false" customHeight="true" outlineLevel="0" collapsed="false">
      <c r="C26" s="100" t="s">
        <v>32</v>
      </c>
      <c r="D26" s="110" t="n">
        <v>0</v>
      </c>
      <c r="E26" s="110" t="n">
        <v>0</v>
      </c>
      <c r="F26" s="110" t="n">
        <v>0</v>
      </c>
      <c r="G26" s="110" t="n">
        <v>0</v>
      </c>
      <c r="H26" s="110" t="n">
        <v>0</v>
      </c>
      <c r="I26" s="110" t="n">
        <v>0</v>
      </c>
      <c r="J26" s="110" t="n">
        <v>0</v>
      </c>
      <c r="K26" s="110" t="n">
        <v>0</v>
      </c>
      <c r="L26" s="110" t="n">
        <v>0</v>
      </c>
      <c r="M26" s="110" t="n">
        <v>0</v>
      </c>
      <c r="N26" s="110" t="n">
        <v>0</v>
      </c>
      <c r="O26" s="110" t="n">
        <v>536</v>
      </c>
      <c r="P26" s="110" t="n">
        <f aca="false">SUM(D26:O26)</f>
        <v>536</v>
      </c>
    </row>
    <row r="27" customFormat="false" ht="15" hidden="false" customHeight="true" outlineLevel="0" collapsed="false">
      <c r="C27" s="100" t="s">
        <v>148</v>
      </c>
      <c r="D27" s="110" t="n">
        <v>0</v>
      </c>
      <c r="E27" s="110" t="n">
        <v>888</v>
      </c>
      <c r="F27" s="110" t="n">
        <v>0</v>
      </c>
      <c r="G27" s="110" t="n">
        <v>900</v>
      </c>
      <c r="H27" s="110" t="n">
        <v>963</v>
      </c>
      <c r="I27" s="110" t="n">
        <v>0</v>
      </c>
      <c r="J27" s="110" t="n">
        <v>165</v>
      </c>
      <c r="K27" s="110" t="n">
        <v>203</v>
      </c>
      <c r="L27" s="110" t="n">
        <v>0</v>
      </c>
      <c r="M27" s="110" t="n">
        <v>0</v>
      </c>
      <c r="N27" s="110" t="n">
        <v>95</v>
      </c>
      <c r="O27" s="110" t="n">
        <v>372</v>
      </c>
      <c r="P27" s="110" t="n">
        <f aca="false">SUM(D27:O27)</f>
        <v>3586</v>
      </c>
    </row>
    <row r="28" customFormat="false" ht="15" hidden="false" customHeight="true" outlineLevel="0" collapsed="false">
      <c r="C28" s="100" t="s">
        <v>78</v>
      </c>
      <c r="D28" s="110" t="n">
        <v>496</v>
      </c>
      <c r="E28" s="110" t="n">
        <v>-123</v>
      </c>
      <c r="F28" s="110" t="n">
        <v>452</v>
      </c>
      <c r="G28" s="110" t="n">
        <v>-192</v>
      </c>
      <c r="H28" s="110" t="n">
        <v>428</v>
      </c>
      <c r="I28" s="110" t="n">
        <v>365</v>
      </c>
      <c r="J28" s="110" t="n">
        <v>416</v>
      </c>
      <c r="K28" s="110" t="n">
        <v>-44</v>
      </c>
      <c r="L28" s="110" t="n">
        <v>76</v>
      </c>
      <c r="M28" s="110" t="n">
        <v>234</v>
      </c>
      <c r="N28" s="110" t="n">
        <v>426</v>
      </c>
      <c r="O28" s="110" t="n">
        <v>100</v>
      </c>
      <c r="P28" s="110" t="n">
        <f aca="false">SUM(D28:O28)</f>
        <v>2634</v>
      </c>
    </row>
    <row r="29" customFormat="false" ht="15" hidden="false" customHeight="true" outlineLevel="0" collapsed="false">
      <c r="C29" s="1" t="s">
        <v>79</v>
      </c>
      <c r="D29" s="110" t="n">
        <v>26786</v>
      </c>
      <c r="E29" s="110" t="n">
        <v>23447</v>
      </c>
      <c r="F29" s="110" t="n">
        <v>33298</v>
      </c>
      <c r="G29" s="110" t="n">
        <v>28811</v>
      </c>
      <c r="H29" s="110" t="n">
        <v>36571</v>
      </c>
      <c r="I29" s="110" t="n">
        <v>29926</v>
      </c>
      <c r="J29" s="110" t="n">
        <v>34915</v>
      </c>
      <c r="K29" s="110" t="n">
        <v>35779</v>
      </c>
      <c r="L29" s="110" t="n">
        <v>28283</v>
      </c>
      <c r="M29" s="110" t="n">
        <v>32577</v>
      </c>
      <c r="N29" s="110" t="n">
        <v>37296</v>
      </c>
      <c r="O29" s="110" t="n">
        <v>44755</v>
      </c>
      <c r="P29" s="110" t="n">
        <f aca="false">SUM(D29:O29)</f>
        <v>392444</v>
      </c>
    </row>
    <row r="30" customFormat="false" ht="15" hidden="false" customHeight="true" outlineLevel="0" collapsed="false"/>
    <row r="31" customFormat="false" ht="15" hidden="false" customHeight="true" outlineLevel="0" collapsed="false">
      <c r="A31" s="107" t="s">
        <v>137</v>
      </c>
      <c r="B31" s="107"/>
      <c r="C31" s="107"/>
      <c r="D31" s="112" t="n">
        <v>-114</v>
      </c>
      <c r="E31" s="112" t="n">
        <v>-8918</v>
      </c>
      <c r="F31" s="112" t="n">
        <v>-13281</v>
      </c>
      <c r="G31" s="112" t="n">
        <v>9030</v>
      </c>
      <c r="H31" s="112" t="n">
        <v>-20828</v>
      </c>
      <c r="I31" s="112" t="n">
        <v>-13583</v>
      </c>
      <c r="J31" s="112" t="n">
        <v>-12015</v>
      </c>
      <c r="K31" s="112" t="n">
        <v>-10078</v>
      </c>
      <c r="L31" s="112" t="n">
        <v>-13196</v>
      </c>
      <c r="M31" s="112" t="n">
        <v>-12558</v>
      </c>
      <c r="N31" s="112" t="n">
        <v>-18897</v>
      </c>
      <c r="O31" s="112" t="n">
        <v>-19774</v>
      </c>
      <c r="P31" s="112" t="n">
        <v>-134212</v>
      </c>
    </row>
    <row r="32" customFormat="false" ht="15" hidden="false" customHeight="true" outlineLevel="0" collapsed="false"/>
    <row r="33" customFormat="false" ht="15" hidden="false" customHeight="true" outlineLevel="0" collapsed="false">
      <c r="A33" s="107" t="s">
        <v>36</v>
      </c>
      <c r="B33" s="107"/>
      <c r="C33" s="107"/>
      <c r="D33" s="108" t="n">
        <v>10716</v>
      </c>
      <c r="E33" s="108" t="n">
        <v>14430</v>
      </c>
      <c r="F33" s="108" t="n">
        <v>70730</v>
      </c>
      <c r="G33" s="108" t="n">
        <v>9883</v>
      </c>
      <c r="H33" s="108" t="n">
        <v>7454</v>
      </c>
      <c r="I33" s="108" t="n">
        <v>-4187</v>
      </c>
      <c r="J33" s="108" t="n">
        <v>-3613</v>
      </c>
      <c r="K33" s="108" t="n">
        <v>31288</v>
      </c>
      <c r="L33" s="108" t="n">
        <v>-1519</v>
      </c>
      <c r="M33" s="108" t="n">
        <v>16329</v>
      </c>
      <c r="N33" s="108" t="n">
        <v>59540</v>
      </c>
      <c r="O33" s="108" t="n">
        <v>-7236</v>
      </c>
      <c r="P33" s="108" t="n">
        <v>203815</v>
      </c>
    </row>
    <row r="34" customFormat="false" ht="15" hidden="false" customHeight="true" outlineLevel="0" collapsed="false">
      <c r="B34" s="100" t="s">
        <v>37</v>
      </c>
      <c r="D34" s="109" t="n">
        <v>-1506</v>
      </c>
      <c r="E34" s="109" t="n">
        <v>-1907</v>
      </c>
      <c r="F34" s="109" t="n">
        <v>64207</v>
      </c>
      <c r="G34" s="109" t="n">
        <v>-1100</v>
      </c>
      <c r="H34" s="109" t="n">
        <v>-1462</v>
      </c>
      <c r="I34" s="109" t="n">
        <v>-5427</v>
      </c>
      <c r="J34" s="109" t="n">
        <v>-3655</v>
      </c>
      <c r="K34" s="109" t="n">
        <v>16360</v>
      </c>
      <c r="L34" s="109" t="n">
        <v>524</v>
      </c>
      <c r="M34" s="109" t="n">
        <v>133</v>
      </c>
      <c r="N34" s="109" t="n">
        <v>5023</v>
      </c>
      <c r="O34" s="109" t="n">
        <v>13166</v>
      </c>
      <c r="P34" s="109" t="n">
        <v>84356</v>
      </c>
    </row>
    <row r="35" customFormat="false" ht="15" hidden="false" customHeight="true" outlineLevel="0" collapsed="false">
      <c r="A35" s="100" t="s">
        <v>59</v>
      </c>
      <c r="C35" s="100" t="s">
        <v>38</v>
      </c>
      <c r="D35" s="110" t="n">
        <v>262</v>
      </c>
      <c r="E35" s="110" t="n">
        <v>536</v>
      </c>
      <c r="F35" s="110" t="n">
        <v>66260</v>
      </c>
      <c r="G35" s="110" t="n">
        <v>1249</v>
      </c>
      <c r="H35" s="110" t="n">
        <v>3037</v>
      </c>
      <c r="I35" s="110" t="n">
        <v>1033</v>
      </c>
      <c r="J35" s="110" t="n">
        <v>1054</v>
      </c>
      <c r="K35" s="110" t="n">
        <v>18872</v>
      </c>
      <c r="L35" s="110" t="n">
        <v>2902</v>
      </c>
      <c r="M35" s="110" t="n">
        <v>3048</v>
      </c>
      <c r="N35" s="110" t="n">
        <v>10373</v>
      </c>
      <c r="O35" s="110" t="n">
        <v>17250</v>
      </c>
      <c r="P35" s="110" t="n">
        <v>125876</v>
      </c>
    </row>
    <row r="36" customFormat="false" ht="15" hidden="false" customHeight="true" outlineLevel="0" collapsed="false">
      <c r="C36" s="100" t="s">
        <v>39</v>
      </c>
      <c r="D36" s="110" t="n">
        <v>1768</v>
      </c>
      <c r="E36" s="110" t="n">
        <v>2443</v>
      </c>
      <c r="F36" s="110" t="n">
        <v>2053</v>
      </c>
      <c r="G36" s="110" t="n">
        <v>2349</v>
      </c>
      <c r="H36" s="110" t="n">
        <v>4499</v>
      </c>
      <c r="I36" s="110" t="n">
        <v>6460</v>
      </c>
      <c r="J36" s="110" t="n">
        <v>4709</v>
      </c>
      <c r="K36" s="110" t="n">
        <v>2512</v>
      </c>
      <c r="L36" s="110" t="n">
        <v>2378</v>
      </c>
      <c r="M36" s="110" t="n">
        <v>2915</v>
      </c>
      <c r="N36" s="110" t="n">
        <v>5350</v>
      </c>
      <c r="O36" s="110" t="n">
        <v>4084</v>
      </c>
      <c r="P36" s="110" t="n">
        <v>41520</v>
      </c>
    </row>
    <row r="37" customFormat="false" ht="15" hidden="false" customHeight="true" outlineLevel="0" collapsed="false"/>
    <row r="38" customFormat="false" ht="15" hidden="false" customHeight="true" outlineLevel="0" collapsed="false">
      <c r="B38" s="100" t="s">
        <v>40</v>
      </c>
      <c r="D38" s="109" t="n">
        <v>12222</v>
      </c>
      <c r="E38" s="109" t="n">
        <v>16337</v>
      </c>
      <c r="F38" s="109" t="n">
        <v>6523</v>
      </c>
      <c r="G38" s="109" t="n">
        <v>10983</v>
      </c>
      <c r="H38" s="109" t="n">
        <v>8916</v>
      </c>
      <c r="I38" s="109" t="n">
        <v>1240</v>
      </c>
      <c r="J38" s="109" t="n">
        <v>42</v>
      </c>
      <c r="K38" s="109" t="n">
        <v>14928</v>
      </c>
      <c r="L38" s="109" t="n">
        <v>-2043</v>
      </c>
      <c r="M38" s="109" t="n">
        <v>16196</v>
      </c>
      <c r="N38" s="109" t="n">
        <v>54517</v>
      </c>
      <c r="O38" s="109" t="n">
        <v>-20402</v>
      </c>
      <c r="P38" s="109" t="n">
        <v>119459</v>
      </c>
    </row>
    <row r="39" customFormat="false" ht="15" hidden="false" customHeight="true" outlineLevel="0" collapsed="false">
      <c r="C39" s="100" t="s">
        <v>41</v>
      </c>
      <c r="D39" s="110" t="n">
        <v>13858</v>
      </c>
      <c r="E39" s="110" t="n">
        <v>18796</v>
      </c>
      <c r="F39" s="110" t="n">
        <v>11659</v>
      </c>
      <c r="G39" s="110" t="n">
        <v>13497</v>
      </c>
      <c r="H39" s="110" t="n">
        <v>10499</v>
      </c>
      <c r="I39" s="110" t="n">
        <v>6907</v>
      </c>
      <c r="J39" s="110" t="n">
        <v>4094</v>
      </c>
      <c r="K39" s="110" t="n">
        <v>16627</v>
      </c>
      <c r="L39" s="110" t="n">
        <v>1650</v>
      </c>
      <c r="M39" s="110" t="n">
        <v>22174</v>
      </c>
      <c r="N39" s="110" t="n">
        <v>58159</v>
      </c>
      <c r="O39" s="110" t="n">
        <v>-13032</v>
      </c>
      <c r="P39" s="110" t="n">
        <v>164888</v>
      </c>
    </row>
    <row r="40" customFormat="false" ht="15" hidden="false" customHeight="true" outlineLevel="0" collapsed="false">
      <c r="C40" s="100" t="s">
        <v>39</v>
      </c>
      <c r="D40" s="110" t="n">
        <v>1636</v>
      </c>
      <c r="E40" s="110" t="n">
        <v>2459</v>
      </c>
      <c r="F40" s="110" t="n">
        <v>5136</v>
      </c>
      <c r="G40" s="110" t="n">
        <v>2514</v>
      </c>
      <c r="H40" s="110" t="n">
        <v>1583</v>
      </c>
      <c r="I40" s="110" t="n">
        <v>5667</v>
      </c>
      <c r="J40" s="110" t="n">
        <v>4052</v>
      </c>
      <c r="K40" s="110" t="n">
        <v>1699</v>
      </c>
      <c r="L40" s="110" t="n">
        <v>3693</v>
      </c>
      <c r="M40" s="110" t="n">
        <v>5978</v>
      </c>
      <c r="N40" s="110" t="n">
        <v>3642</v>
      </c>
      <c r="O40" s="110" t="n">
        <v>7370</v>
      </c>
      <c r="P40" s="110" t="n">
        <v>45429</v>
      </c>
    </row>
    <row r="41" customFormat="false" ht="15" hidden="false" customHeight="true" outlineLevel="0" collapsed="false"/>
    <row r="42" s="107" customFormat="true" ht="15" hidden="false" customHeight="true" outlineLevel="0" collapsed="false">
      <c r="A42" s="107" t="s">
        <v>45</v>
      </c>
      <c r="D42" s="108" t="n">
        <v>8175</v>
      </c>
      <c r="E42" s="108" t="n">
        <v>3187</v>
      </c>
      <c r="F42" s="108" t="n">
        <v>19759</v>
      </c>
      <c r="G42" s="108" t="n">
        <v>15723</v>
      </c>
      <c r="H42" s="108" t="n">
        <v>-19529</v>
      </c>
      <c r="I42" s="108" t="n">
        <v>-20427</v>
      </c>
      <c r="J42" s="108" t="n">
        <v>-14285</v>
      </c>
      <c r="K42" s="108" t="n">
        <v>19871</v>
      </c>
      <c r="L42" s="108" t="n">
        <v>-15870</v>
      </c>
      <c r="M42" s="108" t="n">
        <v>3060</v>
      </c>
      <c r="N42" s="108" t="n">
        <v>29388</v>
      </c>
      <c r="O42" s="108" t="n">
        <v>-25242</v>
      </c>
      <c r="P42" s="108" t="n">
        <v>3810</v>
      </c>
      <c r="Q42" s="112"/>
    </row>
    <row r="43" customFormat="false" ht="15" hidden="false" customHeight="false" outlineLevel="0" collapsed="false">
      <c r="A43" s="113"/>
      <c r="B43" s="113"/>
      <c r="C43" s="113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</row>
    <row r="44" customFormat="false" ht="15" hidden="false" customHeight="false" outlineLevel="0" collapsed="false">
      <c r="A44" s="31"/>
    </row>
    <row r="45" customFormat="false" ht="14.25" hidden="false" customHeight="false" outlineLevel="0" collapsed="false">
      <c r="A45" s="31"/>
    </row>
    <row r="47" s="100" customFormat="true" ht="14.25" hidden="false" customHeight="false" outlineLevel="0" collapsed="false"/>
    <row r="48" customFormat="false" ht="14.25" hidden="false" customHeight="false" outlineLevel="0" collapsed="false">
      <c r="A48" s="31" t="s">
        <v>139</v>
      </c>
      <c r="C48" s="110"/>
      <c r="E48" s="100"/>
      <c r="F48" s="149"/>
      <c r="G48" s="149"/>
    </row>
    <row r="49" customFormat="false" ht="14.25" hidden="false" customHeight="false" outlineLevel="0" collapsed="false">
      <c r="A49" s="31" t="s">
        <v>140</v>
      </c>
      <c r="E49" s="100"/>
      <c r="F49" s="100"/>
      <c r="G49" s="100"/>
    </row>
    <row r="50" customFormat="false" ht="14.25" hidden="false" customHeight="false" outlineLevel="0" collapsed="false">
      <c r="A50" s="31"/>
      <c r="B50" s="31"/>
      <c r="C50" s="31"/>
      <c r="D50" s="150"/>
    </row>
    <row r="51" customFormat="false" ht="14.25" hidden="false" customHeight="false" outlineLevel="0" collapsed="false">
      <c r="A51" s="31"/>
      <c r="B51" s="31"/>
      <c r="C51" s="31"/>
      <c r="D51" s="150"/>
    </row>
    <row r="52" customFormat="false" ht="14.25" hidden="false" customHeight="false" outlineLevel="0" collapsed="false">
      <c r="A52" s="31"/>
      <c r="B52" s="31"/>
      <c r="C52" s="31"/>
      <c r="D52" s="150"/>
    </row>
    <row r="53" customFormat="false" ht="14.25" hidden="false" customHeight="false" outlineLevel="0" collapsed="false">
      <c r="A53" s="31"/>
      <c r="B53" s="31"/>
      <c r="C53" s="31"/>
      <c r="D53" s="150"/>
    </row>
    <row r="54" customFormat="false" ht="14.25" hidden="false" customHeight="false" outlineLevel="0" collapsed="false">
      <c r="A54" s="31"/>
      <c r="B54" s="31"/>
      <c r="C54" s="31"/>
      <c r="D54" s="150"/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D7" activeCellId="0" sqref="D7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22.57"/>
    <col collapsed="false" customWidth="true" hidden="false" outlineLevel="0" max="5" min="4" style="110" width="8"/>
    <col collapsed="false" customWidth="true" hidden="false" outlineLevel="0" max="6" min="6" style="110" width="8.71"/>
    <col collapsed="false" customWidth="true" hidden="false" outlineLevel="0" max="7" min="7" style="110" width="8"/>
    <col collapsed="false" customWidth="true" hidden="false" outlineLevel="0" max="8" min="8" style="110" width="8.71"/>
    <col collapsed="false" customWidth="true" hidden="false" outlineLevel="0" max="10" min="9" style="110" width="8"/>
    <col collapsed="false" customWidth="true" hidden="false" outlineLevel="0" max="12" min="11" style="110" width="8.71"/>
    <col collapsed="false" customWidth="true" hidden="false" outlineLevel="0" max="13" min="13" style="110" width="8"/>
    <col collapsed="false" customWidth="true" hidden="false" outlineLevel="0" max="14" min="14" style="110" width="8.71"/>
    <col collapsed="false" customWidth="true" hidden="false" outlineLevel="0" max="15" min="15" style="110" width="8"/>
    <col collapsed="false" customWidth="true" hidden="false" outlineLevel="0" max="16" min="16" style="110" width="9.85"/>
    <col collapsed="false" customWidth="false" hidden="false" outlineLevel="0" max="1024" min="17" style="100" width="9.14"/>
  </cols>
  <sheetData>
    <row r="1" customFormat="false" ht="15" hidden="false" customHeight="false" outlineLevel="0" collapsed="false">
      <c r="A1" s="107" t="s">
        <v>132</v>
      </c>
    </row>
    <row r="2" customFormat="false" ht="15" hidden="false" customHeight="false" outlineLevel="0" collapsed="false">
      <c r="A2" s="107" t="s">
        <v>149</v>
      </c>
    </row>
    <row r="3" customFormat="false" ht="15" hidden="false" customHeight="false" outlineLevel="0" collapsed="false">
      <c r="A3" s="100" t="s">
        <v>2</v>
      </c>
      <c r="E3" s="110" t="s">
        <v>59</v>
      </c>
      <c r="F3" s="108"/>
    </row>
    <row r="4" customFormat="false" ht="15" hidden="false" customHeight="false" outlineLevel="0" collapsed="false"/>
    <row r="5" customFormat="false" ht="22.5" hidden="false" customHeight="true" outlineLevel="0" collapsed="false">
      <c r="A5" s="126" t="s">
        <v>4</v>
      </c>
      <c r="B5" s="126"/>
      <c r="C5" s="126"/>
      <c r="D5" s="147" t="s">
        <v>5</v>
      </c>
      <c r="E5" s="147" t="s">
        <v>6</v>
      </c>
      <c r="F5" s="147" t="s">
        <v>7</v>
      </c>
      <c r="G5" s="147" t="s">
        <v>8</v>
      </c>
      <c r="H5" s="147" t="s">
        <v>9</v>
      </c>
      <c r="I5" s="147" t="s">
        <v>10</v>
      </c>
      <c r="J5" s="147" t="s">
        <v>102</v>
      </c>
      <c r="K5" s="147" t="s">
        <v>54</v>
      </c>
      <c r="L5" s="147" t="s">
        <v>55</v>
      </c>
      <c r="M5" s="147" t="s">
        <v>56</v>
      </c>
      <c r="N5" s="147" t="s">
        <v>57</v>
      </c>
      <c r="O5" s="147" t="s">
        <v>58</v>
      </c>
      <c r="P5" s="148" t="s">
        <v>134</v>
      </c>
    </row>
    <row r="6" customFormat="false" ht="15" hidden="false" customHeight="true" outlineLevel="0" collapsed="false"/>
    <row r="7" customFormat="false" ht="15" hidden="false" customHeight="true" outlineLevel="0" collapsed="false">
      <c r="A7" s="107" t="s">
        <v>12</v>
      </c>
      <c r="D7" s="108" t="n">
        <f aca="false">D8+D13+D19</f>
        <v>43400</v>
      </c>
      <c r="E7" s="108" t="n">
        <f aca="false">E8+E13+E19</f>
        <v>27614</v>
      </c>
      <c r="F7" s="108" t="n">
        <f aca="false">F8+F13+F19</f>
        <v>34108</v>
      </c>
      <c r="G7" s="108" t="n">
        <f aca="false">G8+G13+G19</f>
        <v>58998</v>
      </c>
      <c r="H7" s="108" t="n">
        <f aca="false">H8+H13+H19</f>
        <v>36892</v>
      </c>
      <c r="I7" s="108" t="n">
        <f aca="false">I8+I13+I19</f>
        <v>43729</v>
      </c>
      <c r="J7" s="108" t="n">
        <f aca="false">J8+J13+J19</f>
        <v>43676</v>
      </c>
      <c r="K7" s="108" t="n">
        <f aca="false">K8+K13+K19</f>
        <v>36621</v>
      </c>
      <c r="L7" s="108" t="n">
        <f aca="false">L8+L13+L19</f>
        <v>32338</v>
      </c>
      <c r="M7" s="108" t="n">
        <f aca="false">M8+M13+M19</f>
        <v>40995</v>
      </c>
      <c r="N7" s="108" t="n">
        <f aca="false">N8+N13+N19</f>
        <v>34479</v>
      </c>
      <c r="O7" s="108" t="n">
        <f aca="false">O8+O13+O19</f>
        <v>45652</v>
      </c>
      <c r="P7" s="108" t="n">
        <f aca="false">P8+P13+P19</f>
        <v>478502</v>
      </c>
    </row>
    <row r="8" customFormat="false" ht="15" hidden="false" customHeight="true" outlineLevel="0" collapsed="false">
      <c r="B8" s="100" t="s">
        <v>13</v>
      </c>
      <c r="D8" s="109" t="n">
        <v>40566</v>
      </c>
      <c r="E8" s="109" t="n">
        <v>24635</v>
      </c>
      <c r="F8" s="109" t="n">
        <v>28465</v>
      </c>
      <c r="G8" s="109" t="n">
        <v>56525</v>
      </c>
      <c r="H8" s="109" t="n">
        <v>33857</v>
      </c>
      <c r="I8" s="109" t="n">
        <v>31906</v>
      </c>
      <c r="J8" s="109" t="n">
        <v>39881</v>
      </c>
      <c r="K8" s="109" t="n">
        <v>33371</v>
      </c>
      <c r="L8" s="109" t="n">
        <v>29274</v>
      </c>
      <c r="M8" s="109" t="n">
        <v>38411</v>
      </c>
      <c r="N8" s="109" t="n">
        <v>32773</v>
      </c>
      <c r="O8" s="109" t="n">
        <v>42022</v>
      </c>
      <c r="P8" s="109" t="n">
        <v>431686</v>
      </c>
    </row>
    <row r="9" customFormat="false" ht="15" hidden="false" customHeight="true" outlineLevel="0" collapsed="false">
      <c r="C9" s="100" t="s">
        <v>14</v>
      </c>
      <c r="D9" s="110" t="n">
        <v>35100</v>
      </c>
      <c r="E9" s="110" t="n">
        <v>18874</v>
      </c>
      <c r="F9" s="110" t="n">
        <v>21994</v>
      </c>
      <c r="G9" s="110" t="n">
        <v>50000</v>
      </c>
      <c r="H9" s="110" t="n">
        <v>25767</v>
      </c>
      <c r="I9" s="110" t="n">
        <v>24238</v>
      </c>
      <c r="J9" s="110" t="n">
        <v>31760</v>
      </c>
      <c r="K9" s="110" t="n">
        <v>25980</v>
      </c>
      <c r="L9" s="110" t="n">
        <v>21888</v>
      </c>
      <c r="M9" s="110" t="n">
        <v>30353</v>
      </c>
      <c r="N9" s="110" t="n">
        <v>24957</v>
      </c>
      <c r="O9" s="110" t="n">
        <v>30408</v>
      </c>
      <c r="P9" s="110" t="n">
        <v>341319</v>
      </c>
    </row>
    <row r="10" customFormat="false" ht="15" hidden="false" customHeight="true" outlineLevel="0" collapsed="false">
      <c r="C10" s="100" t="s">
        <v>18</v>
      </c>
      <c r="D10" s="110" t="n">
        <v>5353</v>
      </c>
      <c r="E10" s="110" t="n">
        <v>5486</v>
      </c>
      <c r="F10" s="110" t="n">
        <v>6100</v>
      </c>
      <c r="G10" s="110" t="n">
        <v>6145</v>
      </c>
      <c r="H10" s="110" t="n">
        <v>7738</v>
      </c>
      <c r="I10" s="110" t="n">
        <v>7282</v>
      </c>
      <c r="J10" s="110" t="n">
        <v>7480</v>
      </c>
      <c r="K10" s="110" t="n">
        <v>7101</v>
      </c>
      <c r="L10" s="110" t="n">
        <v>6976</v>
      </c>
      <c r="M10" s="110" t="n">
        <v>7773</v>
      </c>
      <c r="N10" s="110" t="n">
        <v>7667</v>
      </c>
      <c r="O10" s="110" t="n">
        <v>11396</v>
      </c>
      <c r="P10" s="110" t="n">
        <v>86497</v>
      </c>
    </row>
    <row r="11" customFormat="false" ht="15" hidden="false" customHeight="true" outlineLevel="0" collapsed="false">
      <c r="C11" s="100" t="s">
        <v>87</v>
      </c>
      <c r="D11" s="110" t="n">
        <v>113</v>
      </c>
      <c r="E11" s="110" t="n">
        <v>275</v>
      </c>
      <c r="F11" s="110" t="n">
        <v>371</v>
      </c>
      <c r="G11" s="110" t="n">
        <v>380</v>
      </c>
      <c r="H11" s="110" t="n">
        <v>352</v>
      </c>
      <c r="I11" s="110" t="n">
        <v>386</v>
      </c>
      <c r="J11" s="110" t="n">
        <v>641</v>
      </c>
      <c r="K11" s="110" t="n">
        <v>290</v>
      </c>
      <c r="L11" s="110" t="n">
        <v>410</v>
      </c>
      <c r="M11" s="110" t="n">
        <v>285</v>
      </c>
      <c r="N11" s="110" t="n">
        <v>149</v>
      </c>
      <c r="O11" s="110" t="n">
        <v>218</v>
      </c>
      <c r="P11" s="110" t="n">
        <v>3870</v>
      </c>
    </row>
    <row r="12" customFormat="false" ht="15" hidden="false" customHeight="true" outlineLevel="0" collapsed="false"/>
    <row r="13" customFormat="false" ht="15" hidden="false" customHeight="true" outlineLevel="0" collapsed="false">
      <c r="B13" s="100" t="s">
        <v>20</v>
      </c>
      <c r="D13" s="109" t="n">
        <v>2829</v>
      </c>
      <c r="E13" s="109" t="n">
        <v>2948</v>
      </c>
      <c r="F13" s="109" t="n">
        <v>5637</v>
      </c>
      <c r="G13" s="109" t="n">
        <v>2426</v>
      </c>
      <c r="H13" s="109" t="n">
        <v>3035</v>
      </c>
      <c r="I13" s="109" t="n">
        <v>11823</v>
      </c>
      <c r="J13" s="109" t="n">
        <v>3795</v>
      </c>
      <c r="K13" s="109" t="n">
        <v>3240</v>
      </c>
      <c r="L13" s="109" t="n">
        <v>3061</v>
      </c>
      <c r="M13" s="109" t="n">
        <v>2582</v>
      </c>
      <c r="N13" s="109" t="n">
        <v>1702</v>
      </c>
      <c r="O13" s="109" t="n">
        <v>3446</v>
      </c>
      <c r="P13" s="109" t="n">
        <v>46524</v>
      </c>
    </row>
    <row r="14" customFormat="false" ht="15" hidden="false" customHeight="true" outlineLevel="0" collapsed="false">
      <c r="C14" s="100" t="s">
        <v>21</v>
      </c>
      <c r="D14" s="110" t="n">
        <v>1721</v>
      </c>
      <c r="E14" s="110" t="n">
        <v>1402</v>
      </c>
      <c r="F14" s="110" t="n">
        <v>1797</v>
      </c>
      <c r="G14" s="110" t="n">
        <v>1683</v>
      </c>
      <c r="H14" s="110" t="n">
        <v>806</v>
      </c>
      <c r="I14" s="110" t="n">
        <v>7520</v>
      </c>
      <c r="J14" s="110" t="n">
        <v>2190</v>
      </c>
      <c r="K14" s="110" t="n">
        <v>2128</v>
      </c>
      <c r="L14" s="110" t="n">
        <v>2310</v>
      </c>
      <c r="M14" s="110" t="n">
        <v>852</v>
      </c>
      <c r="N14" s="110" t="n">
        <v>1479</v>
      </c>
      <c r="O14" s="110" t="n">
        <v>2292</v>
      </c>
      <c r="P14" s="110" t="n">
        <v>26180</v>
      </c>
    </row>
    <row r="15" customFormat="false" ht="15" hidden="false" customHeight="true" outlineLevel="0" collapsed="false">
      <c r="C15" s="100" t="s">
        <v>150</v>
      </c>
      <c r="D15" s="110" t="n">
        <v>1097</v>
      </c>
      <c r="E15" s="110" t="n">
        <v>1529</v>
      </c>
      <c r="F15" s="110" t="n">
        <v>3823</v>
      </c>
      <c r="G15" s="110" t="n">
        <v>728</v>
      </c>
      <c r="H15" s="110" t="n">
        <v>2229</v>
      </c>
      <c r="I15" s="110" t="n">
        <v>920</v>
      </c>
      <c r="J15" s="110" t="n">
        <v>1581</v>
      </c>
      <c r="K15" s="110" t="n">
        <v>1112</v>
      </c>
      <c r="L15" s="110" t="n">
        <v>745</v>
      </c>
      <c r="M15" s="110" t="n">
        <v>1718</v>
      </c>
      <c r="N15" s="110" t="n">
        <v>223</v>
      </c>
      <c r="O15" s="110" t="n">
        <v>316</v>
      </c>
      <c r="P15" s="110" t="n">
        <v>16021</v>
      </c>
    </row>
    <row r="16" customFormat="false" ht="15" hidden="false" customHeight="true" outlineLevel="0" collapsed="false">
      <c r="C16" s="100" t="s">
        <v>23</v>
      </c>
      <c r="D16" s="110" t="n">
        <v>0</v>
      </c>
      <c r="E16" s="110" t="n">
        <v>0</v>
      </c>
      <c r="F16" s="110" t="n">
        <v>0</v>
      </c>
      <c r="G16" s="110" t="n">
        <v>0</v>
      </c>
      <c r="H16" s="110" t="n">
        <v>0</v>
      </c>
      <c r="I16" s="110" t="n">
        <v>3352</v>
      </c>
      <c r="J16" s="110" t="n">
        <v>0</v>
      </c>
      <c r="K16" s="110" t="n">
        <v>0</v>
      </c>
      <c r="L16" s="110" t="n">
        <v>0</v>
      </c>
      <c r="M16" s="110" t="n">
        <v>0</v>
      </c>
      <c r="N16" s="110" t="n">
        <v>0</v>
      </c>
      <c r="O16" s="110" t="n">
        <v>831</v>
      </c>
      <c r="P16" s="110" t="n">
        <v>4183</v>
      </c>
    </row>
    <row r="17" customFormat="false" ht="15" hidden="false" customHeight="true" outlineLevel="0" collapsed="false">
      <c r="C17" s="100" t="s">
        <v>147</v>
      </c>
      <c r="D17" s="110" t="n">
        <v>11</v>
      </c>
      <c r="E17" s="110" t="n">
        <v>17</v>
      </c>
      <c r="F17" s="110" t="n">
        <v>17</v>
      </c>
      <c r="G17" s="110" t="n">
        <v>15</v>
      </c>
      <c r="H17" s="110" t="n">
        <v>0</v>
      </c>
      <c r="I17" s="110" t="n">
        <v>31</v>
      </c>
      <c r="J17" s="110" t="n">
        <v>24</v>
      </c>
      <c r="K17" s="110" t="n">
        <v>0</v>
      </c>
      <c r="L17" s="110" t="n">
        <v>6</v>
      </c>
      <c r="M17" s="110" t="n">
        <v>12</v>
      </c>
      <c r="N17" s="110" t="n">
        <v>0</v>
      </c>
      <c r="O17" s="110" t="n">
        <v>7</v>
      </c>
      <c r="P17" s="110" t="n">
        <v>140</v>
      </c>
    </row>
    <row r="18" customFormat="false" ht="15" hidden="false" customHeight="true" outlineLevel="0" collapsed="false"/>
    <row r="19" customFormat="false" ht="15" hidden="false" customHeight="true" outlineLevel="0" collapsed="false">
      <c r="B19" s="100" t="s">
        <v>26</v>
      </c>
      <c r="D19" s="110" t="n">
        <v>5</v>
      </c>
      <c r="E19" s="110" t="n">
        <v>31</v>
      </c>
      <c r="F19" s="110" t="n">
        <v>6</v>
      </c>
      <c r="G19" s="110" t="n">
        <v>47</v>
      </c>
      <c r="H19" s="110" t="n">
        <v>0</v>
      </c>
      <c r="I19" s="110" t="n">
        <v>0</v>
      </c>
      <c r="J19" s="110" t="n">
        <v>0</v>
      </c>
      <c r="K19" s="110" t="n">
        <v>10</v>
      </c>
      <c r="L19" s="110" t="n">
        <v>3</v>
      </c>
      <c r="M19" s="110" t="n">
        <v>2</v>
      </c>
      <c r="N19" s="110" t="n">
        <v>4</v>
      </c>
      <c r="O19" s="110" t="n">
        <v>184</v>
      </c>
      <c r="P19" s="110" t="n">
        <v>292</v>
      </c>
    </row>
    <row r="20" customFormat="false" ht="15" hidden="false" customHeight="true" outlineLevel="0" collapsed="false"/>
    <row r="21" customFormat="false" ht="15" hidden="false" customHeight="true" outlineLevel="0" collapsed="false">
      <c r="A21" s="107" t="s">
        <v>27</v>
      </c>
      <c r="D21" s="108" t="n">
        <v>45259</v>
      </c>
      <c r="E21" s="108" t="n">
        <v>35561</v>
      </c>
      <c r="F21" s="108" t="n">
        <v>57765</v>
      </c>
      <c r="G21" s="108" t="n">
        <v>47558</v>
      </c>
      <c r="H21" s="108" t="n">
        <v>60185</v>
      </c>
      <c r="I21" s="108" t="n">
        <v>50877</v>
      </c>
      <c r="J21" s="108" t="n">
        <v>51745</v>
      </c>
      <c r="K21" s="108" t="n">
        <v>48045</v>
      </c>
      <c r="L21" s="108" t="n">
        <v>47919</v>
      </c>
      <c r="M21" s="108" t="n">
        <v>50261</v>
      </c>
      <c r="N21" s="108" t="n">
        <v>47830</v>
      </c>
      <c r="O21" s="108" t="n">
        <v>47155</v>
      </c>
      <c r="P21" s="108" t="n">
        <v>590160</v>
      </c>
    </row>
    <row r="22" customFormat="false" ht="15" hidden="false" customHeight="true" outlineLevel="0" collapsed="false">
      <c r="B22" s="100" t="s">
        <v>15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</row>
    <row r="23" customFormat="false" ht="15" hidden="false" customHeight="true" outlineLevel="0" collapsed="false">
      <c r="C23" s="100" t="s">
        <v>28</v>
      </c>
      <c r="D23" s="110" t="n">
        <v>14053</v>
      </c>
      <c r="E23" s="110" t="n">
        <v>6628</v>
      </c>
      <c r="F23" s="110" t="n">
        <v>5636</v>
      </c>
      <c r="G23" s="110" t="n">
        <v>7476</v>
      </c>
      <c r="H23" s="110" t="n">
        <v>10267</v>
      </c>
      <c r="I23" s="110" t="n">
        <v>7808</v>
      </c>
      <c r="J23" s="110" t="n">
        <v>9196</v>
      </c>
      <c r="K23" s="110" t="n">
        <v>5670</v>
      </c>
      <c r="L23" s="110" t="n">
        <v>7926</v>
      </c>
      <c r="M23" s="110" t="n">
        <v>7774</v>
      </c>
      <c r="N23" s="110" t="n">
        <v>7562</v>
      </c>
      <c r="O23" s="110" t="n">
        <v>6405</v>
      </c>
      <c r="P23" s="110" t="n">
        <v>96401</v>
      </c>
      <c r="Q23" s="110"/>
    </row>
    <row r="24" customFormat="false" ht="15" hidden="false" customHeight="true" outlineLevel="0" collapsed="false">
      <c r="C24" s="100" t="s">
        <v>29</v>
      </c>
      <c r="D24" s="110" t="n">
        <v>6245</v>
      </c>
      <c r="E24" s="110" t="n">
        <v>7200</v>
      </c>
      <c r="F24" s="110" t="n">
        <v>12242</v>
      </c>
      <c r="G24" s="110" t="n">
        <v>9554</v>
      </c>
      <c r="H24" s="110" t="n">
        <v>6835</v>
      </c>
      <c r="I24" s="110" t="n">
        <v>8677</v>
      </c>
      <c r="J24" s="110" t="n">
        <v>6963</v>
      </c>
      <c r="K24" s="110" t="n">
        <v>8226</v>
      </c>
      <c r="L24" s="110" t="n">
        <v>12215</v>
      </c>
      <c r="M24" s="110" t="n">
        <v>11993</v>
      </c>
      <c r="N24" s="110" t="n">
        <v>6283</v>
      </c>
      <c r="O24" s="110" t="n">
        <v>9857</v>
      </c>
      <c r="P24" s="110" t="n">
        <v>106290</v>
      </c>
      <c r="Q24" s="110"/>
    </row>
    <row r="25" customFormat="false" ht="15" hidden="false" customHeight="true" outlineLevel="0" collapsed="false">
      <c r="C25" s="100" t="s">
        <v>30</v>
      </c>
      <c r="D25" s="110" t="n">
        <v>0</v>
      </c>
      <c r="E25" s="110" t="n">
        <v>0</v>
      </c>
      <c r="F25" s="110" t="n">
        <v>0</v>
      </c>
      <c r="G25" s="110" t="n">
        <v>560</v>
      </c>
      <c r="H25" s="110" t="n">
        <v>1392</v>
      </c>
      <c r="I25" s="110" t="n">
        <v>650</v>
      </c>
      <c r="J25" s="110" t="n">
        <v>99</v>
      </c>
      <c r="K25" s="110" t="n">
        <v>2</v>
      </c>
      <c r="L25" s="110" t="n">
        <v>58</v>
      </c>
      <c r="M25" s="110" t="n">
        <v>1</v>
      </c>
      <c r="N25" s="110" t="n">
        <v>27</v>
      </c>
      <c r="O25" s="110" t="n">
        <v>3429</v>
      </c>
      <c r="P25" s="110" t="n">
        <v>6218</v>
      </c>
    </row>
    <row r="26" customFormat="false" ht="15" hidden="false" customHeight="true" outlineLevel="0" collapsed="false">
      <c r="C26" s="100" t="s">
        <v>77</v>
      </c>
      <c r="D26" s="110" t="n">
        <v>356</v>
      </c>
      <c r="E26" s="110" t="n">
        <v>108</v>
      </c>
      <c r="F26" s="110" t="n">
        <v>291</v>
      </c>
      <c r="G26" s="110" t="n">
        <v>1236</v>
      </c>
      <c r="H26" s="110" t="n">
        <v>1060</v>
      </c>
      <c r="I26" s="110" t="n">
        <v>304</v>
      </c>
      <c r="J26" s="110" t="n">
        <v>629</v>
      </c>
      <c r="K26" s="110" t="n">
        <v>385</v>
      </c>
      <c r="L26" s="110" t="n">
        <v>188</v>
      </c>
      <c r="M26" s="110" t="n">
        <v>1020</v>
      </c>
      <c r="N26" s="110" t="n">
        <v>501</v>
      </c>
      <c r="O26" s="110" t="n">
        <v>687</v>
      </c>
      <c r="P26" s="110" t="n">
        <v>6765</v>
      </c>
    </row>
    <row r="27" customFormat="false" ht="15" hidden="false" customHeight="true" outlineLevel="0" collapsed="false">
      <c r="C27" s="100" t="s">
        <v>32</v>
      </c>
      <c r="D27" s="110" t="n">
        <v>0</v>
      </c>
      <c r="E27" s="110" t="n">
        <v>0</v>
      </c>
      <c r="F27" s="110" t="n">
        <v>10</v>
      </c>
      <c r="G27" s="110" t="n">
        <v>128</v>
      </c>
      <c r="H27" s="110" t="n">
        <v>480</v>
      </c>
      <c r="I27" s="110" t="n">
        <v>620</v>
      </c>
      <c r="J27" s="110" t="n">
        <v>243</v>
      </c>
      <c r="K27" s="110" t="n">
        <v>10</v>
      </c>
      <c r="L27" s="110" t="n">
        <v>0</v>
      </c>
      <c r="M27" s="110" t="n">
        <v>20</v>
      </c>
      <c r="N27" s="110" t="n">
        <v>0</v>
      </c>
      <c r="O27" s="110" t="n">
        <v>21</v>
      </c>
      <c r="P27" s="110" t="n">
        <v>1532</v>
      </c>
    </row>
    <row r="28" customFormat="false" ht="15" hidden="false" customHeight="true" outlineLevel="0" collapsed="false">
      <c r="C28" s="100" t="s">
        <v>78</v>
      </c>
      <c r="D28" s="110" t="n">
        <v>-341</v>
      </c>
      <c r="E28" s="110" t="n">
        <v>115</v>
      </c>
      <c r="F28" s="110" t="n">
        <v>5895</v>
      </c>
      <c r="G28" s="110" t="n">
        <v>-236</v>
      </c>
      <c r="H28" s="110" t="n">
        <v>-191</v>
      </c>
      <c r="I28" s="110" t="n">
        <v>1219</v>
      </c>
      <c r="J28" s="110" t="n">
        <v>1678</v>
      </c>
      <c r="K28" s="110" t="n">
        <v>115</v>
      </c>
      <c r="L28" s="110" t="n">
        <v>464</v>
      </c>
      <c r="M28" s="110" t="n">
        <v>-70</v>
      </c>
      <c r="N28" s="110" t="n">
        <v>169</v>
      </c>
      <c r="O28" s="110" t="n">
        <v>-5624</v>
      </c>
      <c r="P28" s="110" t="n">
        <v>3193</v>
      </c>
    </row>
    <row r="29" customFormat="false" ht="15" hidden="false" customHeight="true" outlineLevel="0" collapsed="false"/>
    <row r="30" customFormat="false" ht="15" hidden="false" customHeight="true" outlineLevel="0" collapsed="false">
      <c r="A30" s="107" t="s">
        <v>137</v>
      </c>
      <c r="B30" s="107"/>
      <c r="C30" s="107"/>
      <c r="D30" s="112" t="n">
        <f aca="false">+D7-D21</f>
        <v>-1859</v>
      </c>
      <c r="E30" s="112" t="n">
        <f aca="false">+E7-E21</f>
        <v>-7947</v>
      </c>
      <c r="F30" s="112" t="n">
        <f aca="false">+F7-F21</f>
        <v>-23657</v>
      </c>
      <c r="G30" s="112" t="n">
        <f aca="false">+G7-G21</f>
        <v>11440</v>
      </c>
      <c r="H30" s="112" t="n">
        <f aca="false">+H7-H21</f>
        <v>-23293</v>
      </c>
      <c r="I30" s="112" t="n">
        <f aca="false">+I7-I21</f>
        <v>-7148</v>
      </c>
      <c r="J30" s="112" t="n">
        <f aca="false">+J7-J21</f>
        <v>-8069</v>
      </c>
      <c r="K30" s="112" t="n">
        <f aca="false">+K7-K21</f>
        <v>-11424</v>
      </c>
      <c r="L30" s="112" t="n">
        <f aca="false">+L7-L21</f>
        <v>-15581</v>
      </c>
      <c r="M30" s="112" t="n">
        <f aca="false">+M7-M21</f>
        <v>-9266</v>
      </c>
      <c r="N30" s="112" t="n">
        <f aca="false">+N7-N21</f>
        <v>-13351</v>
      </c>
      <c r="O30" s="112" t="n">
        <f aca="false">+O7-O21</f>
        <v>-1503</v>
      </c>
      <c r="P30" s="112" t="n">
        <f aca="false">SUM(D30:O30)</f>
        <v>-111658</v>
      </c>
    </row>
    <row r="31" customFormat="false" ht="15" hidden="false" customHeight="true" outlineLevel="0" collapsed="false"/>
    <row r="32" customFormat="false" ht="15" hidden="false" customHeight="true" outlineLevel="0" collapsed="false">
      <c r="A32" s="107" t="s">
        <v>36</v>
      </c>
      <c r="B32" s="107"/>
      <c r="C32" s="107"/>
      <c r="D32" s="108" t="n">
        <v>50412</v>
      </c>
      <c r="E32" s="108" t="n">
        <v>21489</v>
      </c>
      <c r="F32" s="108" t="n">
        <v>39566</v>
      </c>
      <c r="G32" s="108" t="n">
        <v>17863</v>
      </c>
      <c r="H32" s="108" t="n">
        <v>-9751</v>
      </c>
      <c r="I32" s="108" t="n">
        <v>3167</v>
      </c>
      <c r="J32" s="108" t="n">
        <v>1876</v>
      </c>
      <c r="K32" s="108" t="n">
        <v>-18440</v>
      </c>
      <c r="L32" s="108" t="n">
        <v>23720</v>
      </c>
      <c r="M32" s="108" t="n">
        <v>28282</v>
      </c>
      <c r="N32" s="108" t="n">
        <v>-4170</v>
      </c>
      <c r="O32" s="108" t="n">
        <v>27684</v>
      </c>
      <c r="P32" s="108" t="n">
        <v>181698</v>
      </c>
    </row>
    <row r="33" customFormat="false" ht="15" hidden="false" customHeight="true" outlineLevel="0" collapsed="false">
      <c r="B33" s="100" t="s">
        <v>37</v>
      </c>
      <c r="D33" s="109" t="n">
        <v>36283</v>
      </c>
      <c r="E33" s="109" t="n">
        <v>6113</v>
      </c>
      <c r="F33" s="109" t="n">
        <v>22451</v>
      </c>
      <c r="G33" s="109" t="n">
        <v>7658</v>
      </c>
      <c r="H33" s="109" t="n">
        <v>-1565</v>
      </c>
      <c r="I33" s="109" t="n">
        <v>-3896</v>
      </c>
      <c r="J33" s="109" t="n">
        <v>-1107</v>
      </c>
      <c r="K33" s="109" t="n">
        <v>-649</v>
      </c>
      <c r="L33" s="109" t="n">
        <v>-676</v>
      </c>
      <c r="M33" s="109" t="n">
        <v>11232</v>
      </c>
      <c r="N33" s="109" t="n">
        <v>-3713</v>
      </c>
      <c r="O33" s="109" t="n">
        <v>10669</v>
      </c>
      <c r="P33" s="109" t="n">
        <v>82800</v>
      </c>
    </row>
    <row r="34" customFormat="false" ht="15" hidden="false" customHeight="true" outlineLevel="0" collapsed="false">
      <c r="A34" s="100" t="s">
        <v>59</v>
      </c>
      <c r="C34" s="100" t="s">
        <v>38</v>
      </c>
      <c r="D34" s="110" t="n">
        <v>38840</v>
      </c>
      <c r="E34" s="110" t="n">
        <v>7867</v>
      </c>
      <c r="F34" s="110" t="n">
        <v>24579</v>
      </c>
      <c r="G34" s="110" t="n">
        <v>9151</v>
      </c>
      <c r="H34" s="110" t="n">
        <v>3382</v>
      </c>
      <c r="I34" s="110" t="n">
        <v>1006</v>
      </c>
      <c r="J34" s="110" t="n">
        <v>549</v>
      </c>
      <c r="K34" s="110" t="n">
        <v>925</v>
      </c>
      <c r="L34" s="110" t="n">
        <v>1384</v>
      </c>
      <c r="M34" s="110" t="n">
        <v>14063</v>
      </c>
      <c r="N34" s="110" t="n">
        <v>909</v>
      </c>
      <c r="O34" s="110" t="n">
        <v>17699</v>
      </c>
      <c r="P34" s="110" t="n">
        <v>120354</v>
      </c>
    </row>
    <row r="35" customFormat="false" ht="15" hidden="false" customHeight="true" outlineLevel="0" collapsed="false">
      <c r="C35" s="100" t="s">
        <v>39</v>
      </c>
      <c r="D35" s="110" t="n">
        <v>2557</v>
      </c>
      <c r="E35" s="110" t="n">
        <v>1754</v>
      </c>
      <c r="F35" s="110" t="n">
        <v>2128</v>
      </c>
      <c r="G35" s="110" t="n">
        <v>1493</v>
      </c>
      <c r="H35" s="110" t="n">
        <v>4947</v>
      </c>
      <c r="I35" s="110" t="n">
        <v>4902</v>
      </c>
      <c r="J35" s="110" t="n">
        <v>1656</v>
      </c>
      <c r="K35" s="110" t="n">
        <v>1574</v>
      </c>
      <c r="L35" s="110" t="n">
        <v>2060</v>
      </c>
      <c r="M35" s="110" t="n">
        <v>2831</v>
      </c>
      <c r="N35" s="110" t="n">
        <v>4622</v>
      </c>
      <c r="O35" s="110" t="n">
        <v>7030</v>
      </c>
      <c r="P35" s="110" t="n">
        <v>37554</v>
      </c>
    </row>
    <row r="36" customFormat="false" ht="15" hidden="false" customHeight="true" outlineLevel="0" collapsed="false"/>
    <row r="37" customFormat="false" ht="15" hidden="false" customHeight="true" outlineLevel="0" collapsed="false">
      <c r="B37" s="100" t="s">
        <v>40</v>
      </c>
      <c r="D37" s="109" t="n">
        <v>14129</v>
      </c>
      <c r="E37" s="109" t="n">
        <v>15376</v>
      </c>
      <c r="F37" s="109" t="n">
        <v>17115</v>
      </c>
      <c r="G37" s="109" t="n">
        <v>10205</v>
      </c>
      <c r="H37" s="109" t="n">
        <v>-8186</v>
      </c>
      <c r="I37" s="109" t="n">
        <v>7063</v>
      </c>
      <c r="J37" s="109" t="n">
        <v>2983</v>
      </c>
      <c r="K37" s="109" t="n">
        <v>-17791</v>
      </c>
      <c r="L37" s="109" t="n">
        <v>24396</v>
      </c>
      <c r="M37" s="109" t="n">
        <v>17050</v>
      </c>
      <c r="N37" s="109" t="n">
        <v>-457</v>
      </c>
      <c r="O37" s="109" t="n">
        <v>17015</v>
      </c>
      <c r="P37" s="109" t="n">
        <v>98898</v>
      </c>
    </row>
    <row r="38" customFormat="false" ht="15" hidden="false" customHeight="true" outlineLevel="0" collapsed="false">
      <c r="C38" s="100" t="s">
        <v>41</v>
      </c>
      <c r="D38" s="110" t="n">
        <v>15157</v>
      </c>
      <c r="E38" s="110" t="n">
        <v>17061</v>
      </c>
      <c r="F38" s="110" t="n">
        <v>22175</v>
      </c>
      <c r="G38" s="110" t="n">
        <v>11006</v>
      </c>
      <c r="H38" s="110" t="n">
        <v>-7283</v>
      </c>
      <c r="I38" s="110" t="n">
        <v>35367</v>
      </c>
      <c r="J38" s="110" t="n">
        <v>4603</v>
      </c>
      <c r="K38" s="110" t="n">
        <v>-16648</v>
      </c>
      <c r="L38" s="110" t="n">
        <v>26858</v>
      </c>
      <c r="M38" s="110" t="n">
        <v>18208</v>
      </c>
      <c r="N38" s="110" t="n">
        <v>1966</v>
      </c>
      <c r="O38" s="110" t="n">
        <v>31980</v>
      </c>
      <c r="P38" s="110" t="n">
        <v>160450</v>
      </c>
    </row>
    <row r="39" customFormat="false" ht="15" hidden="false" customHeight="true" outlineLevel="0" collapsed="false">
      <c r="C39" s="100" t="s">
        <v>39</v>
      </c>
      <c r="D39" s="110" t="n">
        <v>1028</v>
      </c>
      <c r="E39" s="110" t="n">
        <v>1685</v>
      </c>
      <c r="F39" s="110" t="n">
        <v>5060</v>
      </c>
      <c r="G39" s="110" t="n">
        <v>801</v>
      </c>
      <c r="H39" s="110" t="n">
        <v>903</v>
      </c>
      <c r="I39" s="110" t="n">
        <v>28304</v>
      </c>
      <c r="J39" s="110" t="n">
        <v>1620</v>
      </c>
      <c r="K39" s="110" t="n">
        <v>1143</v>
      </c>
      <c r="L39" s="110" t="n">
        <v>2462</v>
      </c>
      <c r="M39" s="110" t="n">
        <v>1158</v>
      </c>
      <c r="N39" s="110" t="n">
        <v>2423</v>
      </c>
      <c r="O39" s="110" t="n">
        <v>14965</v>
      </c>
      <c r="P39" s="110" t="n">
        <v>61552</v>
      </c>
    </row>
    <row r="40" customFormat="false" ht="15" hidden="false" customHeight="true" outlineLevel="0" collapsed="false"/>
    <row r="41" s="107" customFormat="true" ht="15" hidden="false" customHeight="true" outlineLevel="0" collapsed="false">
      <c r="A41" s="107" t="s">
        <v>45</v>
      </c>
      <c r="D41" s="108" t="n">
        <v>26940</v>
      </c>
      <c r="E41" s="108" t="n">
        <v>26992</v>
      </c>
      <c r="F41" s="108" t="n">
        <v>13586</v>
      </c>
      <c r="G41" s="108" t="n">
        <v>24253</v>
      </c>
      <c r="H41" s="108" t="n">
        <v>-35443</v>
      </c>
      <c r="I41" s="108" t="n">
        <v>-2509</v>
      </c>
      <c r="J41" s="108" t="n">
        <v>-8047</v>
      </c>
      <c r="K41" s="108" t="n">
        <v>-30022</v>
      </c>
      <c r="L41" s="108" t="n">
        <v>-6626</v>
      </c>
      <c r="M41" s="108" t="n">
        <v>26836</v>
      </c>
      <c r="N41" s="108" t="n">
        <v>-22377</v>
      </c>
      <c r="O41" s="108" t="n">
        <v>25401</v>
      </c>
      <c r="P41" s="108" t="n">
        <v>38984</v>
      </c>
      <c r="Q41" s="112"/>
    </row>
    <row r="42" customFormat="false" ht="15" hidden="false" customHeight="false" outlineLevel="0" collapsed="false">
      <c r="A42" s="113"/>
      <c r="B42" s="113"/>
      <c r="C42" s="113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</row>
    <row r="43" customFormat="false" ht="15" hidden="false" customHeight="false" outlineLevel="0" collapsed="false">
      <c r="A43" s="31"/>
    </row>
    <row r="44" customFormat="false" ht="14.25" hidden="false" customHeight="false" outlineLevel="0" collapsed="false">
      <c r="A44" s="31"/>
    </row>
    <row r="46" s="100" customFormat="true" ht="14.25" hidden="false" customHeight="false" outlineLevel="0" collapsed="false"/>
    <row r="47" customFormat="false" ht="14.25" hidden="false" customHeight="false" outlineLevel="0" collapsed="false">
      <c r="A47" s="31" t="s">
        <v>139</v>
      </c>
      <c r="C47" s="110"/>
      <c r="E47" s="100"/>
      <c r="F47" s="149"/>
      <c r="G47" s="149"/>
    </row>
    <row r="48" customFormat="false" ht="14.25" hidden="false" customHeight="false" outlineLevel="0" collapsed="false">
      <c r="A48" s="31" t="s">
        <v>151</v>
      </c>
      <c r="E48" s="100"/>
      <c r="F48" s="100"/>
      <c r="G48" s="100"/>
    </row>
    <row r="49" customFormat="false" ht="14.25" hidden="false" customHeight="false" outlineLevel="0" collapsed="false">
      <c r="A49" s="31"/>
      <c r="B49" s="31"/>
      <c r="C49" s="31"/>
      <c r="D49" s="150"/>
    </row>
    <row r="50" customFormat="false" ht="14.25" hidden="false" customHeight="false" outlineLevel="0" collapsed="false">
      <c r="A50" s="31"/>
      <c r="B50" s="31"/>
      <c r="C50" s="31"/>
      <c r="D50" s="150"/>
    </row>
    <row r="51" customFormat="false" ht="14.25" hidden="false" customHeight="false" outlineLevel="0" collapsed="false">
      <c r="A51" s="31"/>
      <c r="B51" s="31"/>
      <c r="C51" s="31"/>
      <c r="D51" s="150"/>
    </row>
    <row r="52" customFormat="false" ht="14.25" hidden="false" customHeight="false" outlineLevel="0" collapsed="false">
      <c r="A52" s="31"/>
      <c r="B52" s="31"/>
      <c r="C52" s="31"/>
      <c r="D52" s="150"/>
    </row>
    <row r="53" customFormat="false" ht="14.25" hidden="false" customHeight="false" outlineLevel="0" collapsed="false">
      <c r="A53" s="31"/>
      <c r="B53" s="31"/>
      <c r="C53" s="31"/>
      <c r="D53" s="150"/>
    </row>
  </sheetData>
  <mergeCells count="1">
    <mergeCell ref="A5:C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40" activeCellId="0" sqref="R40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1.15"/>
    <col collapsed="false" customWidth="true" hidden="false" outlineLevel="0" max="18" min="6" style="1" width="12.57"/>
    <col collapsed="false" customWidth="true" hidden="false" outlineLevel="0" max="19" min="19" style="1" width="9.85"/>
    <col collapsed="false" customWidth="false" hidden="false" outlineLevel="0" max="1024" min="20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69"/>
    </row>
    <row r="2" customFormat="false" ht="15" hidden="false" customHeight="false" outlineLevel="0" collapsed="false">
      <c r="A2" s="2" t="s">
        <v>73</v>
      </c>
      <c r="B2" s="2"/>
      <c r="C2" s="2"/>
      <c r="D2" s="2"/>
      <c r="E2" s="2"/>
      <c r="F2" s="69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70"/>
    </row>
    <row r="4" customFormat="false" ht="14.25" hidden="false" customHeight="false" outlineLevel="0" collapsed="false">
      <c r="A4" s="4" t="s">
        <v>3</v>
      </c>
      <c r="B4" s="3"/>
      <c r="F4" s="70"/>
    </row>
    <row r="5" customFormat="false" ht="6" hidden="false" customHeight="true" outlineLevel="0" collapsed="false">
      <c r="F5" s="70"/>
    </row>
    <row r="6" s="6" customFormat="true" ht="19.5" hidden="false" customHeight="true" outlineLevel="0" collapsed="false">
      <c r="A6" s="5" t="s">
        <v>4</v>
      </c>
      <c r="B6" s="5"/>
      <c r="C6" s="5"/>
      <c r="D6" s="5"/>
      <c r="E6" s="5"/>
      <c r="F6" s="5" t="s">
        <v>5</v>
      </c>
      <c r="G6" s="5" t="s">
        <v>6</v>
      </c>
      <c r="H6" s="5" t="s">
        <v>74</v>
      </c>
      <c r="I6" s="5" t="s">
        <v>8</v>
      </c>
      <c r="J6" s="5" t="s">
        <v>9</v>
      </c>
      <c r="K6" s="5" t="s">
        <v>10</v>
      </c>
      <c r="L6" s="5" t="s">
        <v>53</v>
      </c>
      <c r="M6" s="5" t="s">
        <v>54</v>
      </c>
      <c r="N6" s="5" t="s">
        <v>64</v>
      </c>
      <c r="O6" s="5" t="s">
        <v>56</v>
      </c>
      <c r="P6" s="5" t="s">
        <v>57</v>
      </c>
      <c r="Q6" s="5" t="s">
        <v>58</v>
      </c>
      <c r="R6" s="5" t="s">
        <v>11</v>
      </c>
    </row>
    <row r="7" customFormat="false" ht="15" hidden="false" customHeight="false" outlineLevel="0" collapsed="false"/>
    <row r="8" customFormat="false" ht="15" hidden="false" customHeight="false" outlineLevel="0" collapsed="false">
      <c r="B8" s="7" t="s">
        <v>12</v>
      </c>
      <c r="C8" s="7"/>
      <c r="D8" s="7"/>
      <c r="E8" s="7"/>
      <c r="F8" s="34" t="n">
        <f aca="false">F9+F19+F26</f>
        <v>294638</v>
      </c>
      <c r="G8" s="34" t="n">
        <f aca="false">G9+G19+G26</f>
        <v>206835</v>
      </c>
      <c r="H8" s="34" t="n">
        <f aca="false">H9+H19+H26</f>
        <v>261599</v>
      </c>
      <c r="I8" s="34" t="n">
        <f aca="false">I9+I19+I26</f>
        <v>187776</v>
      </c>
      <c r="J8" s="34" t="n">
        <f aca="false">J9+J19+J26</f>
        <v>151493</v>
      </c>
      <c r="K8" s="34" t="n">
        <f aca="false">K9+K19+K26</f>
        <v>350977</v>
      </c>
      <c r="L8" s="34" t="n">
        <f aca="false">L9+L19+L26</f>
        <v>234468</v>
      </c>
      <c r="M8" s="34" t="n">
        <f aca="false">M9+M19+M26</f>
        <v>243232</v>
      </c>
      <c r="N8" s="34" t="n">
        <f aca="false">N9+N19+N26</f>
        <v>212414.83</v>
      </c>
      <c r="O8" s="34" t="n">
        <f aca="false">O9+O19+O26</f>
        <v>228206</v>
      </c>
      <c r="P8" s="34" t="n">
        <f aca="false">P9+P19+P26</f>
        <v>245772</v>
      </c>
      <c r="Q8" s="34" t="n">
        <f aca="false">Q9+Q19+Q26</f>
        <v>238548</v>
      </c>
      <c r="R8" s="34" t="n">
        <f aca="false">R9+R19+R26</f>
        <v>2855958.83</v>
      </c>
    </row>
    <row r="9" customFormat="false" ht="14.25" hidden="false" customHeight="false" outlineLevel="0" collapsed="false">
      <c r="C9" s="1" t="s">
        <v>13</v>
      </c>
      <c r="F9" s="39" t="n">
        <f aca="false">F10+F14+F17</f>
        <v>253758</v>
      </c>
      <c r="G9" s="39" t="n">
        <f aca="false">G10+G14+G17</f>
        <v>189410</v>
      </c>
      <c r="H9" s="39" t="n">
        <f aca="false">H10+H14+H17</f>
        <v>177487</v>
      </c>
      <c r="I9" s="39" t="n">
        <f aca="false">I10+I14+I17</f>
        <v>124934</v>
      </c>
      <c r="J9" s="39" t="n">
        <f aca="false">J10+J14+J17</f>
        <v>145515</v>
      </c>
      <c r="K9" s="39" t="n">
        <f aca="false">K10+K14+K17</f>
        <v>326559</v>
      </c>
      <c r="L9" s="39" t="n">
        <f aca="false">L10+L14+L17</f>
        <v>210384</v>
      </c>
      <c r="M9" s="39" t="n">
        <f aca="false">M10+M14+M17</f>
        <v>233381</v>
      </c>
      <c r="N9" s="39" t="n">
        <f aca="false">N10+N14+N17</f>
        <v>192776</v>
      </c>
      <c r="O9" s="39" t="n">
        <f aca="false">O10+O14+O17</f>
        <v>204331</v>
      </c>
      <c r="P9" s="39" t="n">
        <f aca="false">P10+P14+P17</f>
        <v>236537</v>
      </c>
      <c r="Q9" s="39" t="n">
        <f aca="false">Q10+Q14+Q17</f>
        <v>209349</v>
      </c>
      <c r="R9" s="39" t="n">
        <f aca="false">R10+R14+R17</f>
        <v>2504421</v>
      </c>
    </row>
    <row r="10" customFormat="false" ht="14.25" hidden="false" customHeight="false" outlineLevel="0" collapsed="false">
      <c r="D10" s="1" t="s">
        <v>14</v>
      </c>
      <c r="F10" s="71" t="n">
        <v>194889</v>
      </c>
      <c r="G10" s="71" t="n">
        <v>142216</v>
      </c>
      <c r="H10" s="71" t="n">
        <v>131687</v>
      </c>
      <c r="I10" s="71" t="n">
        <v>90505</v>
      </c>
      <c r="J10" s="71" t="n">
        <v>114434</v>
      </c>
      <c r="K10" s="71" t="n">
        <v>282666</v>
      </c>
      <c r="L10" s="71" t="n">
        <v>158991</v>
      </c>
      <c r="M10" s="71" t="n">
        <v>187932</v>
      </c>
      <c r="N10" s="71" t="n">
        <v>140605</v>
      </c>
      <c r="O10" s="71" t="n">
        <v>152072</v>
      </c>
      <c r="P10" s="71" t="n">
        <v>191672</v>
      </c>
      <c r="Q10" s="71" t="n">
        <v>163354</v>
      </c>
      <c r="R10" s="35" t="n">
        <f aca="false">SUM(F10:Q10)</f>
        <v>1951023</v>
      </c>
    </row>
    <row r="11" customFormat="false" ht="14.25" hidden="false" customHeight="false" outlineLevel="0" collapsed="false">
      <c r="E11" s="6" t="s">
        <v>15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customFormat="false" ht="14.25" hidden="false" customHeight="false" outlineLevel="0" collapsed="false">
      <c r="E12" s="1" t="s">
        <v>16</v>
      </c>
      <c r="F12" s="35" t="n">
        <v>474</v>
      </c>
      <c r="G12" s="35" t="n">
        <v>708</v>
      </c>
      <c r="H12" s="35" t="n">
        <v>67</v>
      </c>
      <c r="I12" s="35" t="n">
        <v>0</v>
      </c>
      <c r="J12" s="35" t="n">
        <v>3368</v>
      </c>
      <c r="K12" s="72" t="n">
        <v>0</v>
      </c>
      <c r="L12" s="72" t="n">
        <v>3710</v>
      </c>
      <c r="M12" s="72" t="n">
        <v>4366</v>
      </c>
      <c r="N12" s="72" t="n">
        <v>0</v>
      </c>
      <c r="O12" s="72" t="n">
        <v>0</v>
      </c>
      <c r="P12" s="72" t="n">
        <v>2234</v>
      </c>
      <c r="Q12" s="72" t="n">
        <v>5590</v>
      </c>
      <c r="R12" s="35" t="n">
        <f aca="false">SUM(F12:Q12)</f>
        <v>20517</v>
      </c>
    </row>
    <row r="13" customFormat="false" ht="14.25" hidden="false" customHeight="false" outlineLevel="0" collapsed="false">
      <c r="E13" s="1" t="s">
        <v>17</v>
      </c>
      <c r="F13" s="35" t="n">
        <v>0</v>
      </c>
      <c r="G13" s="35" t="n">
        <v>0</v>
      </c>
      <c r="H13" s="35" t="n">
        <v>0</v>
      </c>
      <c r="I13" s="35" t="n">
        <v>0</v>
      </c>
      <c r="J13" s="35" t="n">
        <v>0</v>
      </c>
      <c r="K13" s="36" t="n">
        <v>68</v>
      </c>
      <c r="L13" s="36" t="n">
        <v>0</v>
      </c>
      <c r="M13" s="36" t="n">
        <v>1115</v>
      </c>
      <c r="N13" s="36" t="n">
        <v>3637</v>
      </c>
      <c r="O13" s="36" t="n">
        <v>62</v>
      </c>
      <c r="P13" s="36" t="n">
        <v>455</v>
      </c>
      <c r="Q13" s="36" t="n">
        <v>3088</v>
      </c>
      <c r="R13" s="35" t="n">
        <f aca="false">SUM(F13:Q13)</f>
        <v>8425</v>
      </c>
    </row>
    <row r="14" customFormat="false" ht="14.25" hidden="false" customHeight="false" outlineLevel="0" collapsed="false">
      <c r="D14" s="1" t="s">
        <v>18</v>
      </c>
      <c r="F14" s="35" t="n">
        <v>55879</v>
      </c>
      <c r="G14" s="35" t="n">
        <v>44787</v>
      </c>
      <c r="H14" s="35" t="n">
        <v>44648</v>
      </c>
      <c r="I14" s="35" t="n">
        <v>34425</v>
      </c>
      <c r="J14" s="71" t="n">
        <v>30761</v>
      </c>
      <c r="K14" s="71" t="n">
        <v>42591</v>
      </c>
      <c r="L14" s="71" t="n">
        <v>49816</v>
      </c>
      <c r="M14" s="71" t="n">
        <v>44380</v>
      </c>
      <c r="N14" s="71" t="n">
        <v>50753</v>
      </c>
      <c r="O14" s="71" t="n">
        <v>50592</v>
      </c>
      <c r="P14" s="71" t="n">
        <v>43712</v>
      </c>
      <c r="Q14" s="71" t="n">
        <v>45343</v>
      </c>
      <c r="R14" s="35" t="n">
        <f aca="false">SUM(F14:Q14)</f>
        <v>537687</v>
      </c>
    </row>
    <row r="15" customFormat="false" ht="14.25" hidden="false" customHeight="false" outlineLevel="0" collapsed="false">
      <c r="E15" s="6" t="s">
        <v>15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customFormat="false" ht="14.25" hidden="false" customHeight="false" outlineLevel="0" collapsed="false">
      <c r="E16" s="1" t="s">
        <v>17</v>
      </c>
      <c r="F16" s="35" t="n">
        <v>58</v>
      </c>
      <c r="G16" s="35" t="n">
        <v>455</v>
      </c>
      <c r="H16" s="35" t="n">
        <v>209</v>
      </c>
      <c r="I16" s="35" t="n">
        <v>43</v>
      </c>
      <c r="J16" s="35" t="n">
        <v>384</v>
      </c>
      <c r="K16" s="35" t="n">
        <v>617</v>
      </c>
      <c r="L16" s="35" t="n">
        <v>103</v>
      </c>
      <c r="M16" s="35" t="n">
        <v>357</v>
      </c>
      <c r="N16" s="35" t="n">
        <v>0</v>
      </c>
      <c r="O16" s="35" t="n">
        <v>1370</v>
      </c>
      <c r="P16" s="35" t="n">
        <v>17</v>
      </c>
      <c r="Q16" s="35" t="n">
        <v>514</v>
      </c>
      <c r="R16" s="35" t="n">
        <f aca="false">SUM(F16:Q16)</f>
        <v>4127</v>
      </c>
    </row>
    <row r="17" customFormat="false" ht="14.25" hidden="false" customHeight="false" outlineLevel="0" collapsed="false">
      <c r="D17" s="1" t="s">
        <v>75</v>
      </c>
      <c r="F17" s="35" t="n">
        <v>2990</v>
      </c>
      <c r="G17" s="35" t="n">
        <v>2407</v>
      </c>
      <c r="H17" s="35" t="n">
        <v>1152</v>
      </c>
      <c r="I17" s="35" t="n">
        <v>4</v>
      </c>
      <c r="J17" s="35" t="n">
        <v>320</v>
      </c>
      <c r="K17" s="35" t="n">
        <v>1302</v>
      </c>
      <c r="L17" s="35" t="n">
        <v>1577</v>
      </c>
      <c r="M17" s="35" t="n">
        <v>1069</v>
      </c>
      <c r="N17" s="35" t="n">
        <v>1418</v>
      </c>
      <c r="O17" s="35" t="n">
        <v>1667</v>
      </c>
      <c r="P17" s="35" t="n">
        <v>1153</v>
      </c>
      <c r="Q17" s="35" t="n">
        <v>652</v>
      </c>
      <c r="R17" s="35" t="n">
        <f aca="false">SUM(F17:Q17)</f>
        <v>15711</v>
      </c>
    </row>
    <row r="18" customFormat="false" ht="14.25" hidden="false" customHeight="false" outlineLevel="0" collapsed="false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 t="s">
        <v>59</v>
      </c>
    </row>
    <row r="19" customFormat="false" ht="14.25" hidden="false" customHeight="false" outlineLevel="0" collapsed="false">
      <c r="C19" s="1" t="s">
        <v>20</v>
      </c>
      <c r="F19" s="39" t="n">
        <f aca="false">SUM(F20:F24)</f>
        <v>40878</v>
      </c>
      <c r="G19" s="39" t="n">
        <f aca="false">SUM(G20:G24)</f>
        <v>17383</v>
      </c>
      <c r="H19" s="39" t="n">
        <f aca="false">SUM(H20:H24)</f>
        <v>84112</v>
      </c>
      <c r="I19" s="39" t="n">
        <f aca="false">SUM(I20:I24)</f>
        <v>62842</v>
      </c>
      <c r="J19" s="39" t="n">
        <f aca="false">SUM(J20:J24)</f>
        <v>5978</v>
      </c>
      <c r="K19" s="39" t="n">
        <f aca="false">SUM(K20:K24)</f>
        <v>24417</v>
      </c>
      <c r="L19" s="39" t="n">
        <f aca="false">SUM(L20:L24)</f>
        <v>24006</v>
      </c>
      <c r="M19" s="39" t="n">
        <f aca="false">SUM(M20:M24)</f>
        <v>9749</v>
      </c>
      <c r="N19" s="39" t="n">
        <f aca="false">SUM(N20:N24)</f>
        <v>19638</v>
      </c>
      <c r="O19" s="39" t="n">
        <f aca="false">SUM(O20:O24)</f>
        <v>23871</v>
      </c>
      <c r="P19" s="39" t="n">
        <f aca="false">SUM(P20:P24)</f>
        <v>9225</v>
      </c>
      <c r="Q19" s="39" t="n">
        <f aca="false">SUM(Q20:Q24)</f>
        <v>29198</v>
      </c>
      <c r="R19" s="39" t="n">
        <f aca="false">SUM(R20:R24)</f>
        <v>351297</v>
      </c>
    </row>
    <row r="20" customFormat="false" ht="14.25" hidden="false" customHeight="false" outlineLevel="0" collapsed="false">
      <c r="D20" s="1" t="s">
        <v>21</v>
      </c>
      <c r="F20" s="35" t="n">
        <v>28391</v>
      </c>
      <c r="G20" s="35" t="n">
        <v>5853</v>
      </c>
      <c r="H20" s="35" t="n">
        <v>76968</v>
      </c>
      <c r="I20" s="35" t="n">
        <v>58338</v>
      </c>
      <c r="J20" s="35" t="n">
        <v>2389</v>
      </c>
      <c r="K20" s="35" t="n">
        <v>11306</v>
      </c>
      <c r="L20" s="35" t="n">
        <v>7648</v>
      </c>
      <c r="M20" s="35" t="n">
        <v>2052</v>
      </c>
      <c r="N20" s="35" t="n">
        <v>8630</v>
      </c>
      <c r="O20" s="35" t="n">
        <v>6905</v>
      </c>
      <c r="P20" s="35" t="n">
        <v>2824</v>
      </c>
      <c r="Q20" s="35" t="n">
        <v>8373</v>
      </c>
      <c r="R20" s="35" t="n">
        <f aca="false">SUM(F20:Q20)</f>
        <v>219677</v>
      </c>
    </row>
    <row r="21" customFormat="false" ht="14.25" hidden="false" customHeight="false" outlineLevel="0" collapsed="false">
      <c r="D21" s="1" t="s">
        <v>76</v>
      </c>
      <c r="F21" s="35" t="n">
        <v>6118</v>
      </c>
      <c r="G21" s="35" t="n">
        <v>5715</v>
      </c>
      <c r="H21" s="35" t="n">
        <v>1756</v>
      </c>
      <c r="I21" s="35" t="n">
        <v>154</v>
      </c>
      <c r="J21" s="35" t="n">
        <v>0</v>
      </c>
      <c r="K21" s="35" t="n">
        <v>224</v>
      </c>
      <c r="L21" s="35" t="n">
        <v>4149</v>
      </c>
      <c r="M21" s="35" t="n">
        <v>758</v>
      </c>
      <c r="N21" s="35" t="n">
        <v>1452</v>
      </c>
      <c r="O21" s="35" t="n">
        <v>1018</v>
      </c>
      <c r="P21" s="35" t="n">
        <v>470</v>
      </c>
      <c r="Q21" s="35" t="n">
        <v>1293</v>
      </c>
      <c r="R21" s="35" t="n">
        <f aca="false">SUM(F21:Q21)</f>
        <v>23107</v>
      </c>
    </row>
    <row r="22" customFormat="false" ht="14.25" hidden="false" customHeight="false" outlineLevel="0" collapsed="false">
      <c r="D22" s="1" t="s">
        <v>23</v>
      </c>
      <c r="F22" s="35" t="n">
        <v>103</v>
      </c>
      <c r="G22" s="35" t="n">
        <v>24</v>
      </c>
      <c r="H22" s="35" t="n">
        <v>0</v>
      </c>
      <c r="I22" s="35" t="n">
        <v>195</v>
      </c>
      <c r="J22" s="35" t="n">
        <v>0</v>
      </c>
      <c r="K22" s="35" t="n">
        <v>0</v>
      </c>
      <c r="L22" s="35" t="n">
        <v>0</v>
      </c>
      <c r="M22" s="35" t="n">
        <v>34</v>
      </c>
      <c r="N22" s="35" t="n">
        <v>5</v>
      </c>
      <c r="O22" s="35" t="n">
        <v>15</v>
      </c>
      <c r="P22" s="35" t="n">
        <v>5</v>
      </c>
      <c r="Q22" s="35" t="n">
        <v>94</v>
      </c>
      <c r="R22" s="35" t="n">
        <f aca="false">SUM(F22:Q22)</f>
        <v>475</v>
      </c>
    </row>
    <row r="23" customFormat="false" ht="14.25" hidden="false" customHeight="false" outlineLevel="0" collapsed="false">
      <c r="D23" s="1" t="s">
        <v>24</v>
      </c>
      <c r="F23" s="35" t="n">
        <v>2035</v>
      </c>
      <c r="G23" s="35" t="n">
        <v>1989</v>
      </c>
      <c r="H23" s="35" t="n">
        <v>1822</v>
      </c>
      <c r="I23" s="35" t="n">
        <v>716</v>
      </c>
      <c r="J23" s="35" t="n">
        <v>439</v>
      </c>
      <c r="K23" s="35" t="n">
        <v>1903</v>
      </c>
      <c r="L23" s="35" t="n">
        <v>2464</v>
      </c>
      <c r="M23" s="35" t="n">
        <v>2028</v>
      </c>
      <c r="N23" s="35" t="n">
        <v>1926</v>
      </c>
      <c r="O23" s="35" t="n">
        <v>1398</v>
      </c>
      <c r="P23" s="35" t="n">
        <v>1282</v>
      </c>
      <c r="Q23" s="35" t="n">
        <v>1076</v>
      </c>
      <c r="R23" s="35" t="n">
        <f aca="false">SUM(F23:Q23)</f>
        <v>19078</v>
      </c>
      <c r="S23" s="35"/>
    </row>
    <row r="24" customFormat="false" ht="14.25" hidden="false" customHeight="false" outlineLevel="0" collapsed="false">
      <c r="D24" s="1" t="s">
        <v>25</v>
      </c>
      <c r="F24" s="35" t="n">
        <v>4231</v>
      </c>
      <c r="G24" s="35" t="n">
        <v>3802</v>
      </c>
      <c r="H24" s="35" t="n">
        <v>3566</v>
      </c>
      <c r="I24" s="35" t="n">
        <v>3439</v>
      </c>
      <c r="J24" s="35" t="n">
        <v>3150</v>
      </c>
      <c r="K24" s="35" t="n">
        <v>10984</v>
      </c>
      <c r="L24" s="35" t="n">
        <v>9745</v>
      </c>
      <c r="M24" s="35" t="n">
        <v>4877</v>
      </c>
      <c r="N24" s="35" t="n">
        <v>7625</v>
      </c>
      <c r="O24" s="35" t="n">
        <v>14535</v>
      </c>
      <c r="P24" s="35" t="n">
        <v>4644</v>
      </c>
      <c r="Q24" s="35" t="n">
        <v>18362</v>
      </c>
      <c r="R24" s="35" t="n">
        <f aca="false">SUM(F24:Q24)</f>
        <v>88960</v>
      </c>
      <c r="S24" s="35"/>
    </row>
    <row r="25" customFormat="false" ht="14.25" hidden="false" customHeight="false" outlineLevel="0" collapsed="false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customFormat="false" ht="14.25" hidden="false" customHeight="false" outlineLevel="0" collapsed="false">
      <c r="C26" s="1" t="s">
        <v>26</v>
      </c>
      <c r="F26" s="35" t="n">
        <v>2</v>
      </c>
      <c r="G26" s="35" t="n">
        <v>42</v>
      </c>
      <c r="H26" s="35" t="n">
        <v>0</v>
      </c>
      <c r="I26" s="35" t="n">
        <v>0</v>
      </c>
      <c r="J26" s="35" t="n">
        <v>0</v>
      </c>
      <c r="K26" s="35" t="n">
        <v>1</v>
      </c>
      <c r="L26" s="35" t="n">
        <v>78</v>
      </c>
      <c r="M26" s="35" t="n">
        <v>102</v>
      </c>
      <c r="N26" s="35" t="n">
        <v>0.83</v>
      </c>
      <c r="O26" s="35" t="n">
        <v>4</v>
      </c>
      <c r="P26" s="35" t="n">
        <v>10</v>
      </c>
      <c r="Q26" s="35" t="n">
        <v>1</v>
      </c>
      <c r="R26" s="35" t="n">
        <f aca="false">SUM(F26:Q26)</f>
        <v>240.83</v>
      </c>
    </row>
    <row r="27" customFormat="false" ht="14.25" hidden="false" customHeight="false" outlineLevel="0" collapsed="false">
      <c r="F27" s="35" t="s">
        <v>59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customFormat="false" ht="15" hidden="false" customHeight="false" outlineLevel="0" collapsed="false">
      <c r="B28" s="7" t="s">
        <v>27</v>
      </c>
      <c r="C28" s="7"/>
      <c r="D28" s="7"/>
      <c r="E28" s="7"/>
      <c r="F28" s="34" t="n">
        <v>271593</v>
      </c>
      <c r="G28" s="34" t="n">
        <v>244430</v>
      </c>
      <c r="H28" s="34" t="n">
        <v>333208</v>
      </c>
      <c r="I28" s="34" t="n">
        <v>461657.17</v>
      </c>
      <c r="J28" s="34" t="n">
        <v>353629</v>
      </c>
      <c r="K28" s="34" t="n">
        <v>349211</v>
      </c>
      <c r="L28" s="34" t="n">
        <v>374676</v>
      </c>
      <c r="M28" s="34" t="n">
        <v>283306</v>
      </c>
      <c r="N28" s="34" t="n">
        <v>350940</v>
      </c>
      <c r="O28" s="34" t="n">
        <v>289568</v>
      </c>
      <c r="P28" s="34" t="n">
        <v>374050</v>
      </c>
      <c r="Q28" s="34" t="n">
        <v>541138</v>
      </c>
      <c r="R28" s="34" t="n">
        <v>4227406.17</v>
      </c>
    </row>
    <row r="29" customFormat="false" ht="8.25" hidden="false" customHeight="true" outlineLevel="0" collapsed="false"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customFormat="false" ht="14.25" hidden="false" customHeight="false" outlineLevel="0" collapsed="false">
      <c r="D30" s="1" t="s">
        <v>28</v>
      </c>
      <c r="F30" s="35" t="n">
        <v>54975</v>
      </c>
      <c r="G30" s="35" t="n">
        <v>67325</v>
      </c>
      <c r="H30" s="35" t="n">
        <v>65325</v>
      </c>
      <c r="I30" s="35" t="n">
        <v>96795</v>
      </c>
      <c r="J30" s="35" t="n">
        <v>62382</v>
      </c>
      <c r="K30" s="35" t="n">
        <v>62417</v>
      </c>
      <c r="L30" s="35" t="n">
        <v>67054</v>
      </c>
      <c r="M30" s="35" t="n">
        <v>64213</v>
      </c>
      <c r="N30" s="35" t="n">
        <v>66247</v>
      </c>
      <c r="O30" s="35" t="n">
        <v>67011</v>
      </c>
      <c r="P30" s="35" t="n">
        <v>63072</v>
      </c>
      <c r="Q30" s="35" t="n">
        <v>67730</v>
      </c>
      <c r="R30" s="35" t="n">
        <v>804546</v>
      </c>
    </row>
    <row r="31" customFormat="false" ht="14.25" hidden="false" customHeight="false" outlineLevel="0" collapsed="false">
      <c r="D31" s="1" t="s">
        <v>29</v>
      </c>
      <c r="F31" s="35" t="n">
        <v>61415</v>
      </c>
      <c r="G31" s="35" t="n">
        <v>15352</v>
      </c>
      <c r="H31" s="35" t="n">
        <v>43115</v>
      </c>
      <c r="I31" s="35" t="n">
        <v>21880.17</v>
      </c>
      <c r="J31" s="35" t="n">
        <v>18353</v>
      </c>
      <c r="K31" s="35" t="n">
        <v>27561</v>
      </c>
      <c r="L31" s="35" t="n">
        <v>59384</v>
      </c>
      <c r="M31" s="35" t="n">
        <v>22549</v>
      </c>
      <c r="N31" s="35" t="n">
        <v>43365</v>
      </c>
      <c r="O31" s="35" t="n">
        <v>22070</v>
      </c>
      <c r="P31" s="35" t="n">
        <v>20035</v>
      </c>
      <c r="Q31" s="35" t="n">
        <v>25333</v>
      </c>
      <c r="R31" s="35" t="n">
        <v>380412.17</v>
      </c>
    </row>
    <row r="32" customFormat="false" ht="14.25" hidden="false" customHeight="false" outlineLevel="0" collapsed="false">
      <c r="D32" s="1" t="s">
        <v>30</v>
      </c>
      <c r="F32" s="35" t="n">
        <v>532</v>
      </c>
      <c r="G32" s="35" t="n">
        <v>1163</v>
      </c>
      <c r="H32" s="35" t="n">
        <v>276</v>
      </c>
      <c r="I32" s="35" t="n">
        <v>43</v>
      </c>
      <c r="J32" s="35" t="n">
        <v>3752</v>
      </c>
      <c r="K32" s="35" t="n">
        <v>685</v>
      </c>
      <c r="L32" s="35" t="n">
        <v>3813</v>
      </c>
      <c r="M32" s="35" t="n">
        <v>5838</v>
      </c>
      <c r="N32" s="35" t="n">
        <v>3637</v>
      </c>
      <c r="O32" s="35" t="n">
        <v>1432</v>
      </c>
      <c r="P32" s="35" t="n">
        <v>2706</v>
      </c>
      <c r="Q32" s="35" t="n">
        <v>9192</v>
      </c>
      <c r="R32" s="35" t="n">
        <v>33069</v>
      </c>
    </row>
    <row r="33" customFormat="false" ht="13.5" hidden="false" customHeight="true" outlineLevel="0" collapsed="false">
      <c r="D33" s="1" t="s">
        <v>77</v>
      </c>
      <c r="F33" s="35" t="n">
        <v>0</v>
      </c>
      <c r="G33" s="35" t="n">
        <v>10488</v>
      </c>
      <c r="H33" s="35" t="n">
        <v>11952</v>
      </c>
      <c r="I33" s="35" t="n">
        <v>34416</v>
      </c>
      <c r="J33" s="35" t="n">
        <v>29799</v>
      </c>
      <c r="K33" s="35" t="n">
        <v>42033</v>
      </c>
      <c r="L33" s="35" t="n">
        <v>17934</v>
      </c>
      <c r="M33" s="35" t="n">
        <v>4988</v>
      </c>
      <c r="N33" s="35" t="n">
        <v>7153</v>
      </c>
      <c r="O33" s="35" t="n">
        <v>6311</v>
      </c>
      <c r="P33" s="35" t="n">
        <v>22783</v>
      </c>
      <c r="Q33" s="35" t="n">
        <v>41161</v>
      </c>
      <c r="R33" s="35" t="n">
        <v>229018</v>
      </c>
    </row>
    <row r="34" customFormat="false" ht="14.25" hidden="false" customHeight="false" outlineLevel="0" collapsed="false">
      <c r="D34" s="1" t="s">
        <v>32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474</v>
      </c>
      <c r="K34" s="35" t="n">
        <v>79</v>
      </c>
      <c r="L34" s="35" t="n">
        <v>232</v>
      </c>
      <c r="M34" s="35" t="n">
        <v>19</v>
      </c>
      <c r="N34" s="35" t="n">
        <v>561</v>
      </c>
      <c r="O34" s="35" t="n">
        <v>112</v>
      </c>
      <c r="P34" s="35" t="n">
        <v>10093</v>
      </c>
      <c r="Q34" s="35" t="n">
        <v>1240</v>
      </c>
      <c r="R34" s="35" t="n">
        <v>12810</v>
      </c>
    </row>
    <row r="35" customFormat="false" ht="14.25" hidden="false" customHeight="false" outlineLevel="0" collapsed="false">
      <c r="D35" s="1" t="s">
        <v>78</v>
      </c>
      <c r="F35" s="35" t="n">
        <v>-203</v>
      </c>
      <c r="G35" s="35" t="n">
        <v>4024</v>
      </c>
      <c r="H35" s="35" t="n">
        <v>994</v>
      </c>
      <c r="I35" s="35" t="n">
        <v>173</v>
      </c>
      <c r="J35" s="35" t="n">
        <v>5594</v>
      </c>
      <c r="K35" s="35" t="n">
        <v>311</v>
      </c>
      <c r="L35" s="35" t="n">
        <v>1</v>
      </c>
      <c r="M35" s="35" t="n">
        <v>4710</v>
      </c>
      <c r="N35" s="35" t="n">
        <v>915</v>
      </c>
      <c r="O35" s="35" t="n">
        <v>-328</v>
      </c>
      <c r="P35" s="35" t="n">
        <v>9</v>
      </c>
      <c r="Q35" s="35" t="n">
        <v>5914</v>
      </c>
      <c r="R35" s="35" t="n">
        <v>22114</v>
      </c>
    </row>
    <row r="36" customFormat="false" ht="14.25" hidden="false" customHeight="false" outlineLevel="0" collapsed="false">
      <c r="D36" s="1" t="s">
        <v>79</v>
      </c>
      <c r="F36" s="35" t="n">
        <v>154874</v>
      </c>
      <c r="G36" s="35" t="n">
        <v>146078</v>
      </c>
      <c r="H36" s="35" t="n">
        <v>211546</v>
      </c>
      <c r="I36" s="35" t="n">
        <v>308350</v>
      </c>
      <c r="J36" s="35" t="n">
        <v>233275</v>
      </c>
      <c r="K36" s="35" t="n">
        <v>216125</v>
      </c>
      <c r="L36" s="35" t="n">
        <v>226258</v>
      </c>
      <c r="M36" s="35" t="n">
        <v>180989</v>
      </c>
      <c r="N36" s="35" t="n">
        <v>229062</v>
      </c>
      <c r="O36" s="35" t="n">
        <v>192960</v>
      </c>
      <c r="P36" s="35" t="n">
        <v>255352</v>
      </c>
      <c r="Q36" s="35" t="n">
        <v>390568</v>
      </c>
      <c r="R36" s="35" t="n">
        <v>2745437</v>
      </c>
    </row>
    <row r="37" customFormat="false" ht="14.25" hidden="false" customHeight="false" outlineLevel="0" collapsed="false">
      <c r="F37" s="39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 t="s">
        <v>59</v>
      </c>
    </row>
    <row r="38" customFormat="false" ht="15" hidden="false" customHeight="false" outlineLevel="0" collapsed="false">
      <c r="B38" s="7" t="s">
        <v>35</v>
      </c>
      <c r="C38" s="7"/>
      <c r="D38" s="7"/>
      <c r="E38" s="7"/>
      <c r="F38" s="38" t="n">
        <v>23045</v>
      </c>
      <c r="G38" s="38" t="n">
        <v>-37595</v>
      </c>
      <c r="H38" s="38" t="n">
        <v>-71609</v>
      </c>
      <c r="I38" s="38" t="n">
        <v>-273881.17</v>
      </c>
      <c r="J38" s="38" t="n">
        <v>-202136</v>
      </c>
      <c r="K38" s="38" t="n">
        <v>1766</v>
      </c>
      <c r="L38" s="38" t="n">
        <v>-140208</v>
      </c>
      <c r="M38" s="38" t="n">
        <v>-40074</v>
      </c>
      <c r="N38" s="38" t="n">
        <v>-138525.17</v>
      </c>
      <c r="O38" s="38" t="n">
        <v>-61362</v>
      </c>
      <c r="P38" s="38" t="n">
        <v>-128278</v>
      </c>
      <c r="Q38" s="38" t="n">
        <v>-302590</v>
      </c>
      <c r="R38" s="38" t="n">
        <v>-1371447.34</v>
      </c>
    </row>
    <row r="39" customFormat="false" ht="14.25" hidden="false" customHeight="false" outlineLevel="0" collapsed="false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customFormat="false" ht="15" hidden="false" customHeight="false" outlineLevel="0" collapsed="false">
      <c r="B40" s="7" t="s">
        <v>36</v>
      </c>
      <c r="C40" s="7"/>
      <c r="D40" s="7"/>
      <c r="E40" s="7"/>
      <c r="F40" s="34" t="n">
        <v>65684</v>
      </c>
      <c r="G40" s="34" t="n">
        <v>368951</v>
      </c>
      <c r="H40" s="34" t="n">
        <v>365977</v>
      </c>
      <c r="I40" s="34" t="n">
        <v>257481</v>
      </c>
      <c r="J40" s="34" t="n">
        <v>283527.89</v>
      </c>
      <c r="K40" s="34" t="n">
        <v>206401</v>
      </c>
      <c r="L40" s="34" t="n">
        <v>133005</v>
      </c>
      <c r="M40" s="34" t="n">
        <v>582717</v>
      </c>
      <c r="N40" s="34" t="n">
        <v>-215550</v>
      </c>
      <c r="O40" s="34" t="n">
        <v>658094</v>
      </c>
      <c r="P40" s="34" t="n">
        <v>117285</v>
      </c>
      <c r="Q40" s="34" t="n">
        <f aca="false">Q41+Q45</f>
        <v>-328493</v>
      </c>
      <c r="R40" s="34" t="n">
        <f aca="false">R41+R45</f>
        <v>2495079.89</v>
      </c>
    </row>
    <row r="41" customFormat="false" ht="14.25" hidden="false" customHeight="false" outlineLevel="0" collapsed="false">
      <c r="C41" s="1" t="s">
        <v>37</v>
      </c>
      <c r="F41" s="39" t="n">
        <v>24518</v>
      </c>
      <c r="G41" s="39" t="n">
        <v>23925</v>
      </c>
      <c r="H41" s="39" t="n">
        <v>2873</v>
      </c>
      <c r="I41" s="39" t="n">
        <v>85672</v>
      </c>
      <c r="J41" s="39" t="n">
        <v>113017.89</v>
      </c>
      <c r="K41" s="39" t="n">
        <v>49991</v>
      </c>
      <c r="L41" s="39" t="n">
        <v>66168</v>
      </c>
      <c r="M41" s="39" t="n">
        <v>26482</v>
      </c>
      <c r="N41" s="39" t="n">
        <v>34433</v>
      </c>
      <c r="O41" s="39" t="n">
        <v>19380</v>
      </c>
      <c r="P41" s="39" t="n">
        <v>2450</v>
      </c>
      <c r="Q41" s="39" t="n">
        <v>151849</v>
      </c>
      <c r="R41" s="39" t="n">
        <v>600758.89</v>
      </c>
    </row>
    <row r="42" customFormat="false" ht="14.25" hidden="false" customHeight="false" outlineLevel="0" collapsed="false">
      <c r="D42" s="1" t="s">
        <v>38</v>
      </c>
      <c r="F42" s="35" t="n">
        <v>64155</v>
      </c>
      <c r="G42" s="35" t="n">
        <v>73484</v>
      </c>
      <c r="H42" s="35" t="n">
        <v>9047</v>
      </c>
      <c r="I42" s="35" t="n">
        <v>90647</v>
      </c>
      <c r="J42" s="35" t="n">
        <v>119306.89</v>
      </c>
      <c r="K42" s="35" t="n">
        <v>56817</v>
      </c>
      <c r="L42" s="35" t="n">
        <v>67695</v>
      </c>
      <c r="M42" s="35" t="n">
        <v>28539</v>
      </c>
      <c r="N42" s="35" t="n">
        <v>40575</v>
      </c>
      <c r="O42" s="35" t="n">
        <v>24169</v>
      </c>
      <c r="P42" s="35" t="n">
        <v>9202</v>
      </c>
      <c r="Q42" s="35" t="n">
        <v>158775</v>
      </c>
      <c r="R42" s="35" t="n">
        <f aca="false">SUM(F42:Q42)</f>
        <v>742411.89</v>
      </c>
      <c r="S42" s="35" t="s">
        <v>59</v>
      </c>
    </row>
    <row r="43" customFormat="false" ht="14.25" hidden="false" customHeight="false" outlineLevel="0" collapsed="false">
      <c r="D43" s="1" t="s">
        <v>39</v>
      </c>
      <c r="F43" s="35" t="n">
        <v>39637</v>
      </c>
      <c r="G43" s="35" t="n">
        <v>49559</v>
      </c>
      <c r="H43" s="35" t="n">
        <v>6174</v>
      </c>
      <c r="I43" s="35" t="n">
        <v>4975</v>
      </c>
      <c r="J43" s="35" t="n">
        <v>6289</v>
      </c>
      <c r="K43" s="36" t="n">
        <v>6826</v>
      </c>
      <c r="L43" s="36" t="n">
        <v>1527</v>
      </c>
      <c r="M43" s="36" t="n">
        <v>2057</v>
      </c>
      <c r="N43" s="36" t="n">
        <v>6142</v>
      </c>
      <c r="O43" s="36" t="n">
        <v>4789</v>
      </c>
      <c r="P43" s="36" t="n">
        <v>6752</v>
      </c>
      <c r="Q43" s="36" t="n">
        <v>6926</v>
      </c>
      <c r="R43" s="35" t="n">
        <f aca="false">SUM(F43:Q43)</f>
        <v>141653</v>
      </c>
    </row>
    <row r="44" customFormat="false" ht="14.25" hidden="false" customHeight="false" outlineLevel="0" collapsed="false"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customFormat="false" ht="14.25" hidden="false" customHeight="false" outlineLevel="0" collapsed="false">
      <c r="C45" s="1" t="s">
        <v>40</v>
      </c>
      <c r="F45" s="39" t="n">
        <v>41166</v>
      </c>
      <c r="G45" s="39" t="n">
        <v>345026</v>
      </c>
      <c r="H45" s="39" t="n">
        <v>363104</v>
      </c>
      <c r="I45" s="39" t="n">
        <v>171809</v>
      </c>
      <c r="J45" s="39" t="n">
        <v>170510</v>
      </c>
      <c r="K45" s="39" t="n">
        <v>156410</v>
      </c>
      <c r="L45" s="39" t="n">
        <v>66837</v>
      </c>
      <c r="M45" s="39" t="n">
        <v>556235</v>
      </c>
      <c r="N45" s="39" t="n">
        <v>-249983</v>
      </c>
      <c r="O45" s="39" t="n">
        <v>638714</v>
      </c>
      <c r="P45" s="39" t="n">
        <v>114835</v>
      </c>
      <c r="Q45" s="39" t="n">
        <f aca="false">Q46-Q47</f>
        <v>-480342</v>
      </c>
      <c r="R45" s="39" t="n">
        <f aca="false">R46-R47</f>
        <v>1894321</v>
      </c>
    </row>
    <row r="46" customFormat="false" ht="14.25" hidden="false" customHeight="false" outlineLevel="0" collapsed="false">
      <c r="D46" s="1" t="s">
        <v>41</v>
      </c>
      <c r="F46" s="35" t="n">
        <v>41166</v>
      </c>
      <c r="G46" s="35" t="n">
        <v>405762</v>
      </c>
      <c r="H46" s="35" t="n">
        <v>363104</v>
      </c>
      <c r="I46" s="35" t="n">
        <v>172100</v>
      </c>
      <c r="J46" s="35" t="n">
        <v>170510</v>
      </c>
      <c r="K46" s="35" t="n">
        <v>156410</v>
      </c>
      <c r="L46" s="35" t="n">
        <v>66837</v>
      </c>
      <c r="M46" s="35" t="n">
        <v>584374</v>
      </c>
      <c r="N46" s="35" t="n">
        <v>-249983</v>
      </c>
      <c r="O46" s="35" t="n">
        <v>639043</v>
      </c>
      <c r="P46" s="35" t="n">
        <v>114835</v>
      </c>
      <c r="Q46" s="35" t="n">
        <v>-465469</v>
      </c>
      <c r="R46" s="35" t="n">
        <v>1998689</v>
      </c>
      <c r="S46" s="35"/>
    </row>
    <row r="47" customFormat="false" ht="14.25" hidden="false" customHeight="false" outlineLevel="0" collapsed="false">
      <c r="D47" s="1" t="s">
        <v>42</v>
      </c>
      <c r="F47" s="36" t="n">
        <v>0</v>
      </c>
      <c r="G47" s="36" t="n">
        <v>60736</v>
      </c>
      <c r="H47" s="36" t="n">
        <v>0</v>
      </c>
      <c r="I47" s="36" t="n">
        <v>291</v>
      </c>
      <c r="J47" s="36" t="n">
        <v>0</v>
      </c>
      <c r="K47" s="36" t="n">
        <v>0</v>
      </c>
      <c r="L47" s="36" t="n">
        <v>0</v>
      </c>
      <c r="M47" s="36" t="n">
        <v>28139</v>
      </c>
      <c r="N47" s="36" t="n">
        <v>0</v>
      </c>
      <c r="O47" s="36" t="n">
        <v>329</v>
      </c>
      <c r="P47" s="36" t="n">
        <v>0</v>
      </c>
      <c r="Q47" s="36" t="n">
        <v>14873</v>
      </c>
      <c r="R47" s="35" t="n">
        <f aca="false">SUM(F47:Q47)</f>
        <v>104368</v>
      </c>
      <c r="S47" s="35" t="s">
        <v>59</v>
      </c>
    </row>
    <row r="48" customFormat="false" ht="14.25" hidden="false" customHeight="false" outlineLevel="0" collapsed="false">
      <c r="E48" s="1" t="s">
        <v>67</v>
      </c>
      <c r="F48" s="36" t="n">
        <v>45002</v>
      </c>
      <c r="G48" s="35" t="n">
        <v>79724</v>
      </c>
      <c r="H48" s="35" t="n">
        <v>0</v>
      </c>
      <c r="I48" s="35" t="n">
        <v>121485</v>
      </c>
      <c r="J48" s="35" t="n">
        <v>0</v>
      </c>
      <c r="K48" s="35" t="n">
        <v>0</v>
      </c>
      <c r="L48" s="35" t="n">
        <v>0</v>
      </c>
      <c r="M48" s="35" t="n">
        <v>127790</v>
      </c>
      <c r="N48" s="35" t="n">
        <v>24555</v>
      </c>
      <c r="O48" s="35" t="n">
        <v>329</v>
      </c>
      <c r="P48" s="35" t="n">
        <v>0</v>
      </c>
      <c r="Q48" s="35" t="n">
        <v>41516</v>
      </c>
      <c r="R48" s="35" t="n">
        <f aca="false">SUM(F48:Q48)</f>
        <v>440401</v>
      </c>
    </row>
    <row r="49" customFormat="false" ht="14.25" hidden="false" customHeight="false" outlineLevel="0" collapsed="false">
      <c r="E49" s="16" t="s">
        <v>80</v>
      </c>
      <c r="F49" s="36" t="n">
        <v>45002</v>
      </c>
      <c r="G49" s="35" t="n">
        <v>18988</v>
      </c>
      <c r="H49" s="35" t="n">
        <v>0</v>
      </c>
      <c r="I49" s="35" t="n">
        <v>121194</v>
      </c>
      <c r="J49" s="35" t="n">
        <v>0</v>
      </c>
      <c r="K49" s="35" t="n">
        <v>0</v>
      </c>
      <c r="L49" s="35" t="n">
        <v>0</v>
      </c>
      <c r="M49" s="35" t="n">
        <v>99651</v>
      </c>
      <c r="N49" s="35" t="n">
        <v>24555</v>
      </c>
      <c r="O49" s="35" t="n">
        <v>0</v>
      </c>
      <c r="P49" s="35" t="n">
        <v>0</v>
      </c>
      <c r="Q49" s="35" t="n">
        <v>26643</v>
      </c>
      <c r="R49" s="35" t="n">
        <f aca="false">SUM(F49:Q49)</f>
        <v>336033</v>
      </c>
    </row>
    <row r="50" customFormat="false" ht="14.25" hidden="false" customHeight="true" outlineLevel="0" collapsed="false"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="7" customFormat="true" ht="16.5" hidden="false" customHeight="true" outlineLevel="0" collapsed="false">
      <c r="B51" s="7" t="s">
        <v>45</v>
      </c>
      <c r="F51" s="73" t="n">
        <v>69793.26</v>
      </c>
      <c r="G51" s="73" t="n">
        <v>302467</v>
      </c>
      <c r="H51" s="73" t="n">
        <v>282737.75</v>
      </c>
      <c r="I51" s="74" t="n">
        <v>-172901.75</v>
      </c>
      <c r="J51" s="73" t="n">
        <v>21075</v>
      </c>
      <c r="K51" s="73" t="n">
        <v>196947</v>
      </c>
      <c r="L51" s="73" t="n">
        <v>2826</v>
      </c>
      <c r="M51" s="73" t="n">
        <v>421760</v>
      </c>
      <c r="N51" s="73" t="n">
        <v>-369019</v>
      </c>
      <c r="O51" s="73" t="n">
        <v>580450</v>
      </c>
      <c r="P51" s="73" t="n">
        <v>-9945.47999999998</v>
      </c>
      <c r="Q51" s="73" t="n">
        <v>-624487.52</v>
      </c>
      <c r="R51" s="38" t="n">
        <f aca="false">SUM(F51:Q51)</f>
        <v>701702.26</v>
      </c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75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 t="s">
        <v>59</v>
      </c>
      <c r="R52" s="76"/>
    </row>
    <row r="53" s="41" customFormat="true" ht="13.5" hidden="false" customHeight="false" outlineLevel="0" collapsed="false">
      <c r="B53" s="77" t="s">
        <v>46</v>
      </c>
    </row>
    <row r="54" s="41" customFormat="true" ht="38.25" hidden="false" customHeight="true" outlineLevel="0" collapsed="false">
      <c r="B54" s="77"/>
      <c r="C54" s="21" t="s">
        <v>47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="41" customFormat="true" ht="12.75" hidden="false" customHeight="false" outlineLevel="0" collapsed="false">
      <c r="B55" s="77"/>
      <c r="C55" s="78"/>
      <c r="D55" s="78"/>
      <c r="E55" s="78"/>
      <c r="F55" s="78"/>
    </row>
    <row r="56" s="41" customFormat="true" ht="9.75" hidden="false" customHeight="true" outlineLevel="0" collapsed="false">
      <c r="B56" s="77"/>
      <c r="C56" s="79"/>
      <c r="D56" s="79"/>
      <c r="E56" s="79"/>
      <c r="F56" s="79"/>
    </row>
    <row r="57" s="82" customFormat="true" ht="15.75" hidden="false" customHeight="true" outlineLevel="0" collapsed="false">
      <c r="A57" s="80" t="s">
        <v>81</v>
      </c>
      <c r="B57" s="81" t="s">
        <v>82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</row>
    <row r="58" s="82" customFormat="true" ht="15.75" hidden="false" customHeight="true" outlineLevel="0" collapsed="false">
      <c r="A58" s="80"/>
      <c r="B58" s="81" t="s">
        <v>83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</row>
    <row r="59" s="82" customFormat="true" ht="13.5" hidden="false" customHeight="true" outlineLevel="0" collapsed="false">
      <c r="A59" s="80" t="s">
        <v>84</v>
      </c>
      <c r="B59" s="82" t="s">
        <v>85</v>
      </c>
      <c r="E59" s="83"/>
      <c r="H59" s="84"/>
      <c r="I59" s="84"/>
      <c r="W59" s="85"/>
      <c r="X59" s="85"/>
      <c r="AA59" s="84"/>
    </row>
    <row r="60" s="41" customFormat="true" ht="9" hidden="false" customHeight="true" outlineLevel="0" collapsed="false">
      <c r="C60" s="79"/>
      <c r="D60" s="79"/>
      <c r="E60" s="79"/>
      <c r="F60" s="79"/>
    </row>
    <row r="61" s="41" customFormat="true" ht="12.75" hidden="false" customHeight="false" outlineLevel="0" collapsed="false">
      <c r="A61" s="41" t="s">
        <v>51</v>
      </c>
    </row>
    <row r="62" customFormat="false" ht="14.25" hidden="false" customHeight="false" outlineLevel="0" collapsed="false">
      <c r="A62" s="6"/>
    </row>
  </sheetData>
  <mergeCells count="4">
    <mergeCell ref="A6:E6"/>
    <mergeCell ref="C54:Q54"/>
    <mergeCell ref="B57:X57"/>
    <mergeCell ref="B58:X58"/>
  </mergeCells>
  <printOptions headings="false" gridLines="false" gridLinesSet="true" horizontalCentered="true" verticalCentered="false"/>
  <pageMargins left="0" right="0" top="1.06319444444444" bottom="0" header="0.393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&amp;"Arial,Italic"&amp;9 Statistical Data Analysis Division</oddHeader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R24" activeCellId="0" sqref="R24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85"/>
    <col collapsed="false" customWidth="true" hidden="false" outlineLevel="0" max="3" min="3" style="100" width="22.57"/>
    <col collapsed="false" customWidth="true" hidden="false" outlineLevel="0" max="7" min="4" style="110" width="8"/>
    <col collapsed="false" customWidth="true" hidden="false" outlineLevel="0" max="9" min="8" style="110" width="8.71"/>
    <col collapsed="false" customWidth="true" hidden="false" outlineLevel="0" max="13" min="10" style="110" width="8"/>
    <col collapsed="false" customWidth="true" hidden="false" outlineLevel="0" max="14" min="14" style="110" width="8.71"/>
    <col collapsed="false" customWidth="true" hidden="false" outlineLevel="0" max="15" min="15" style="110" width="8"/>
    <col collapsed="false" customWidth="false" hidden="false" outlineLevel="0" max="16" min="16" style="110" width="9.14"/>
    <col collapsed="false" customWidth="false" hidden="false" outlineLevel="0" max="1024" min="17" style="100" width="9.14"/>
  </cols>
  <sheetData>
    <row r="1" customFormat="false" ht="15" hidden="false" customHeight="false" outlineLevel="0" collapsed="false">
      <c r="A1" s="107" t="s">
        <v>132</v>
      </c>
    </row>
    <row r="2" customFormat="false" ht="15" hidden="false" customHeight="false" outlineLevel="0" collapsed="false">
      <c r="A2" s="107" t="s">
        <v>152</v>
      </c>
    </row>
    <row r="3" customFormat="false" ht="15" hidden="false" customHeight="false" outlineLevel="0" collapsed="false">
      <c r="A3" s="100" t="s">
        <v>2</v>
      </c>
      <c r="E3" s="110" t="s">
        <v>59</v>
      </c>
      <c r="F3" s="108"/>
    </row>
    <row r="4" customFormat="false" ht="15" hidden="false" customHeight="false" outlineLevel="0" collapsed="false"/>
    <row r="5" customFormat="false" ht="22.5" hidden="false" customHeight="true" outlineLevel="0" collapsed="false">
      <c r="A5" s="126" t="s">
        <v>4</v>
      </c>
      <c r="B5" s="126"/>
      <c r="C5" s="126"/>
      <c r="D5" s="147" t="s">
        <v>5</v>
      </c>
      <c r="E5" s="147" t="s">
        <v>6</v>
      </c>
      <c r="F5" s="147" t="s">
        <v>7</v>
      </c>
      <c r="G5" s="147" t="s">
        <v>8</v>
      </c>
      <c r="H5" s="147" t="s">
        <v>9</v>
      </c>
      <c r="I5" s="147" t="s">
        <v>10</v>
      </c>
      <c r="J5" s="147" t="s">
        <v>102</v>
      </c>
      <c r="K5" s="147" t="s">
        <v>54</v>
      </c>
      <c r="L5" s="147" t="s">
        <v>55</v>
      </c>
      <c r="M5" s="147" t="s">
        <v>56</v>
      </c>
      <c r="N5" s="147" t="s">
        <v>57</v>
      </c>
      <c r="O5" s="147" t="s">
        <v>58</v>
      </c>
      <c r="P5" s="148" t="s">
        <v>134</v>
      </c>
    </row>
    <row r="6" customFormat="false" ht="15" hidden="false" customHeight="true" outlineLevel="0" collapsed="false"/>
    <row r="7" customFormat="false" ht="15" hidden="false" customHeight="true" outlineLevel="0" collapsed="false">
      <c r="A7" s="107" t="s">
        <v>12</v>
      </c>
      <c r="D7" s="108" t="n">
        <f aca="false">D8+D13+D19</f>
        <v>44190</v>
      </c>
      <c r="E7" s="108" t="n">
        <f aca="false">E8+E13+E19</f>
        <v>27490</v>
      </c>
      <c r="F7" s="108" t="n">
        <f aca="false">F8+F13+F19</f>
        <v>31979</v>
      </c>
      <c r="G7" s="108" t="n">
        <f aca="false">G8+G13+G19</f>
        <v>55553</v>
      </c>
      <c r="H7" s="108" t="n">
        <f aca="false">H8+H13+H19</f>
        <v>28227</v>
      </c>
      <c r="I7" s="108" t="n">
        <f aca="false">I8+I13+I19</f>
        <v>31665</v>
      </c>
      <c r="J7" s="108" t="n">
        <f aca="false">J8+J13+J19</f>
        <v>52921</v>
      </c>
      <c r="K7" s="108" t="n">
        <f aca="false">K8+K13+K19</f>
        <v>33834</v>
      </c>
      <c r="L7" s="108" t="n">
        <f aca="false">L8+L13+L19</f>
        <v>38058</v>
      </c>
      <c r="M7" s="108" t="n">
        <f aca="false">M8+M13+M19</f>
        <v>44392</v>
      </c>
      <c r="N7" s="108" t="n">
        <f aca="false">N8+N13+N19</f>
        <v>33899</v>
      </c>
      <c r="O7" s="108" t="n">
        <f aca="false">O8+O13+O19</f>
        <v>40307</v>
      </c>
      <c r="P7" s="108" t="n">
        <f aca="false">P8+P13+P19</f>
        <v>462515</v>
      </c>
    </row>
    <row r="8" customFormat="false" ht="15" hidden="false" customHeight="true" outlineLevel="0" collapsed="false">
      <c r="B8" s="100" t="s">
        <v>13</v>
      </c>
      <c r="D8" s="109" t="n">
        <v>42393</v>
      </c>
      <c r="E8" s="109" t="n">
        <v>25063</v>
      </c>
      <c r="F8" s="109" t="n">
        <v>27776</v>
      </c>
      <c r="G8" s="109" t="n">
        <v>52265</v>
      </c>
      <c r="H8" s="109" t="n">
        <v>25527</v>
      </c>
      <c r="I8" s="109" t="n">
        <v>29246</v>
      </c>
      <c r="J8" s="109" t="n">
        <v>42731</v>
      </c>
      <c r="K8" s="109" t="n">
        <v>28878</v>
      </c>
      <c r="L8" s="109" t="n">
        <v>33949</v>
      </c>
      <c r="M8" s="109" t="n">
        <v>40914</v>
      </c>
      <c r="N8" s="109" t="n">
        <v>33653</v>
      </c>
      <c r="O8" s="109" t="n">
        <v>34190</v>
      </c>
      <c r="P8" s="109" t="n">
        <v>416585</v>
      </c>
    </row>
    <row r="9" customFormat="false" ht="15" hidden="false" customHeight="true" outlineLevel="0" collapsed="false">
      <c r="C9" s="100" t="s">
        <v>14</v>
      </c>
      <c r="D9" s="110" t="n">
        <v>35086</v>
      </c>
      <c r="E9" s="110" t="n">
        <v>19304</v>
      </c>
      <c r="F9" s="110" t="n">
        <v>21154</v>
      </c>
      <c r="G9" s="110" t="n">
        <v>46473</v>
      </c>
      <c r="H9" s="110" t="n">
        <v>19760</v>
      </c>
      <c r="I9" s="110" t="n">
        <v>24275</v>
      </c>
      <c r="J9" s="110" t="n">
        <v>34132</v>
      </c>
      <c r="K9" s="110" t="n">
        <v>21545</v>
      </c>
      <c r="L9" s="110" t="n">
        <v>26793</v>
      </c>
      <c r="M9" s="110" t="n">
        <v>33553</v>
      </c>
      <c r="N9" s="110" t="n">
        <v>26766</v>
      </c>
      <c r="O9" s="110" t="n">
        <v>28334</v>
      </c>
      <c r="P9" s="110" t="n">
        <v>337175</v>
      </c>
    </row>
    <row r="10" customFormat="false" ht="15" hidden="false" customHeight="true" outlineLevel="0" collapsed="false">
      <c r="C10" s="100" t="s">
        <v>18</v>
      </c>
      <c r="D10" s="110" t="n">
        <v>7133</v>
      </c>
      <c r="E10" s="110" t="n">
        <v>5462</v>
      </c>
      <c r="F10" s="110" t="n">
        <v>6353</v>
      </c>
      <c r="G10" s="110" t="n">
        <v>5503</v>
      </c>
      <c r="H10" s="110" t="n">
        <v>5469</v>
      </c>
      <c r="I10" s="110" t="n">
        <v>4825</v>
      </c>
      <c r="J10" s="110" t="n">
        <v>8324</v>
      </c>
      <c r="K10" s="110" t="n">
        <v>6741</v>
      </c>
      <c r="L10" s="110" t="n">
        <v>6818</v>
      </c>
      <c r="M10" s="110" t="n">
        <v>7061</v>
      </c>
      <c r="N10" s="110" t="n">
        <v>6586</v>
      </c>
      <c r="O10" s="110" t="n">
        <v>5730</v>
      </c>
      <c r="P10" s="110" t="n">
        <v>76005</v>
      </c>
    </row>
    <row r="11" customFormat="false" ht="15" hidden="false" customHeight="true" outlineLevel="0" collapsed="false">
      <c r="C11" s="100" t="s">
        <v>87</v>
      </c>
      <c r="D11" s="110" t="n">
        <v>174</v>
      </c>
      <c r="E11" s="110" t="n">
        <v>297</v>
      </c>
      <c r="F11" s="110" t="n">
        <v>269</v>
      </c>
      <c r="G11" s="110" t="n">
        <v>289</v>
      </c>
      <c r="H11" s="110" t="n">
        <v>298</v>
      </c>
      <c r="I11" s="110" t="n">
        <v>146</v>
      </c>
      <c r="J11" s="110" t="n">
        <v>275</v>
      </c>
      <c r="K11" s="110" t="n">
        <v>592</v>
      </c>
      <c r="L11" s="110" t="n">
        <v>338</v>
      </c>
      <c r="M11" s="110" t="n">
        <v>300</v>
      </c>
      <c r="N11" s="110" t="n">
        <v>301</v>
      </c>
      <c r="O11" s="110" t="n">
        <v>126</v>
      </c>
      <c r="P11" s="110" t="n">
        <v>3405</v>
      </c>
    </row>
    <row r="12" customFormat="false" ht="15" hidden="false" customHeight="true" outlineLevel="0" collapsed="false"/>
    <row r="13" customFormat="false" ht="15" hidden="false" customHeight="true" outlineLevel="0" collapsed="false">
      <c r="B13" s="100" t="s">
        <v>20</v>
      </c>
      <c r="D13" s="109" t="n">
        <f aca="false">SUM(D14:D17)</f>
        <v>1797</v>
      </c>
      <c r="E13" s="109" t="n">
        <f aca="false">SUM(E14:E17)</f>
        <v>2187</v>
      </c>
      <c r="F13" s="109" t="n">
        <f aca="false">SUM(F14:F17)</f>
        <v>4115</v>
      </c>
      <c r="G13" s="109" t="n">
        <f aca="false">SUM(G14:G17)</f>
        <v>3286</v>
      </c>
      <c r="H13" s="109" t="n">
        <f aca="false">SUM(H14:H17)</f>
        <v>2700</v>
      </c>
      <c r="I13" s="109" t="n">
        <f aca="false">SUM(I14:I17)</f>
        <v>2415</v>
      </c>
      <c r="J13" s="109" t="n">
        <f aca="false">SUM(J14:J17)</f>
        <v>10178</v>
      </c>
      <c r="K13" s="109" t="n">
        <f aca="false">SUM(K14:K17)</f>
        <v>4955</v>
      </c>
      <c r="L13" s="109" t="n">
        <f aca="false">SUM(L14:L17)</f>
        <v>4092</v>
      </c>
      <c r="M13" s="109" t="n">
        <f aca="false">SUM(M14:M17)</f>
        <v>3454</v>
      </c>
      <c r="N13" s="109" t="n">
        <f aca="false">SUM(N14:N17)</f>
        <v>238</v>
      </c>
      <c r="O13" s="109" t="n">
        <f aca="false">SUM(O14:O17)</f>
        <v>6117</v>
      </c>
      <c r="P13" s="109" t="n">
        <f aca="false">SUM(P14:P17)</f>
        <v>45534</v>
      </c>
    </row>
    <row r="14" customFormat="false" ht="15" hidden="false" customHeight="true" outlineLevel="0" collapsed="false">
      <c r="C14" s="100" t="s">
        <v>21</v>
      </c>
      <c r="D14" s="110" t="n">
        <v>787</v>
      </c>
      <c r="E14" s="110" t="n">
        <v>529</v>
      </c>
      <c r="F14" s="110" t="n">
        <v>1659</v>
      </c>
      <c r="G14" s="110" t="n">
        <v>1310</v>
      </c>
      <c r="H14" s="110" t="n">
        <v>1388</v>
      </c>
      <c r="I14" s="110" t="n">
        <v>970</v>
      </c>
      <c r="J14" s="110" t="n">
        <v>7741</v>
      </c>
      <c r="K14" s="110" t="n">
        <v>4123</v>
      </c>
      <c r="L14" s="110" t="n">
        <v>1758</v>
      </c>
      <c r="M14" s="110" t="n">
        <v>1511</v>
      </c>
      <c r="N14" s="110" t="n">
        <v>-1297</v>
      </c>
      <c r="O14" s="110" t="n">
        <v>2056</v>
      </c>
      <c r="P14" s="110" t="n">
        <v>22535</v>
      </c>
    </row>
    <row r="15" customFormat="false" ht="15" hidden="false" customHeight="true" outlineLevel="0" collapsed="false">
      <c r="C15" s="100" t="s">
        <v>150</v>
      </c>
      <c r="D15" s="110" t="n">
        <v>979</v>
      </c>
      <c r="E15" s="110" t="n">
        <v>1623</v>
      </c>
      <c r="F15" s="110" t="n">
        <v>2412</v>
      </c>
      <c r="G15" s="110" t="n">
        <v>1948</v>
      </c>
      <c r="H15" s="110" t="n">
        <v>1186</v>
      </c>
      <c r="I15" s="110" t="n">
        <v>1414</v>
      </c>
      <c r="J15" s="110" t="n">
        <v>2418</v>
      </c>
      <c r="K15" s="110" t="n">
        <v>573</v>
      </c>
      <c r="L15" s="110" t="n">
        <v>1202</v>
      </c>
      <c r="M15" s="110" t="n">
        <v>1932</v>
      </c>
      <c r="N15" s="110" t="n">
        <v>1437</v>
      </c>
      <c r="O15" s="110" t="n">
        <v>3922</v>
      </c>
      <c r="P15" s="110" t="n">
        <v>21046</v>
      </c>
    </row>
    <row r="16" customFormat="false" ht="15" hidden="false" customHeight="true" outlineLevel="0" collapsed="false">
      <c r="C16" s="100" t="s">
        <v>23</v>
      </c>
      <c r="D16" s="110" t="n">
        <v>0</v>
      </c>
      <c r="E16" s="110" t="n">
        <v>12</v>
      </c>
      <c r="F16" s="110" t="n">
        <v>9</v>
      </c>
      <c r="G16" s="110" t="n">
        <v>1</v>
      </c>
      <c r="H16" s="110" t="n">
        <v>95</v>
      </c>
      <c r="I16" s="110" t="n">
        <v>18</v>
      </c>
      <c r="J16" s="110" t="n">
        <v>0</v>
      </c>
      <c r="K16" s="110" t="n">
        <v>232</v>
      </c>
      <c r="L16" s="110" t="n">
        <v>1113</v>
      </c>
      <c r="M16" s="110" t="n">
        <v>0</v>
      </c>
      <c r="N16" s="110" t="n">
        <v>98</v>
      </c>
      <c r="O16" s="110" t="n">
        <v>139</v>
      </c>
      <c r="P16" s="110" t="n">
        <v>1717</v>
      </c>
    </row>
    <row r="17" customFormat="false" ht="15" hidden="false" customHeight="true" outlineLevel="0" collapsed="false">
      <c r="C17" s="100" t="s">
        <v>147</v>
      </c>
      <c r="D17" s="110" t="n">
        <v>31</v>
      </c>
      <c r="E17" s="110" t="n">
        <v>23</v>
      </c>
      <c r="F17" s="110" t="n">
        <v>35</v>
      </c>
      <c r="G17" s="110" t="n">
        <v>27</v>
      </c>
      <c r="H17" s="110" t="n">
        <v>31</v>
      </c>
      <c r="I17" s="110" t="n">
        <v>13</v>
      </c>
      <c r="J17" s="110" t="n">
        <v>19</v>
      </c>
      <c r="K17" s="110" t="n">
        <v>27</v>
      </c>
      <c r="L17" s="110" t="n">
        <v>19</v>
      </c>
      <c r="M17" s="110" t="n">
        <v>11</v>
      </c>
      <c r="N17" s="110" t="n">
        <v>0</v>
      </c>
      <c r="O17" s="110" t="n">
        <v>0</v>
      </c>
      <c r="P17" s="110" t="n">
        <v>236</v>
      </c>
    </row>
    <row r="18" customFormat="false" ht="15" hidden="false" customHeight="true" outlineLevel="0" collapsed="false"/>
    <row r="19" customFormat="false" ht="15" hidden="false" customHeight="true" outlineLevel="0" collapsed="false">
      <c r="B19" s="100" t="s">
        <v>26</v>
      </c>
      <c r="D19" s="110" t="n">
        <v>0</v>
      </c>
      <c r="E19" s="110" t="n">
        <v>240</v>
      </c>
      <c r="F19" s="110" t="n">
        <v>88</v>
      </c>
      <c r="G19" s="110" t="n">
        <v>2</v>
      </c>
      <c r="H19" s="110" t="n">
        <v>0</v>
      </c>
      <c r="I19" s="110" t="n">
        <v>4</v>
      </c>
      <c r="J19" s="110" t="n">
        <v>12</v>
      </c>
      <c r="K19" s="110" t="n">
        <v>1</v>
      </c>
      <c r="L19" s="110" t="n">
        <v>17</v>
      </c>
      <c r="M19" s="110" t="n">
        <v>24</v>
      </c>
      <c r="N19" s="110" t="n">
        <v>8</v>
      </c>
      <c r="O19" s="110" t="n">
        <v>0</v>
      </c>
      <c r="P19" s="110" t="n">
        <v>396</v>
      </c>
    </row>
    <row r="20" customFormat="false" ht="15" hidden="false" customHeight="true" outlineLevel="0" collapsed="false"/>
    <row r="21" customFormat="false" ht="15" hidden="false" customHeight="true" outlineLevel="0" collapsed="false">
      <c r="A21" s="107" t="s">
        <v>27</v>
      </c>
      <c r="D21" s="108" t="n">
        <v>42320</v>
      </c>
      <c r="E21" s="108" t="n">
        <v>34825</v>
      </c>
      <c r="F21" s="108" t="n">
        <v>38282</v>
      </c>
      <c r="G21" s="108" t="n">
        <v>41782</v>
      </c>
      <c r="H21" s="108" t="n">
        <v>45675</v>
      </c>
      <c r="I21" s="108" t="n">
        <v>40223</v>
      </c>
      <c r="J21" s="108" t="n">
        <v>42491</v>
      </c>
      <c r="K21" s="108" t="n">
        <v>42964</v>
      </c>
      <c r="L21" s="108" t="n">
        <v>41057</v>
      </c>
      <c r="M21" s="108" t="n">
        <v>44100</v>
      </c>
      <c r="N21" s="108" t="n">
        <v>48721</v>
      </c>
      <c r="O21" s="108" t="n">
        <v>50056</v>
      </c>
      <c r="P21" s="108" t="n">
        <v>512496</v>
      </c>
    </row>
    <row r="22" customFormat="false" ht="15" hidden="false" customHeight="true" outlineLevel="0" collapsed="false">
      <c r="B22" s="100" t="s">
        <v>15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</row>
    <row r="23" customFormat="false" ht="15" hidden="false" customHeight="true" outlineLevel="0" collapsed="false">
      <c r="C23" s="100" t="s">
        <v>28</v>
      </c>
      <c r="D23" s="110" t="n">
        <v>6949</v>
      </c>
      <c r="E23" s="110" t="n">
        <v>5356</v>
      </c>
      <c r="F23" s="110" t="n">
        <v>4637</v>
      </c>
      <c r="G23" s="110" t="n">
        <v>5534</v>
      </c>
      <c r="H23" s="110" t="n">
        <v>5861</v>
      </c>
      <c r="I23" s="110" t="n">
        <v>4997</v>
      </c>
      <c r="J23" s="110" t="n">
        <v>8277</v>
      </c>
      <c r="K23" s="110" t="n">
        <v>6535</v>
      </c>
      <c r="L23" s="110" t="n">
        <v>4630</v>
      </c>
      <c r="M23" s="110" t="n">
        <v>6694</v>
      </c>
      <c r="N23" s="110" t="n">
        <v>6919</v>
      </c>
      <c r="O23" s="110" t="n">
        <v>5647</v>
      </c>
      <c r="P23" s="110" t="n">
        <v>72036</v>
      </c>
    </row>
    <row r="24" customFormat="false" ht="15" hidden="false" customHeight="true" outlineLevel="0" collapsed="false">
      <c r="C24" s="100" t="s">
        <v>29</v>
      </c>
      <c r="D24" s="110" t="n">
        <v>8072</v>
      </c>
      <c r="E24" s="110" t="n">
        <v>6884</v>
      </c>
      <c r="F24" s="110" t="n">
        <v>9232</v>
      </c>
      <c r="G24" s="110" t="n">
        <v>8254</v>
      </c>
      <c r="H24" s="110" t="n">
        <v>6437</v>
      </c>
      <c r="I24" s="110" t="n">
        <v>7324</v>
      </c>
      <c r="J24" s="110" t="n">
        <v>8594</v>
      </c>
      <c r="K24" s="110" t="n">
        <v>10015</v>
      </c>
      <c r="L24" s="110" t="n">
        <v>10273</v>
      </c>
      <c r="M24" s="110" t="n">
        <v>9852</v>
      </c>
      <c r="N24" s="110" t="n">
        <v>7046</v>
      </c>
      <c r="O24" s="110" t="n">
        <v>7809</v>
      </c>
      <c r="P24" s="110" t="n">
        <v>99792</v>
      </c>
    </row>
    <row r="25" customFormat="false" ht="15" hidden="false" customHeight="true" outlineLevel="0" collapsed="false">
      <c r="C25" s="100" t="s">
        <v>30</v>
      </c>
      <c r="D25" s="110" t="n">
        <v>0</v>
      </c>
      <c r="E25" s="110" t="n">
        <v>0</v>
      </c>
      <c r="F25" s="110" t="n">
        <v>26</v>
      </c>
      <c r="G25" s="110" t="n">
        <v>99</v>
      </c>
      <c r="H25" s="110" t="n">
        <v>3</v>
      </c>
      <c r="I25" s="110" t="n">
        <v>12</v>
      </c>
      <c r="J25" s="110" t="n">
        <v>4</v>
      </c>
      <c r="K25" s="110" t="n">
        <v>0</v>
      </c>
      <c r="L25" s="110" t="n">
        <v>0</v>
      </c>
      <c r="M25" s="110" t="n">
        <v>0</v>
      </c>
      <c r="N25" s="110" t="n">
        <v>3</v>
      </c>
      <c r="O25" s="110" t="n">
        <v>14</v>
      </c>
      <c r="P25" s="110" t="n">
        <v>161</v>
      </c>
    </row>
    <row r="26" customFormat="false" ht="15" hidden="false" customHeight="true" outlineLevel="0" collapsed="false">
      <c r="C26" s="100" t="s">
        <v>77</v>
      </c>
      <c r="D26" s="110" t="n">
        <v>29</v>
      </c>
      <c r="E26" s="110" t="n">
        <v>308</v>
      </c>
      <c r="F26" s="110" t="n">
        <v>172</v>
      </c>
      <c r="G26" s="110" t="n">
        <v>330</v>
      </c>
      <c r="H26" s="110" t="n">
        <v>437</v>
      </c>
      <c r="I26" s="110" t="n">
        <v>420</v>
      </c>
      <c r="J26" s="110" t="n">
        <v>314</v>
      </c>
      <c r="K26" s="110" t="n">
        <v>452</v>
      </c>
      <c r="L26" s="110" t="n">
        <v>289</v>
      </c>
      <c r="M26" s="110" t="n">
        <v>362</v>
      </c>
      <c r="N26" s="110" t="n">
        <v>558</v>
      </c>
      <c r="O26" s="110" t="n">
        <v>1068</v>
      </c>
      <c r="P26" s="110" t="n">
        <v>4739</v>
      </c>
    </row>
    <row r="27" customFormat="false" ht="15" hidden="false" customHeight="true" outlineLevel="0" collapsed="false">
      <c r="C27" s="100" t="s">
        <v>32</v>
      </c>
      <c r="D27" s="110" t="n">
        <v>31</v>
      </c>
      <c r="E27" s="110" t="n">
        <v>0</v>
      </c>
      <c r="F27" s="110" t="n">
        <v>0</v>
      </c>
      <c r="G27" s="110" t="n">
        <v>0</v>
      </c>
      <c r="H27" s="110" t="n">
        <v>0</v>
      </c>
      <c r="I27" s="110" t="n">
        <v>409</v>
      </c>
      <c r="J27" s="110" t="n">
        <v>0</v>
      </c>
      <c r="K27" s="110" t="n">
        <v>5</v>
      </c>
      <c r="L27" s="110" t="n">
        <v>4</v>
      </c>
      <c r="M27" s="110" t="n">
        <v>0</v>
      </c>
      <c r="N27" s="110" t="n">
        <v>111</v>
      </c>
      <c r="O27" s="110" t="n">
        <v>209</v>
      </c>
      <c r="P27" s="110" t="n">
        <v>769</v>
      </c>
    </row>
    <row r="28" customFormat="false" ht="15" hidden="false" customHeight="true" outlineLevel="0" collapsed="false">
      <c r="C28" s="100" t="s">
        <v>78</v>
      </c>
      <c r="D28" s="110" t="n">
        <v>-59</v>
      </c>
      <c r="E28" s="110" t="n">
        <v>238</v>
      </c>
      <c r="F28" s="110" t="n">
        <v>-22</v>
      </c>
      <c r="G28" s="110" t="n">
        <v>19</v>
      </c>
      <c r="H28" s="110" t="n">
        <v>16</v>
      </c>
      <c r="I28" s="110" t="n">
        <v>-269</v>
      </c>
      <c r="J28" s="110" t="n">
        <v>166</v>
      </c>
      <c r="K28" s="110" t="n">
        <v>-297</v>
      </c>
      <c r="L28" s="110" t="n">
        <v>375</v>
      </c>
      <c r="M28" s="110" t="n">
        <v>276</v>
      </c>
      <c r="N28" s="110" t="n">
        <v>-251</v>
      </c>
      <c r="O28" s="110" t="n">
        <v>137</v>
      </c>
      <c r="P28" s="110" t="n">
        <v>329</v>
      </c>
    </row>
    <row r="29" customFormat="false" ht="15" hidden="false" customHeight="true" outlineLevel="0" collapsed="false"/>
    <row r="30" customFormat="false" ht="15" hidden="false" customHeight="true" outlineLevel="0" collapsed="false">
      <c r="A30" s="107" t="s">
        <v>137</v>
      </c>
      <c r="B30" s="107"/>
      <c r="C30" s="107"/>
      <c r="D30" s="112" t="n">
        <v>1870</v>
      </c>
      <c r="E30" s="112" t="n">
        <v>-7335</v>
      </c>
      <c r="F30" s="112" t="n">
        <v>-6303</v>
      </c>
      <c r="G30" s="112" t="n">
        <v>13771</v>
      </c>
      <c r="H30" s="112" t="n">
        <v>-17448</v>
      </c>
      <c r="I30" s="112" t="n">
        <v>-8558</v>
      </c>
      <c r="J30" s="112" t="n">
        <v>10430</v>
      </c>
      <c r="K30" s="112" t="n">
        <v>-9130</v>
      </c>
      <c r="L30" s="112" t="n">
        <v>-2999</v>
      </c>
      <c r="M30" s="112" t="n">
        <v>292</v>
      </c>
      <c r="N30" s="112" t="n">
        <v>-14822</v>
      </c>
      <c r="O30" s="112" t="n">
        <v>-9749</v>
      </c>
      <c r="P30" s="112" t="n">
        <v>-49981</v>
      </c>
    </row>
    <row r="31" customFormat="false" ht="15" hidden="false" customHeight="true" outlineLevel="0" collapsed="false"/>
    <row r="32" customFormat="false" ht="15" hidden="false" customHeight="true" outlineLevel="0" collapsed="false">
      <c r="A32" s="107" t="s">
        <v>36</v>
      </c>
      <c r="B32" s="107"/>
      <c r="C32" s="107"/>
      <c r="D32" s="108" t="n">
        <v>599</v>
      </c>
      <c r="E32" s="108" t="n">
        <v>34</v>
      </c>
      <c r="F32" s="108" t="n">
        <v>-3008</v>
      </c>
      <c r="G32" s="108" t="n">
        <v>20115</v>
      </c>
      <c r="H32" s="108" t="n">
        <v>22332</v>
      </c>
      <c r="I32" s="108" t="n">
        <v>2192</v>
      </c>
      <c r="J32" s="108" t="n">
        <v>9361</v>
      </c>
      <c r="K32" s="108" t="n">
        <v>-6090</v>
      </c>
      <c r="L32" s="108" t="n">
        <v>7820</v>
      </c>
      <c r="M32" s="108" t="n">
        <v>12408</v>
      </c>
      <c r="N32" s="108" t="n">
        <v>7233</v>
      </c>
      <c r="O32" s="108" t="n">
        <v>15900</v>
      </c>
      <c r="P32" s="108" t="n">
        <v>88896</v>
      </c>
    </row>
    <row r="33" customFormat="false" ht="15" hidden="false" customHeight="true" outlineLevel="0" collapsed="false">
      <c r="B33" s="100" t="s">
        <v>37</v>
      </c>
      <c r="D33" s="109" t="n">
        <v>-879</v>
      </c>
      <c r="E33" s="109" t="n">
        <v>-1065</v>
      </c>
      <c r="F33" s="109" t="n">
        <v>-20</v>
      </c>
      <c r="G33" s="109" t="n">
        <v>19519</v>
      </c>
      <c r="H33" s="109" t="n">
        <v>365</v>
      </c>
      <c r="I33" s="109" t="n">
        <v>-3463</v>
      </c>
      <c r="J33" s="109" t="n">
        <v>-2813</v>
      </c>
      <c r="K33" s="109" t="n">
        <v>-691</v>
      </c>
      <c r="L33" s="109" t="n">
        <v>-1135</v>
      </c>
      <c r="M33" s="109" t="n">
        <v>-1930</v>
      </c>
      <c r="N33" s="109" t="n">
        <v>-3782</v>
      </c>
      <c r="O33" s="109" t="n">
        <v>8240</v>
      </c>
      <c r="P33" s="109" t="n">
        <v>12346</v>
      </c>
    </row>
    <row r="34" customFormat="false" ht="15" hidden="false" customHeight="true" outlineLevel="0" collapsed="false">
      <c r="A34" s="100" t="s">
        <v>59</v>
      </c>
      <c r="C34" s="100" t="s">
        <v>38</v>
      </c>
      <c r="D34" s="110" t="n">
        <v>425</v>
      </c>
      <c r="E34" s="110" t="n">
        <v>412</v>
      </c>
      <c r="F34" s="110" t="n">
        <v>2199</v>
      </c>
      <c r="G34" s="110" t="n">
        <v>21787</v>
      </c>
      <c r="H34" s="110" t="n">
        <v>4442</v>
      </c>
      <c r="I34" s="110" t="n">
        <v>687</v>
      </c>
      <c r="J34" s="110" t="n">
        <v>660</v>
      </c>
      <c r="K34" s="110" t="n">
        <v>1293</v>
      </c>
      <c r="L34" s="110" t="n">
        <v>1198</v>
      </c>
      <c r="M34" s="110" t="n">
        <v>432</v>
      </c>
      <c r="N34" s="110" t="n">
        <v>1522</v>
      </c>
      <c r="O34" s="110" t="n">
        <v>13245</v>
      </c>
      <c r="P34" s="110" t="n">
        <v>48302</v>
      </c>
    </row>
    <row r="35" customFormat="false" ht="15" hidden="false" customHeight="true" outlineLevel="0" collapsed="false">
      <c r="C35" s="100" t="s">
        <v>39</v>
      </c>
      <c r="D35" s="110" t="n">
        <v>1304</v>
      </c>
      <c r="E35" s="110" t="n">
        <v>1477</v>
      </c>
      <c r="F35" s="110" t="n">
        <v>2219</v>
      </c>
      <c r="G35" s="110" t="n">
        <v>2268</v>
      </c>
      <c r="H35" s="110" t="n">
        <v>4077</v>
      </c>
      <c r="I35" s="110" t="n">
        <v>4150</v>
      </c>
      <c r="J35" s="110" t="n">
        <v>3473</v>
      </c>
      <c r="K35" s="110" t="n">
        <v>1984</v>
      </c>
      <c r="L35" s="110" t="n">
        <v>2333</v>
      </c>
      <c r="M35" s="110" t="n">
        <v>2362</v>
      </c>
      <c r="N35" s="110" t="n">
        <v>5304</v>
      </c>
      <c r="O35" s="110" t="n">
        <v>5005</v>
      </c>
      <c r="P35" s="110" t="n">
        <v>35956</v>
      </c>
    </row>
    <row r="36" customFormat="false" ht="15" hidden="false" customHeight="true" outlineLevel="0" collapsed="false"/>
    <row r="37" customFormat="false" ht="15" hidden="false" customHeight="true" outlineLevel="0" collapsed="false">
      <c r="B37" s="100" t="s">
        <v>40</v>
      </c>
      <c r="D37" s="109" t="n">
        <v>1478</v>
      </c>
      <c r="E37" s="109" t="n">
        <v>1099</v>
      </c>
      <c r="F37" s="109" t="n">
        <v>-2988</v>
      </c>
      <c r="G37" s="109" t="n">
        <v>596</v>
      </c>
      <c r="H37" s="109" t="n">
        <v>21967</v>
      </c>
      <c r="I37" s="109" t="n">
        <v>5655</v>
      </c>
      <c r="J37" s="109" t="n">
        <v>12174</v>
      </c>
      <c r="K37" s="109" t="n">
        <v>-5399</v>
      </c>
      <c r="L37" s="109" t="n">
        <v>8955</v>
      </c>
      <c r="M37" s="109" t="n">
        <v>14338</v>
      </c>
      <c r="N37" s="109" t="n">
        <v>11015</v>
      </c>
      <c r="O37" s="109" t="s">
        <v>59</v>
      </c>
      <c r="P37" s="109" t="n">
        <v>76550</v>
      </c>
    </row>
    <row r="38" customFormat="false" ht="15" hidden="false" customHeight="true" outlineLevel="0" collapsed="false">
      <c r="C38" s="100" t="s">
        <v>41</v>
      </c>
      <c r="D38" s="110" t="n">
        <v>3796</v>
      </c>
      <c r="E38" s="110" t="n">
        <v>2884</v>
      </c>
      <c r="F38" s="110" t="n">
        <v>1123</v>
      </c>
      <c r="G38" s="110" t="n">
        <v>1357</v>
      </c>
      <c r="H38" s="110" t="n">
        <v>22135</v>
      </c>
      <c r="I38" s="110" t="n">
        <v>10197</v>
      </c>
      <c r="J38" s="110" t="n">
        <v>14238</v>
      </c>
      <c r="K38" s="110" t="n">
        <v>-5370</v>
      </c>
      <c r="L38" s="110" t="n">
        <v>15062</v>
      </c>
      <c r="M38" s="110" t="n">
        <v>14946</v>
      </c>
      <c r="N38" s="110" t="n">
        <v>13519</v>
      </c>
      <c r="O38" s="110" t="n">
        <v>11424</v>
      </c>
      <c r="P38" s="110" t="n">
        <v>105311</v>
      </c>
    </row>
    <row r="39" customFormat="false" ht="15" hidden="false" customHeight="true" outlineLevel="0" collapsed="false">
      <c r="C39" s="100" t="s">
        <v>39</v>
      </c>
      <c r="D39" s="110" t="n">
        <v>2318</v>
      </c>
      <c r="E39" s="110" t="n">
        <v>1785</v>
      </c>
      <c r="F39" s="110" t="n">
        <v>4111</v>
      </c>
      <c r="G39" s="110" t="n">
        <v>761</v>
      </c>
      <c r="H39" s="110" t="n">
        <v>168</v>
      </c>
      <c r="I39" s="110" t="n">
        <v>4542</v>
      </c>
      <c r="J39" s="110" t="n">
        <v>2064</v>
      </c>
      <c r="K39" s="110" t="n">
        <v>29</v>
      </c>
      <c r="L39" s="110" t="n">
        <v>6107</v>
      </c>
      <c r="M39" s="110" t="n">
        <v>608</v>
      </c>
      <c r="N39" s="110" t="n">
        <v>2504</v>
      </c>
      <c r="O39" s="110" t="n">
        <v>3764</v>
      </c>
      <c r="P39" s="110" t="n">
        <v>28761</v>
      </c>
    </row>
    <row r="40" customFormat="false" ht="15" hidden="false" customHeight="true" outlineLevel="0" collapsed="false"/>
    <row r="41" s="107" customFormat="true" ht="15" hidden="false" customHeight="true" outlineLevel="0" collapsed="false">
      <c r="A41" s="107" t="s">
        <v>45</v>
      </c>
      <c r="D41" s="108" t="n">
        <v>-7091</v>
      </c>
      <c r="E41" s="108" t="n">
        <v>-2484</v>
      </c>
      <c r="F41" s="108" t="n">
        <v>-1862</v>
      </c>
      <c r="G41" s="108" t="n">
        <v>16780</v>
      </c>
      <c r="H41" s="108" t="n">
        <v>-15990</v>
      </c>
      <c r="I41" s="108" t="n">
        <v>-13224</v>
      </c>
      <c r="J41" s="108" t="n">
        <v>8102</v>
      </c>
      <c r="K41" s="108" t="n">
        <v>-5845</v>
      </c>
      <c r="L41" s="108" t="n">
        <v>4657</v>
      </c>
      <c r="M41" s="108" t="n">
        <v>2338</v>
      </c>
      <c r="N41" s="108" t="n">
        <v>-8391</v>
      </c>
      <c r="O41" s="108" t="n">
        <v>5921</v>
      </c>
      <c r="P41" s="108" t="n">
        <v>-17089</v>
      </c>
      <c r="Q41" s="112"/>
    </row>
    <row r="42" customFormat="false" ht="15" hidden="false" customHeight="false" outlineLevel="0" collapsed="false">
      <c r="A42" s="113"/>
      <c r="B42" s="113"/>
      <c r="C42" s="113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</row>
    <row r="43" customFormat="false" ht="15" hidden="false" customHeight="false" outlineLevel="0" collapsed="false">
      <c r="A43" s="31"/>
    </row>
    <row r="44" customFormat="false" ht="14.25" hidden="false" customHeight="false" outlineLevel="0" collapsed="false">
      <c r="A44" s="31"/>
    </row>
    <row r="46" s="100" customFormat="true" ht="14.25" hidden="false" customHeight="false" outlineLevel="0" collapsed="false"/>
    <row r="47" customFormat="false" ht="14.25" hidden="false" customHeight="false" outlineLevel="0" collapsed="false">
      <c r="A47" s="31" t="s">
        <v>139</v>
      </c>
      <c r="C47" s="110"/>
      <c r="E47" s="100"/>
      <c r="F47" s="149"/>
      <c r="G47" s="149"/>
    </row>
    <row r="48" customFormat="false" ht="14.25" hidden="false" customHeight="false" outlineLevel="0" collapsed="false">
      <c r="A48" s="31"/>
      <c r="B48" s="31"/>
      <c r="C48" s="31"/>
      <c r="D48" s="150"/>
    </row>
    <row r="49" customFormat="false" ht="14.25" hidden="false" customHeight="false" outlineLevel="0" collapsed="false">
      <c r="A49" s="31"/>
      <c r="B49" s="31"/>
      <c r="C49" s="31"/>
      <c r="D49" s="150"/>
    </row>
    <row r="50" customFormat="false" ht="14.25" hidden="false" customHeight="false" outlineLevel="0" collapsed="false">
      <c r="A50" s="31"/>
      <c r="B50" s="31"/>
      <c r="C50" s="31"/>
      <c r="D50" s="150"/>
    </row>
    <row r="51" customFormat="false" ht="14.25" hidden="false" customHeight="false" outlineLevel="0" collapsed="false">
      <c r="A51" s="31"/>
      <c r="B51" s="31"/>
      <c r="C51" s="31"/>
      <c r="D51" s="150"/>
    </row>
    <row r="52" customFormat="false" ht="14.25" hidden="false" customHeight="false" outlineLevel="0" collapsed="false">
      <c r="A52" s="31"/>
      <c r="B52" s="31"/>
      <c r="C52" s="31"/>
      <c r="D52" s="150"/>
    </row>
  </sheetData>
  <mergeCells count="1">
    <mergeCell ref="A5:C5"/>
  </mergeCells>
  <printOptions headings="false" gridLines="false" gridLinesSet="true" horizontalCentered="true" verticalCentered="false"/>
  <pageMargins left="0" right="0" top="1.10208333333333" bottom="0.511805555555556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G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D13" activeCellId="0" sqref="D13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42"/>
    <col collapsed="false" customWidth="true" hidden="false" outlineLevel="0" max="3" min="3" style="100" width="22.57"/>
    <col collapsed="false" customWidth="true" hidden="false" outlineLevel="0" max="7" min="4" style="110" width="8"/>
    <col collapsed="false" customWidth="true" hidden="false" outlineLevel="0" max="8" min="8" style="110" width="8.71"/>
    <col collapsed="false" customWidth="true" hidden="false" outlineLevel="0" max="9" min="9" style="110" width="8"/>
    <col collapsed="false" customWidth="true" hidden="false" outlineLevel="0" max="10" min="10" style="110" width="8.71"/>
    <col collapsed="false" customWidth="true" hidden="false" outlineLevel="0" max="13" min="11" style="110" width="8"/>
    <col collapsed="false" customWidth="true" hidden="false" outlineLevel="0" max="14" min="14" style="110" width="8.71"/>
    <col collapsed="false" customWidth="true" hidden="false" outlineLevel="0" max="15" min="15" style="110" width="8"/>
    <col collapsed="false" customWidth="false" hidden="false" outlineLevel="0" max="16" min="16" style="110" width="9.14"/>
    <col collapsed="false" customWidth="false" hidden="false" outlineLevel="0" max="19" min="17" style="100" width="9.14"/>
    <col collapsed="false" customWidth="true" hidden="false" outlineLevel="0" max="20" min="20" style="100" width="12.29"/>
    <col collapsed="false" customWidth="false" hidden="false" outlineLevel="0" max="1024" min="21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154</v>
      </c>
    </row>
    <row r="3" customFormat="false" ht="15" hidden="false" customHeight="false" outlineLevel="0" collapsed="false">
      <c r="A3" s="100" t="s">
        <v>2</v>
      </c>
      <c r="E3" s="110" t="s">
        <v>59</v>
      </c>
      <c r="F3" s="108"/>
      <c r="S3" s="100" t="s">
        <v>59</v>
      </c>
    </row>
    <row r="4" customFormat="false" ht="12.75" hidden="false" customHeight="true" outlineLevel="0" collapsed="false"/>
    <row r="5" customFormat="false" ht="21.7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true" outlineLevel="0" collapsed="false"/>
    <row r="7" customFormat="false" ht="15" hidden="false" customHeight="true" outlineLevel="0" collapsed="false">
      <c r="A7" s="107" t="s">
        <v>12</v>
      </c>
      <c r="D7" s="108" t="n">
        <f aca="false">D8+D13+D18</f>
        <v>37439</v>
      </c>
      <c r="E7" s="108" t="n">
        <f aca="false">E8+E13+E18</f>
        <v>26717</v>
      </c>
      <c r="F7" s="108" t="n">
        <f aca="false">F8+F13+F18</f>
        <v>32444</v>
      </c>
      <c r="G7" s="108" t="n">
        <f aca="false">G8+G13+G18</f>
        <v>54833</v>
      </c>
      <c r="H7" s="108" t="n">
        <f aca="false">H8+H13+H18</f>
        <v>28345</v>
      </c>
      <c r="I7" s="108" t="n">
        <f aca="false">I8+I13+I18</f>
        <v>35773</v>
      </c>
      <c r="J7" s="108" t="n">
        <f aca="false">J8+J13+J18</f>
        <v>43887</v>
      </c>
      <c r="K7" s="108" t="n">
        <f aca="false">K8+K13+K18</f>
        <v>38452</v>
      </c>
      <c r="L7" s="108" t="n">
        <f aca="false">L8+L13+L18</f>
        <v>41861</v>
      </c>
      <c r="M7" s="108" t="n">
        <f aca="false">M8+M13+M18</f>
        <v>42100</v>
      </c>
      <c r="N7" s="108" t="n">
        <f aca="false">N8+N13+N18</f>
        <v>35545</v>
      </c>
      <c r="O7" s="108" t="n">
        <f aca="false">O8+O13+O18</f>
        <v>54447</v>
      </c>
      <c r="P7" s="108" t="n">
        <f aca="false">P8+P13+P18</f>
        <v>471843</v>
      </c>
    </row>
    <row r="8" customFormat="false" ht="15" hidden="false" customHeight="true" outlineLevel="0" collapsed="false">
      <c r="B8" s="100" t="s">
        <v>13</v>
      </c>
      <c r="D8" s="109" t="n">
        <v>35261</v>
      </c>
      <c r="E8" s="109" t="n">
        <v>24203</v>
      </c>
      <c r="F8" s="109" t="n">
        <v>26041</v>
      </c>
      <c r="G8" s="109" t="n">
        <v>52624</v>
      </c>
      <c r="H8" s="109" t="n">
        <v>26847</v>
      </c>
      <c r="I8" s="109" t="n">
        <v>32167</v>
      </c>
      <c r="J8" s="109" t="n">
        <v>36960</v>
      </c>
      <c r="K8" s="109" t="n">
        <v>36634</v>
      </c>
      <c r="L8" s="109" t="n">
        <v>31875</v>
      </c>
      <c r="M8" s="109" t="n">
        <v>38494</v>
      </c>
      <c r="N8" s="109" t="n">
        <v>29876</v>
      </c>
      <c r="O8" s="109" t="n">
        <v>41183</v>
      </c>
      <c r="P8" s="109" t="n">
        <v>412165</v>
      </c>
    </row>
    <row r="9" customFormat="false" ht="15" hidden="false" customHeight="true" outlineLevel="0" collapsed="false">
      <c r="C9" s="100" t="s">
        <v>14</v>
      </c>
      <c r="D9" s="110" t="n">
        <v>28601</v>
      </c>
      <c r="E9" s="110" t="n">
        <v>17405</v>
      </c>
      <c r="F9" s="110" t="n">
        <v>18791</v>
      </c>
      <c r="G9" s="110" t="n">
        <v>44940</v>
      </c>
      <c r="H9" s="110" t="n">
        <v>19933</v>
      </c>
      <c r="I9" s="110" t="n">
        <v>24948</v>
      </c>
      <c r="J9" s="110" t="n">
        <v>28857</v>
      </c>
      <c r="K9" s="110" t="n">
        <v>28984</v>
      </c>
      <c r="L9" s="110" t="n">
        <v>21689</v>
      </c>
      <c r="M9" s="110" t="n">
        <v>29790</v>
      </c>
      <c r="N9" s="110" t="n">
        <v>21857</v>
      </c>
      <c r="O9" s="110" t="n">
        <v>28902</v>
      </c>
      <c r="P9" s="110" t="n">
        <v>314697</v>
      </c>
    </row>
    <row r="10" customFormat="false" ht="15" hidden="false" customHeight="true" outlineLevel="0" collapsed="false">
      <c r="C10" s="100" t="s">
        <v>18</v>
      </c>
      <c r="D10" s="110" t="n">
        <v>6489</v>
      </c>
      <c r="E10" s="110" t="n">
        <v>6604</v>
      </c>
      <c r="F10" s="110" t="n">
        <v>7060</v>
      </c>
      <c r="G10" s="110" t="n">
        <v>7512</v>
      </c>
      <c r="H10" s="110" t="n">
        <v>6780</v>
      </c>
      <c r="I10" s="110" t="n">
        <v>7013</v>
      </c>
      <c r="J10" s="110" t="n">
        <v>7912</v>
      </c>
      <c r="K10" s="110" t="n">
        <v>7566</v>
      </c>
      <c r="L10" s="110" t="n">
        <v>9737</v>
      </c>
      <c r="M10" s="110" t="n">
        <v>8400</v>
      </c>
      <c r="N10" s="110" t="n">
        <v>7735</v>
      </c>
      <c r="O10" s="110" t="n">
        <v>11992</v>
      </c>
      <c r="P10" s="110" t="n">
        <v>94800</v>
      </c>
    </row>
    <row r="11" customFormat="false" ht="15" hidden="false" customHeight="true" outlineLevel="0" collapsed="false">
      <c r="C11" s="100" t="s">
        <v>87</v>
      </c>
      <c r="D11" s="110" t="n">
        <v>171</v>
      </c>
      <c r="E11" s="110" t="n">
        <v>194</v>
      </c>
      <c r="F11" s="110" t="n">
        <v>190</v>
      </c>
      <c r="G11" s="110" t="n">
        <v>172</v>
      </c>
      <c r="H11" s="110" t="n">
        <v>134</v>
      </c>
      <c r="I11" s="110" t="n">
        <v>206</v>
      </c>
      <c r="J11" s="110" t="n">
        <v>191</v>
      </c>
      <c r="K11" s="110" t="n">
        <v>84</v>
      </c>
      <c r="L11" s="110" t="n">
        <v>449</v>
      </c>
      <c r="M11" s="110" t="n">
        <v>304</v>
      </c>
      <c r="N11" s="110" t="n">
        <v>284</v>
      </c>
      <c r="O11" s="110" t="n">
        <v>289</v>
      </c>
      <c r="P11" s="110" t="n">
        <v>2668</v>
      </c>
    </row>
    <row r="12" customFormat="false" ht="15" hidden="false" customHeight="true" outlineLevel="0" collapsed="false"/>
    <row r="13" customFormat="false" ht="15" hidden="false" customHeight="true" outlineLevel="0" collapsed="false">
      <c r="B13" s="100" t="s">
        <v>20</v>
      </c>
      <c r="D13" s="109" t="n">
        <f aca="false">SUM(D14:D16)</f>
        <v>2040</v>
      </c>
      <c r="E13" s="109" t="n">
        <f aca="false">SUM(E14:E16)</f>
        <v>1494</v>
      </c>
      <c r="F13" s="109" t="n">
        <f aca="false">SUM(F14:F16)</f>
        <v>6084</v>
      </c>
      <c r="G13" s="109" t="n">
        <f aca="false">SUM(G14:G16)</f>
        <v>2200</v>
      </c>
      <c r="H13" s="109" t="n">
        <f aca="false">SUM(H14:H16)</f>
        <v>1497</v>
      </c>
      <c r="I13" s="109" t="n">
        <f aca="false">SUM(I14:I16)</f>
        <v>3602</v>
      </c>
      <c r="J13" s="109" t="n">
        <f aca="false">SUM(J14:J16)</f>
        <v>6920</v>
      </c>
      <c r="K13" s="109" t="n">
        <f aca="false">SUM(K14:K16)</f>
        <v>1809</v>
      </c>
      <c r="L13" s="109" t="n">
        <f aca="false">SUM(L14:L16)</f>
        <v>9943</v>
      </c>
      <c r="M13" s="109" t="n">
        <f aca="false">SUM(M14:M16)</f>
        <v>3544</v>
      </c>
      <c r="N13" s="109" t="n">
        <f aca="false">SUM(N14:N16)</f>
        <v>5575</v>
      </c>
      <c r="O13" s="109" t="n">
        <f aca="false">SUM(O14:O16)</f>
        <v>13232</v>
      </c>
      <c r="P13" s="109" t="n">
        <f aca="false">SUM(P14:P16)</f>
        <v>57940</v>
      </c>
    </row>
    <row r="14" customFormat="false" ht="15" hidden="false" customHeight="true" outlineLevel="0" collapsed="false">
      <c r="C14" s="100" t="s">
        <v>21</v>
      </c>
      <c r="D14" s="110" t="n">
        <v>760</v>
      </c>
      <c r="E14" s="110" t="n">
        <v>384</v>
      </c>
      <c r="F14" s="110" t="n">
        <v>2426</v>
      </c>
      <c r="G14" s="110" t="n">
        <v>770</v>
      </c>
      <c r="H14" s="110" t="n">
        <v>555</v>
      </c>
      <c r="I14" s="110" t="n">
        <v>2027</v>
      </c>
      <c r="J14" s="110" t="n">
        <v>5604</v>
      </c>
      <c r="K14" s="110" t="n">
        <v>1208</v>
      </c>
      <c r="L14" s="110" t="n">
        <v>7562</v>
      </c>
      <c r="M14" s="110" t="n">
        <v>1925</v>
      </c>
      <c r="N14" s="110" t="n">
        <v>2406</v>
      </c>
      <c r="O14" s="110" t="n">
        <v>9725</v>
      </c>
      <c r="P14" s="110" t="n">
        <v>35352</v>
      </c>
    </row>
    <row r="15" customFormat="false" ht="15" hidden="false" customHeight="true" outlineLevel="0" collapsed="false">
      <c r="C15" s="100" t="s">
        <v>150</v>
      </c>
      <c r="D15" s="110" t="n">
        <v>1170</v>
      </c>
      <c r="E15" s="110" t="n">
        <v>1099</v>
      </c>
      <c r="F15" s="110" t="n">
        <v>1064</v>
      </c>
      <c r="G15" s="110" t="n">
        <v>1425</v>
      </c>
      <c r="H15" s="110" t="n">
        <v>920</v>
      </c>
      <c r="I15" s="110" t="n">
        <v>1511</v>
      </c>
      <c r="J15" s="110" t="n">
        <v>1251</v>
      </c>
      <c r="K15" s="110" t="n">
        <v>601</v>
      </c>
      <c r="L15" s="110" t="n">
        <v>1267</v>
      </c>
      <c r="M15" s="110" t="n">
        <v>1605</v>
      </c>
      <c r="N15" s="110" t="n">
        <v>397</v>
      </c>
      <c r="O15" s="110" t="n">
        <v>850</v>
      </c>
      <c r="P15" s="110" t="n">
        <v>13160</v>
      </c>
    </row>
    <row r="16" customFormat="false" ht="15" hidden="false" customHeight="true" outlineLevel="0" collapsed="false">
      <c r="C16" s="100" t="s">
        <v>23</v>
      </c>
      <c r="D16" s="110" t="n">
        <v>110</v>
      </c>
      <c r="E16" s="110" t="n">
        <v>11</v>
      </c>
      <c r="F16" s="110" t="n">
        <v>2594</v>
      </c>
      <c r="G16" s="110" t="n">
        <v>5</v>
      </c>
      <c r="H16" s="110" t="n">
        <v>22</v>
      </c>
      <c r="I16" s="110" t="n">
        <v>64</v>
      </c>
      <c r="J16" s="110" t="n">
        <v>65</v>
      </c>
      <c r="K16" s="110" t="n">
        <v>0</v>
      </c>
      <c r="L16" s="110" t="n">
        <v>1114</v>
      </c>
      <c r="M16" s="110" t="n">
        <v>14</v>
      </c>
      <c r="N16" s="110" t="n">
        <v>2772</v>
      </c>
      <c r="O16" s="110" t="n">
        <v>2657</v>
      </c>
      <c r="P16" s="110" t="n">
        <v>9428</v>
      </c>
    </row>
    <row r="17" customFormat="false" ht="15" hidden="false" customHeight="true" outlineLevel="0" collapsed="false"/>
    <row r="18" customFormat="false" ht="15" hidden="false" customHeight="true" outlineLevel="0" collapsed="false">
      <c r="B18" s="100" t="s">
        <v>26</v>
      </c>
      <c r="D18" s="110" t="n">
        <v>138</v>
      </c>
      <c r="E18" s="110" t="n">
        <v>1020</v>
      </c>
      <c r="F18" s="110" t="n">
        <v>319</v>
      </c>
      <c r="G18" s="110" t="n">
        <v>9</v>
      </c>
      <c r="H18" s="110" t="n">
        <v>1</v>
      </c>
      <c r="I18" s="110" t="n">
        <v>4</v>
      </c>
      <c r="J18" s="110" t="n">
        <v>7</v>
      </c>
      <c r="K18" s="110" t="n">
        <v>9</v>
      </c>
      <c r="L18" s="110" t="n">
        <v>43</v>
      </c>
      <c r="M18" s="110" t="n">
        <v>62</v>
      </c>
      <c r="N18" s="110" t="n">
        <v>94</v>
      </c>
      <c r="O18" s="110" t="n">
        <v>32</v>
      </c>
      <c r="P18" s="110" t="n">
        <v>1738</v>
      </c>
    </row>
    <row r="19" customFormat="false" ht="15" hidden="false" customHeight="true" outlineLevel="0" collapsed="false"/>
    <row r="20" customFormat="false" ht="15" hidden="false" customHeight="true" outlineLevel="0" collapsed="false">
      <c r="A20" s="107" t="s">
        <v>27</v>
      </c>
      <c r="D20" s="108" t="n">
        <v>40621</v>
      </c>
      <c r="E20" s="108" t="n">
        <v>27085</v>
      </c>
      <c r="F20" s="108" t="n">
        <v>29563</v>
      </c>
      <c r="G20" s="108" t="n">
        <v>36822</v>
      </c>
      <c r="H20" s="108" t="n">
        <v>40770</v>
      </c>
      <c r="I20" s="108" t="n">
        <v>36869</v>
      </c>
      <c r="J20" s="108" t="n">
        <v>42002</v>
      </c>
      <c r="K20" s="108" t="n">
        <v>36358</v>
      </c>
      <c r="L20" s="108" t="n">
        <v>45098</v>
      </c>
      <c r="M20" s="108" t="n">
        <v>49023</v>
      </c>
      <c r="N20" s="108" t="n">
        <v>41166</v>
      </c>
      <c r="O20" s="108" t="n">
        <v>44902</v>
      </c>
      <c r="P20" s="108" t="n">
        <v>470279</v>
      </c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  <c r="BN20" s="159"/>
      <c r="BO20" s="159"/>
      <c r="BP20" s="159"/>
      <c r="BQ20" s="159"/>
      <c r="BR20" s="159"/>
      <c r="BS20" s="159"/>
      <c r="BT20" s="159"/>
      <c r="BU20" s="159"/>
      <c r="BV20" s="159"/>
      <c r="BW20" s="159"/>
      <c r="BX20" s="159"/>
      <c r="BY20" s="159"/>
      <c r="BZ20" s="159"/>
      <c r="CA20" s="159"/>
      <c r="CB20" s="159"/>
      <c r="CC20" s="159"/>
      <c r="CD20" s="159"/>
      <c r="CE20" s="159"/>
      <c r="CF20" s="159"/>
      <c r="CG20" s="159"/>
    </row>
    <row r="21" customFormat="false" ht="15" hidden="false" customHeight="true" outlineLevel="0" collapsed="false">
      <c r="B21" s="100" t="s">
        <v>15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</row>
    <row r="22" customFormat="false" ht="15" hidden="false" customHeight="true" outlineLevel="0" collapsed="false">
      <c r="C22" s="100" t="s">
        <v>28</v>
      </c>
      <c r="D22" s="110" t="n">
        <v>3842</v>
      </c>
      <c r="E22" s="110" t="n">
        <v>8160</v>
      </c>
      <c r="F22" s="110" t="n">
        <v>5772</v>
      </c>
      <c r="G22" s="110" t="n">
        <v>5920</v>
      </c>
      <c r="H22" s="110" t="n">
        <v>5920</v>
      </c>
      <c r="I22" s="110" t="n">
        <v>6179</v>
      </c>
      <c r="J22" s="110" t="n">
        <v>5920</v>
      </c>
      <c r="K22" s="110" t="n">
        <v>6747</v>
      </c>
      <c r="L22" s="110" t="n">
        <v>5273</v>
      </c>
      <c r="M22" s="110" t="n">
        <v>8095</v>
      </c>
      <c r="N22" s="110" t="n">
        <v>4765</v>
      </c>
      <c r="O22" s="110" t="n">
        <v>4375</v>
      </c>
      <c r="P22" s="110" t="n">
        <v>70968</v>
      </c>
    </row>
    <row r="23" customFormat="false" ht="15" hidden="false" customHeight="true" outlineLevel="0" collapsed="false">
      <c r="C23" s="100" t="s">
        <v>29</v>
      </c>
      <c r="D23" s="110" t="n">
        <v>6266</v>
      </c>
      <c r="E23" s="110" t="n">
        <v>5131</v>
      </c>
      <c r="F23" s="110" t="n">
        <v>6809</v>
      </c>
      <c r="G23" s="110" t="n">
        <v>6510</v>
      </c>
      <c r="H23" s="110" t="n">
        <v>4652</v>
      </c>
      <c r="I23" s="110" t="n">
        <v>5023</v>
      </c>
      <c r="J23" s="110" t="n">
        <v>5862</v>
      </c>
      <c r="K23" s="110" t="n">
        <v>8061</v>
      </c>
      <c r="L23" s="110" t="n">
        <v>10027</v>
      </c>
      <c r="M23" s="110" t="n">
        <v>8358</v>
      </c>
      <c r="N23" s="110" t="n">
        <v>5158</v>
      </c>
      <c r="O23" s="110" t="n">
        <v>6114</v>
      </c>
      <c r="P23" s="110" t="n">
        <v>77971</v>
      </c>
    </row>
    <row r="24" customFormat="false" ht="15" hidden="false" customHeight="true" outlineLevel="0" collapsed="false">
      <c r="C24" s="100" t="s">
        <v>77</v>
      </c>
      <c r="D24" s="110" t="n">
        <v>763</v>
      </c>
      <c r="E24" s="110" t="n">
        <v>605</v>
      </c>
      <c r="F24" s="110" t="n">
        <v>52</v>
      </c>
      <c r="G24" s="110" t="n">
        <v>194</v>
      </c>
      <c r="H24" s="110" t="n">
        <v>363</v>
      </c>
      <c r="I24" s="110" t="n">
        <v>263</v>
      </c>
      <c r="J24" s="110" t="n">
        <v>558</v>
      </c>
      <c r="K24" s="110" t="n">
        <v>360</v>
      </c>
      <c r="L24" s="110" t="n">
        <v>764</v>
      </c>
      <c r="M24" s="110" t="n">
        <v>468</v>
      </c>
      <c r="N24" s="110" t="n">
        <v>1158</v>
      </c>
      <c r="O24" s="110" t="n">
        <v>344</v>
      </c>
      <c r="P24" s="110" t="n">
        <v>5892</v>
      </c>
    </row>
    <row r="25" customFormat="false" ht="15" hidden="false" customHeight="true" outlineLevel="0" collapsed="false">
      <c r="C25" s="100" t="s">
        <v>30</v>
      </c>
      <c r="D25" s="110" t="n">
        <v>0</v>
      </c>
      <c r="E25" s="110" t="n">
        <v>0</v>
      </c>
      <c r="F25" s="110" t="n">
        <v>317</v>
      </c>
      <c r="G25" s="110" t="n">
        <v>112</v>
      </c>
      <c r="H25" s="110" t="n">
        <v>495</v>
      </c>
      <c r="I25" s="110" t="n">
        <v>431</v>
      </c>
      <c r="J25" s="110" t="n">
        <v>291</v>
      </c>
      <c r="K25" s="110" t="n">
        <v>374</v>
      </c>
      <c r="L25" s="110" t="n">
        <v>122</v>
      </c>
      <c r="M25" s="110" t="n">
        <v>209</v>
      </c>
      <c r="N25" s="110" t="n">
        <v>525</v>
      </c>
      <c r="O25" s="110" t="n">
        <v>3207</v>
      </c>
      <c r="P25" s="110" t="n">
        <v>6083</v>
      </c>
    </row>
    <row r="26" customFormat="false" ht="15" hidden="false" customHeight="true" outlineLevel="0" collapsed="false">
      <c r="C26" s="100" t="s">
        <v>32</v>
      </c>
      <c r="D26" s="110" t="n">
        <v>132</v>
      </c>
      <c r="E26" s="110" t="n">
        <v>3</v>
      </c>
      <c r="F26" s="110" t="n">
        <v>0</v>
      </c>
      <c r="G26" s="110" t="n">
        <v>1</v>
      </c>
      <c r="H26" s="110" t="n">
        <v>94</v>
      </c>
      <c r="I26" s="110" t="n">
        <v>164</v>
      </c>
      <c r="J26" s="110" t="n">
        <v>17</v>
      </c>
      <c r="K26" s="110" t="n">
        <v>17</v>
      </c>
      <c r="L26" s="110" t="n">
        <v>944</v>
      </c>
      <c r="M26" s="110" t="n">
        <v>140</v>
      </c>
      <c r="N26" s="110" t="n">
        <v>22</v>
      </c>
      <c r="O26" s="110" t="n">
        <v>45</v>
      </c>
      <c r="P26" s="110" t="n">
        <v>1579</v>
      </c>
    </row>
    <row r="27" customFormat="false" ht="15" hidden="false" customHeight="true" outlineLevel="0" collapsed="false">
      <c r="C27" s="100" t="s">
        <v>78</v>
      </c>
      <c r="D27" s="110" t="n">
        <v>50</v>
      </c>
      <c r="E27" s="110" t="n">
        <v>19</v>
      </c>
      <c r="F27" s="110" t="n">
        <v>119</v>
      </c>
      <c r="G27" s="110" t="n">
        <v>-35</v>
      </c>
      <c r="H27" s="110" t="n">
        <v>150</v>
      </c>
      <c r="I27" s="110" t="n">
        <v>-154</v>
      </c>
      <c r="J27" s="110" t="n">
        <v>44</v>
      </c>
      <c r="K27" s="110" t="n">
        <v>260</v>
      </c>
      <c r="L27" s="110" t="n">
        <v>108</v>
      </c>
      <c r="M27" s="110" t="n">
        <v>198</v>
      </c>
      <c r="N27" s="110" t="n">
        <v>163</v>
      </c>
      <c r="O27" s="110" t="n">
        <v>459</v>
      </c>
      <c r="P27" s="110" t="n">
        <v>1381</v>
      </c>
    </row>
    <row r="28" customFormat="false" ht="15" hidden="false" customHeight="true" outlineLevel="0" collapsed="false"/>
    <row r="29" s="107" customFormat="true" ht="15" hidden="false" customHeight="true" outlineLevel="0" collapsed="false">
      <c r="A29" s="107" t="s">
        <v>137</v>
      </c>
      <c r="D29" s="112" t="n">
        <v>-3182</v>
      </c>
      <c r="E29" s="112" t="n">
        <v>-368</v>
      </c>
      <c r="F29" s="112" t="n">
        <v>2881</v>
      </c>
      <c r="G29" s="112" t="n">
        <v>18011</v>
      </c>
      <c r="H29" s="112" t="n">
        <v>-12425</v>
      </c>
      <c r="I29" s="112" t="n">
        <v>-1096</v>
      </c>
      <c r="J29" s="112" t="n">
        <v>1885</v>
      </c>
      <c r="K29" s="112" t="n">
        <v>2094</v>
      </c>
      <c r="L29" s="112" t="n">
        <v>-3237</v>
      </c>
      <c r="M29" s="112" t="n">
        <v>-6923</v>
      </c>
      <c r="N29" s="112" t="n">
        <v>-5621</v>
      </c>
      <c r="O29" s="112" t="n">
        <v>9545</v>
      </c>
      <c r="P29" s="112" t="n">
        <v>1564</v>
      </c>
    </row>
    <row r="30" customFormat="false" ht="15" hidden="false" customHeight="true" outlineLevel="0" collapsed="false"/>
    <row r="31" s="107" customFormat="true" ht="15" hidden="false" customHeight="true" outlineLevel="0" collapsed="false">
      <c r="A31" s="107" t="s">
        <v>36</v>
      </c>
      <c r="D31" s="108" t="n">
        <v>-5487</v>
      </c>
      <c r="E31" s="108" t="n">
        <v>3489</v>
      </c>
      <c r="F31" s="108" t="n">
        <v>-3769</v>
      </c>
      <c r="G31" s="108" t="n">
        <v>-7845</v>
      </c>
      <c r="H31" s="108" t="n">
        <v>-2432</v>
      </c>
      <c r="I31" s="108" t="n">
        <v>-1376</v>
      </c>
      <c r="J31" s="108" t="n">
        <v>-14957</v>
      </c>
      <c r="K31" s="108" t="n">
        <v>8572</v>
      </c>
      <c r="L31" s="108" t="n">
        <v>5574</v>
      </c>
      <c r="M31" s="108" t="n">
        <v>2894</v>
      </c>
      <c r="N31" s="108" t="n">
        <v>-4194</v>
      </c>
      <c r="O31" s="108" t="n">
        <v>-7582</v>
      </c>
      <c r="P31" s="108" t="n">
        <v>-27113</v>
      </c>
    </row>
    <row r="32" customFormat="false" ht="15" hidden="false" customHeight="true" outlineLevel="0" collapsed="false">
      <c r="B32" s="100" t="s">
        <v>37</v>
      </c>
      <c r="D32" s="109" t="n">
        <v>-1461</v>
      </c>
      <c r="E32" s="109" t="n">
        <v>-1053</v>
      </c>
      <c r="F32" s="109" t="n">
        <v>-543</v>
      </c>
      <c r="G32" s="109" t="n">
        <v>65</v>
      </c>
      <c r="H32" s="109" t="n">
        <v>-1912</v>
      </c>
      <c r="I32" s="109" t="n">
        <v>-3158</v>
      </c>
      <c r="J32" s="109" t="n">
        <v>20</v>
      </c>
      <c r="K32" s="109" t="n">
        <v>9469</v>
      </c>
      <c r="L32" s="109" t="n">
        <v>-563</v>
      </c>
      <c r="M32" s="109" t="n">
        <v>-1253</v>
      </c>
      <c r="N32" s="109" t="n">
        <v>-3286</v>
      </c>
      <c r="O32" s="109" t="n">
        <v>-3143</v>
      </c>
      <c r="P32" s="109" t="n">
        <v>-6818</v>
      </c>
    </row>
    <row r="33" customFormat="false" ht="15" hidden="false" customHeight="true" outlineLevel="0" collapsed="false">
      <c r="C33" s="100" t="s">
        <v>38</v>
      </c>
      <c r="D33" s="110" t="n">
        <v>140</v>
      </c>
      <c r="E33" s="110" t="n">
        <v>430</v>
      </c>
      <c r="F33" s="110" t="n">
        <v>662</v>
      </c>
      <c r="G33" s="110" t="n">
        <v>2580</v>
      </c>
      <c r="H33" s="110" t="n">
        <v>752</v>
      </c>
      <c r="I33" s="109" t="n">
        <v>716</v>
      </c>
      <c r="J33" s="110" t="n">
        <v>1083</v>
      </c>
      <c r="K33" s="110" t="n">
        <v>10714</v>
      </c>
      <c r="L33" s="110" t="n">
        <v>1129</v>
      </c>
      <c r="M33" s="110" t="n">
        <v>1157</v>
      </c>
      <c r="N33" s="110" t="n">
        <v>852</v>
      </c>
      <c r="O33" s="110" t="n">
        <v>2780</v>
      </c>
      <c r="P33" s="110" t="n">
        <v>22995</v>
      </c>
    </row>
    <row r="34" customFormat="false" ht="15" hidden="false" customHeight="true" outlineLevel="0" collapsed="false">
      <c r="C34" s="100" t="s">
        <v>39</v>
      </c>
      <c r="D34" s="110" t="n">
        <v>1601</v>
      </c>
      <c r="E34" s="110" t="n">
        <v>1483</v>
      </c>
      <c r="F34" s="110" t="n">
        <v>1205</v>
      </c>
      <c r="G34" s="110" t="n">
        <v>2515</v>
      </c>
      <c r="H34" s="110" t="n">
        <v>2664</v>
      </c>
      <c r="I34" s="110" t="n">
        <v>3874</v>
      </c>
      <c r="J34" s="110" t="n">
        <v>1063</v>
      </c>
      <c r="K34" s="110" t="n">
        <v>1245</v>
      </c>
      <c r="L34" s="110" t="n">
        <v>1692</v>
      </c>
      <c r="M34" s="110" t="n">
        <v>2410</v>
      </c>
      <c r="N34" s="110" t="n">
        <v>4138</v>
      </c>
      <c r="O34" s="110" t="n">
        <v>5923</v>
      </c>
      <c r="P34" s="110" t="n">
        <v>29813</v>
      </c>
    </row>
    <row r="35" customFormat="false" ht="15" hidden="false" customHeight="true" outlineLevel="0" collapsed="false">
      <c r="Q35" s="110"/>
    </row>
    <row r="36" customFormat="false" ht="15" hidden="false" customHeight="true" outlineLevel="0" collapsed="false">
      <c r="B36" s="100" t="s">
        <v>40</v>
      </c>
      <c r="D36" s="109" t="n">
        <v>-4026</v>
      </c>
      <c r="E36" s="109" t="n">
        <v>4542</v>
      </c>
      <c r="F36" s="109" t="n">
        <v>-3226</v>
      </c>
      <c r="G36" s="109" t="n">
        <v>-7910</v>
      </c>
      <c r="H36" s="109" t="n">
        <v>-520</v>
      </c>
      <c r="I36" s="109" t="n">
        <v>1782</v>
      </c>
      <c r="J36" s="109" t="n">
        <v>-14977</v>
      </c>
      <c r="K36" s="109" t="n">
        <v>-897</v>
      </c>
      <c r="L36" s="109" t="n">
        <v>6137</v>
      </c>
      <c r="M36" s="109" t="n">
        <v>4147</v>
      </c>
      <c r="N36" s="109" t="n">
        <v>-908</v>
      </c>
      <c r="O36" s="109" t="n">
        <v>-4439</v>
      </c>
      <c r="P36" s="109" t="n">
        <v>-20295</v>
      </c>
    </row>
    <row r="37" customFormat="false" ht="15" hidden="false" customHeight="true" outlineLevel="0" collapsed="false">
      <c r="C37" s="100" t="s">
        <v>41</v>
      </c>
      <c r="D37" s="110" t="n">
        <v>-3101</v>
      </c>
      <c r="E37" s="110" t="n">
        <v>5610</v>
      </c>
      <c r="F37" s="110" t="n">
        <v>462</v>
      </c>
      <c r="G37" s="110" t="n">
        <v>-7243</v>
      </c>
      <c r="H37" s="110" t="n">
        <v>-85</v>
      </c>
      <c r="I37" s="110" t="n">
        <v>4890</v>
      </c>
      <c r="J37" s="110" t="n">
        <v>-14973</v>
      </c>
      <c r="K37" s="110" t="n">
        <v>-891</v>
      </c>
      <c r="L37" s="110" t="n">
        <v>7347</v>
      </c>
      <c r="M37" s="110" t="n">
        <v>4877</v>
      </c>
      <c r="N37" s="110" t="n">
        <v>222</v>
      </c>
      <c r="O37" s="110" t="n">
        <v>455</v>
      </c>
      <c r="P37" s="110" t="n">
        <v>-2430</v>
      </c>
    </row>
    <row r="38" customFormat="false" ht="15" hidden="false" customHeight="true" outlineLevel="0" collapsed="false">
      <c r="C38" s="100" t="s">
        <v>39</v>
      </c>
      <c r="D38" s="110" t="n">
        <v>925</v>
      </c>
      <c r="E38" s="110" t="n">
        <v>1068</v>
      </c>
      <c r="F38" s="110" t="n">
        <v>3688</v>
      </c>
      <c r="G38" s="110" t="n">
        <v>667</v>
      </c>
      <c r="H38" s="110" t="n">
        <v>435</v>
      </c>
      <c r="I38" s="110" t="n">
        <v>3108</v>
      </c>
      <c r="J38" s="110" t="n">
        <v>4</v>
      </c>
      <c r="K38" s="110" t="n">
        <v>6</v>
      </c>
      <c r="L38" s="110" t="n">
        <v>1210</v>
      </c>
      <c r="M38" s="110" t="n">
        <v>730</v>
      </c>
      <c r="N38" s="110" t="n">
        <v>1130</v>
      </c>
      <c r="O38" s="110" t="n">
        <v>4894</v>
      </c>
      <c r="P38" s="110" t="n">
        <v>17865</v>
      </c>
    </row>
    <row r="39" customFormat="false" ht="15" hidden="false" customHeight="true" outlineLevel="0" collapsed="false"/>
    <row r="40" s="107" customFormat="true" ht="15" hidden="false" customHeight="true" outlineLevel="0" collapsed="false">
      <c r="A40" s="107" t="s">
        <v>45</v>
      </c>
      <c r="D40" s="108" t="n">
        <v>-6830</v>
      </c>
      <c r="E40" s="108" t="n">
        <v>3390</v>
      </c>
      <c r="F40" s="108" t="n">
        <v>-450</v>
      </c>
      <c r="G40" s="108" t="n">
        <v>10441</v>
      </c>
      <c r="H40" s="108" t="n">
        <v>-16522</v>
      </c>
      <c r="I40" s="108" t="n">
        <v>-3406</v>
      </c>
      <c r="J40" s="108" t="n">
        <v>-12527</v>
      </c>
      <c r="K40" s="108" t="n">
        <v>10073</v>
      </c>
      <c r="L40" s="108" t="n">
        <v>-622</v>
      </c>
      <c r="M40" s="108" t="n">
        <v>-5496</v>
      </c>
      <c r="N40" s="108" t="n">
        <v>-12910</v>
      </c>
      <c r="O40" s="108" t="n">
        <v>2295</v>
      </c>
      <c r="P40" s="108" t="n">
        <v>-32564</v>
      </c>
      <c r="Q40" s="112"/>
    </row>
    <row r="41" customFormat="false" ht="15" hidden="false" customHeight="false" outlineLevel="0" collapsed="false">
      <c r="A41" s="113"/>
      <c r="B41" s="113"/>
      <c r="C41" s="113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</row>
    <row r="42" customFormat="false" ht="15" hidden="false" customHeight="false" outlineLevel="0" collapsed="false"/>
    <row r="43" customFormat="false" ht="14.25" hidden="false" customHeight="false" outlineLevel="0" collapsed="false">
      <c r="C43" s="160"/>
    </row>
    <row r="44" customFormat="false" ht="14.25" hidden="false" customHeight="false" outlineLevel="0" collapsed="false">
      <c r="A44" s="31" t="s">
        <v>139</v>
      </c>
    </row>
    <row r="49" s="100" customFormat="true" ht="14.25" hidden="false" customHeight="false" outlineLevel="0" collapsed="false"/>
    <row r="50" s="100" customFormat="true" ht="14.25" hidden="false" customHeight="false" outlineLevel="0" collapsed="false"/>
    <row r="51" s="100" customFormat="true" ht="14.25" hidden="false" customHeight="false" outlineLevel="0" collapsed="false"/>
    <row r="52" s="100" customFormat="true" ht="14.25" hidden="false" customHeight="false" outlineLevel="0" collapsed="false"/>
    <row r="53" s="100" customFormat="true" ht="14.25" hidden="false" customHeight="false" outlineLevel="0" collapsed="false"/>
    <row r="54" s="100" customFormat="true" ht="14.25" hidden="false" customHeight="false" outlineLevel="0" collapsed="false"/>
    <row r="55" s="100" customFormat="true" ht="14.25" hidden="false" customHeight="false" outlineLevel="0" collapsed="false"/>
    <row r="56" s="100" customFormat="true" ht="14.25" hidden="false" customHeight="false" outlineLevel="0" collapsed="false"/>
    <row r="57" s="100" customFormat="true" ht="14.25" hidden="false" customHeight="false" outlineLevel="0" collapsed="false"/>
    <row r="58" s="100" customFormat="true" ht="14.25" hidden="false" customHeight="false" outlineLevel="0" collapsed="false"/>
    <row r="59" s="100" customFormat="true" ht="14.25" hidden="false" customHeight="false" outlineLevel="0" collapsed="false"/>
    <row r="60" s="100" customFormat="true" ht="14.25" hidden="false" customHeight="false" outlineLevel="0" collapsed="false"/>
    <row r="61" s="100" customFormat="true" ht="14.25" hidden="false" customHeight="false" outlineLevel="0" collapsed="false"/>
    <row r="62" s="100" customFormat="true" ht="14.25" hidden="false" customHeight="false" outlineLevel="0" collapsed="false"/>
    <row r="63" s="100" customFormat="true" ht="14.25" hidden="false" customHeight="false" outlineLevel="0" collapsed="false"/>
    <row r="64" s="100" customFormat="true" ht="14.25" hidden="false" customHeight="false" outlineLevel="0" collapsed="false"/>
    <row r="65" s="100" customFormat="true" ht="14.25" hidden="false" customHeight="false" outlineLevel="0" collapsed="false"/>
    <row r="66" s="100" customFormat="true" ht="14.25" hidden="false" customHeight="false" outlineLevel="0" collapsed="false"/>
    <row r="67" s="100" customFormat="true" ht="14.25" hidden="false" customHeight="false" outlineLevel="0" collapsed="false"/>
    <row r="68" s="100" customFormat="true" ht="14.25" hidden="false" customHeight="false" outlineLevel="0" collapsed="false"/>
    <row r="69" s="100" customFormat="true" ht="14.25" hidden="false" customHeight="false" outlineLevel="0" collapsed="false"/>
    <row r="70" s="100" customFormat="true" ht="14.25" hidden="false" customHeight="false" outlineLevel="0" collapsed="false"/>
    <row r="71" s="100" customFormat="true" ht="14.25" hidden="false" customHeight="false" outlineLevel="0" collapsed="false"/>
    <row r="72" s="100" customFormat="true" ht="14.25" hidden="false" customHeight="false" outlineLevel="0" collapsed="false"/>
    <row r="73" s="100" customFormat="true" ht="14.25" hidden="false" customHeight="false" outlineLevel="0" collapsed="false"/>
    <row r="74" s="100" customFormat="true" ht="14.25" hidden="false" customHeight="false" outlineLevel="0" collapsed="false"/>
    <row r="75" s="100" customFormat="true" ht="14.25" hidden="false" customHeight="false" outlineLevel="0" collapsed="false"/>
    <row r="76" s="100" customFormat="true" ht="14.25" hidden="false" customHeight="false" outlineLevel="0" collapsed="false"/>
    <row r="77" s="100" customFormat="true" ht="14.25" hidden="false" customHeight="false" outlineLevel="0" collapsed="false"/>
    <row r="78" s="100" customFormat="true" ht="14.25" hidden="false" customHeight="false" outlineLevel="0" collapsed="false"/>
    <row r="79" s="100" customFormat="true" ht="14.25" hidden="false" customHeight="false" outlineLevel="0" collapsed="false"/>
    <row r="80" s="100" customFormat="true" ht="14.25" hidden="false" customHeight="false" outlineLevel="0" collapsed="false"/>
    <row r="81" s="100" customFormat="true" ht="14.25" hidden="false" customHeight="false" outlineLevel="0" collapsed="false"/>
    <row r="82" s="100" customFormat="true" ht="14.25" hidden="false" customHeight="false" outlineLevel="0" collapsed="false"/>
    <row r="83" s="100" customFormat="true" ht="14.25" hidden="false" customHeight="false" outlineLevel="0" collapsed="false"/>
    <row r="84" s="100" customFormat="true" ht="14.25" hidden="false" customHeight="false" outlineLevel="0" collapsed="false"/>
    <row r="85" s="100" customFormat="true" ht="14.25" hidden="false" customHeight="false" outlineLevel="0" collapsed="false"/>
    <row r="86" s="100" customFormat="true" ht="14.25" hidden="false" customHeight="false" outlineLevel="0" collapsed="false"/>
    <row r="87" s="100" customFormat="true" ht="14.25" hidden="false" customHeight="false" outlineLevel="0" collapsed="false"/>
    <row r="88" s="100" customFormat="true" ht="14.25" hidden="false" customHeight="false" outlineLevel="0" collapsed="false"/>
    <row r="89" s="100" customFormat="true" ht="14.25" hidden="false" customHeight="false" outlineLevel="0" collapsed="false"/>
    <row r="90" s="100" customFormat="true" ht="14.25" hidden="false" customHeight="false" outlineLevel="0" collapsed="false"/>
    <row r="91" s="100" customFormat="true" ht="14.25" hidden="false" customHeight="false" outlineLevel="0" collapsed="false"/>
    <row r="92" s="100" customFormat="true" ht="14.25" hidden="false" customHeight="false" outlineLevel="0" collapsed="false"/>
    <row r="93" s="100" customFormat="true" ht="14.25" hidden="false" customHeight="false" outlineLevel="0" collapsed="false"/>
    <row r="94" s="100" customFormat="true" ht="14.25" hidden="false" customHeight="false" outlineLevel="0" collapsed="false"/>
    <row r="95" s="100" customFormat="true" ht="14.25" hidden="false" customHeight="false" outlineLevel="0" collapsed="false"/>
    <row r="96" s="100" customFormat="true" ht="14.25" hidden="false" customHeight="false" outlineLevel="0" collapsed="false"/>
    <row r="97" s="100" customFormat="true" ht="14.25" hidden="false" customHeight="false" outlineLevel="0" collapsed="false"/>
    <row r="98" s="100" customFormat="true" ht="14.25" hidden="false" customHeight="false" outlineLevel="0" collapsed="false"/>
    <row r="99" s="100" customFormat="true" ht="14.25" hidden="false" customHeight="false" outlineLevel="0" collapsed="false"/>
    <row r="100" s="100" customFormat="true" ht="14.25" hidden="false" customHeight="false" outlineLevel="0" collapsed="false"/>
    <row r="101" s="100" customFormat="true" ht="14.25" hidden="false" customHeight="false" outlineLevel="0" collapsed="false"/>
    <row r="102" s="100" customFormat="true" ht="14.25" hidden="false" customHeight="false" outlineLevel="0" collapsed="false"/>
    <row r="103" s="100" customFormat="true" ht="14.25" hidden="false" customHeight="false" outlineLevel="0" collapsed="false"/>
    <row r="104" s="100" customFormat="true" ht="14.25" hidden="false" customHeight="false" outlineLevel="0" collapsed="false"/>
    <row r="105" s="100" customFormat="true" ht="14.25" hidden="false" customHeight="false" outlineLevel="0" collapsed="false"/>
    <row r="106" s="100" customFormat="true" ht="14.25" hidden="false" customHeight="false" outlineLevel="0" collapsed="false"/>
    <row r="107" s="100" customFormat="true" ht="14.25" hidden="false" customHeight="false" outlineLevel="0" collapsed="false"/>
    <row r="108" s="100" customFormat="true" ht="14.25" hidden="false" customHeight="false" outlineLevel="0" collapsed="false"/>
    <row r="109" s="100" customFormat="true" ht="14.25" hidden="false" customHeight="false" outlineLevel="0" collapsed="false"/>
    <row r="110" s="100" customFormat="true" ht="14.25" hidden="false" customHeight="false" outlineLevel="0" collapsed="false"/>
    <row r="111" s="100" customFormat="true" ht="14.25" hidden="false" customHeight="false" outlineLevel="0" collapsed="false"/>
    <row r="112" s="100" customFormat="true" ht="14.25" hidden="false" customHeight="false" outlineLevel="0" collapsed="false"/>
    <row r="113" s="100" customFormat="true" ht="14.25" hidden="false" customHeight="false" outlineLevel="0" collapsed="false"/>
    <row r="114" s="100" customFormat="true" ht="14.25" hidden="false" customHeight="false" outlineLevel="0" collapsed="false"/>
    <row r="115" s="100" customFormat="true" ht="14.25" hidden="false" customHeight="false" outlineLevel="0" collapsed="false"/>
    <row r="116" s="100" customFormat="true" ht="14.25" hidden="false" customHeight="false" outlineLevel="0" collapsed="false"/>
    <row r="117" s="100" customFormat="true" ht="14.25" hidden="false" customHeight="false" outlineLevel="0" collapsed="false"/>
    <row r="118" s="100" customFormat="true" ht="14.25" hidden="false" customHeight="false" outlineLevel="0" collapsed="false"/>
    <row r="119" s="100" customFormat="true" ht="14.25" hidden="false" customHeight="false" outlineLevel="0" collapsed="false"/>
    <row r="120" s="100" customFormat="true" ht="14.25" hidden="false" customHeight="false" outlineLevel="0" collapsed="false"/>
    <row r="121" s="100" customFormat="true" ht="14.25" hidden="false" customHeight="false" outlineLevel="0" collapsed="false"/>
    <row r="122" s="100" customFormat="true" ht="14.25" hidden="false" customHeight="false" outlineLevel="0" collapsed="false"/>
    <row r="123" s="100" customFormat="true" ht="14.25" hidden="false" customHeight="false" outlineLevel="0" collapsed="false"/>
    <row r="124" s="100" customFormat="true" ht="14.25" hidden="false" customHeight="false" outlineLevel="0" collapsed="false"/>
    <row r="125" s="100" customFormat="true" ht="14.25" hidden="false" customHeight="false" outlineLevel="0" collapsed="false"/>
    <row r="126" s="100" customFormat="true" ht="14.25" hidden="false" customHeight="false" outlineLevel="0" collapsed="false"/>
    <row r="127" s="100" customFormat="true" ht="14.25" hidden="false" customHeight="false" outlineLevel="0" collapsed="false"/>
    <row r="128" s="100" customFormat="true" ht="14.25" hidden="false" customHeight="false" outlineLevel="0" collapsed="false"/>
    <row r="129" s="100" customFormat="true" ht="14.25" hidden="false" customHeight="false" outlineLevel="0" collapsed="false"/>
    <row r="130" s="100" customFormat="true" ht="14.25" hidden="false" customHeight="false" outlineLevel="0" collapsed="false"/>
    <row r="131" s="100" customFormat="true" ht="14.25" hidden="false" customHeight="false" outlineLevel="0" collapsed="false"/>
    <row r="132" s="100" customFormat="true" ht="14.25" hidden="false" customHeight="false" outlineLevel="0" collapsed="false"/>
    <row r="133" s="100" customFormat="true" ht="14.25" hidden="false" customHeight="false" outlineLevel="0" collapsed="false"/>
    <row r="134" s="100" customFormat="true" ht="14.25" hidden="false" customHeight="false" outlineLevel="0" collapsed="false"/>
    <row r="135" s="100" customFormat="true" ht="14.25" hidden="false" customHeight="false" outlineLevel="0" collapsed="false"/>
    <row r="136" s="100" customFormat="true" ht="14.25" hidden="false" customHeight="false" outlineLevel="0" collapsed="false"/>
    <row r="137" s="100" customFormat="true" ht="14.25" hidden="false" customHeight="false" outlineLevel="0" collapsed="false"/>
    <row r="138" s="100" customFormat="true" ht="14.25" hidden="false" customHeight="false" outlineLevel="0" collapsed="false"/>
    <row r="139" s="100" customFormat="true" ht="14.25" hidden="false" customHeight="false" outlineLevel="0" collapsed="false"/>
    <row r="140" s="100" customFormat="true" ht="14.25" hidden="false" customHeight="false" outlineLevel="0" collapsed="false"/>
    <row r="141" s="100" customFormat="true" ht="14.25" hidden="false" customHeight="false" outlineLevel="0" collapsed="false"/>
    <row r="142" s="100" customFormat="true" ht="14.25" hidden="false" customHeight="false" outlineLevel="0" collapsed="false"/>
    <row r="143" s="100" customFormat="true" ht="14.25" hidden="false" customHeight="false" outlineLevel="0" collapsed="false"/>
    <row r="144" s="100" customFormat="true" ht="14.25" hidden="false" customHeight="false" outlineLevel="0" collapsed="false"/>
    <row r="145" s="100" customFormat="true" ht="14.25" hidden="false" customHeight="false" outlineLevel="0" collapsed="false"/>
    <row r="146" s="100" customFormat="true" ht="14.25" hidden="false" customHeight="false" outlineLevel="0" collapsed="false"/>
  </sheetData>
  <mergeCells count="1">
    <mergeCell ref="A5:C5"/>
  </mergeCells>
  <printOptions headings="false" gridLines="false" gridLinesSet="true" horizontalCentered="true" verticalCentered="false"/>
  <pageMargins left="0" right="0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P20" activeCellId="0" sqref="P20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42"/>
    <col collapsed="false" customWidth="true" hidden="false" outlineLevel="0" max="3" min="3" style="100" width="22.57"/>
    <col collapsed="false" customWidth="true" hidden="false" outlineLevel="0" max="8" min="4" style="100" width="8"/>
    <col collapsed="false" customWidth="true" hidden="false" outlineLevel="0" max="9" min="9" style="100" width="8.71"/>
    <col collapsed="false" customWidth="true" hidden="false" outlineLevel="0" max="13" min="10" style="100" width="8"/>
    <col collapsed="false" customWidth="true" hidden="false" outlineLevel="0" max="15" min="14" style="100" width="8.71"/>
    <col collapsed="false" customWidth="false" hidden="false" outlineLevel="0" max="1024" min="16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155</v>
      </c>
    </row>
    <row r="3" customFormat="false" ht="15" hidden="false" customHeight="false" outlineLevel="0" collapsed="false">
      <c r="A3" s="100" t="s">
        <v>2</v>
      </c>
      <c r="E3" s="100" t="s">
        <v>59</v>
      </c>
      <c r="F3" s="108"/>
    </row>
    <row r="4" customFormat="false" ht="15" hidden="false" customHeight="false" outlineLevel="0" collapsed="false"/>
    <row r="5" customFormat="false" ht="21.7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true" outlineLevel="0" collapsed="false"/>
    <row r="7" customFormat="false" ht="15" hidden="false" customHeight="true" outlineLevel="0" collapsed="false">
      <c r="A7" s="107" t="s">
        <v>12</v>
      </c>
      <c r="D7" s="108" t="n">
        <f aca="false">D8+D13+D18</f>
        <v>37796</v>
      </c>
      <c r="E7" s="108" t="n">
        <f aca="false">E8+E13+E18</f>
        <v>24430</v>
      </c>
      <c r="F7" s="108" t="n">
        <f aca="false">F8+F13+F18</f>
        <v>30792</v>
      </c>
      <c r="G7" s="108" t="n">
        <f aca="false">G8+G13+G18</f>
        <v>51789</v>
      </c>
      <c r="H7" s="108" t="n">
        <f aca="false">H8+H13+H18</f>
        <v>32624</v>
      </c>
      <c r="I7" s="108" t="n">
        <f aca="false">I8+I13+I18</f>
        <v>25556</v>
      </c>
      <c r="J7" s="108" t="n">
        <f aca="false">J8+J13+J18</f>
        <v>36458</v>
      </c>
      <c r="K7" s="108" t="n">
        <f aca="false">K8+K13+K18</f>
        <v>34863</v>
      </c>
      <c r="L7" s="108" t="n">
        <f aca="false">L8+L13+L18</f>
        <v>29083</v>
      </c>
      <c r="M7" s="108" t="n">
        <f aca="false">M8+M13+M18</f>
        <v>37966</v>
      </c>
      <c r="N7" s="108" t="n">
        <f aca="false">N8+N13+N18</f>
        <v>38178</v>
      </c>
      <c r="O7" s="108" t="n">
        <f aca="false">O8+O13+O18</f>
        <v>30914</v>
      </c>
      <c r="P7" s="108" t="n">
        <f aca="false">P8+P13+P18</f>
        <v>410449</v>
      </c>
    </row>
    <row r="8" customFormat="false" ht="15" hidden="false" customHeight="true" outlineLevel="0" collapsed="false">
      <c r="B8" s="100" t="s">
        <v>13</v>
      </c>
      <c r="D8" s="109" t="n">
        <v>31098</v>
      </c>
      <c r="E8" s="109" t="n">
        <v>22145</v>
      </c>
      <c r="F8" s="109" t="n">
        <v>24552</v>
      </c>
      <c r="G8" s="109" t="n">
        <v>44947</v>
      </c>
      <c r="H8" s="109" t="n">
        <v>31147</v>
      </c>
      <c r="I8" s="109" t="n">
        <v>23175</v>
      </c>
      <c r="J8" s="109" t="n">
        <v>34620</v>
      </c>
      <c r="K8" s="109" t="n">
        <v>31696</v>
      </c>
      <c r="L8" s="109" t="n">
        <v>24479</v>
      </c>
      <c r="M8" s="109" t="n">
        <v>36659</v>
      </c>
      <c r="N8" s="109" t="n">
        <v>36422</v>
      </c>
      <c r="O8" s="109" t="n">
        <v>26954</v>
      </c>
      <c r="P8" s="109" t="n">
        <v>367894</v>
      </c>
    </row>
    <row r="9" customFormat="false" ht="15" hidden="false" customHeight="true" outlineLevel="0" collapsed="false">
      <c r="C9" s="100" t="s">
        <v>14</v>
      </c>
      <c r="D9" s="110" t="n">
        <v>23547</v>
      </c>
      <c r="E9" s="110" t="n">
        <v>13663</v>
      </c>
      <c r="F9" s="110" t="n">
        <v>14915</v>
      </c>
      <c r="G9" s="110" t="n">
        <v>36447</v>
      </c>
      <c r="H9" s="110" t="n">
        <v>21426</v>
      </c>
      <c r="I9" s="110" t="n">
        <v>15151</v>
      </c>
      <c r="J9" s="110" t="n">
        <v>24676</v>
      </c>
      <c r="K9" s="110" t="n">
        <v>22947</v>
      </c>
      <c r="L9" s="110" t="n">
        <v>15775</v>
      </c>
      <c r="M9" s="110" t="n">
        <v>27578</v>
      </c>
      <c r="N9" s="110" t="n">
        <v>24627</v>
      </c>
      <c r="O9" s="110" t="n">
        <v>20022</v>
      </c>
      <c r="P9" s="110" t="n">
        <v>260774</v>
      </c>
    </row>
    <row r="10" customFormat="false" ht="15" hidden="false" customHeight="true" outlineLevel="0" collapsed="false">
      <c r="C10" s="100" t="s">
        <v>18</v>
      </c>
      <c r="D10" s="110" t="n">
        <v>7406</v>
      </c>
      <c r="E10" s="110" t="n">
        <v>8232</v>
      </c>
      <c r="F10" s="110" t="n">
        <v>9380</v>
      </c>
      <c r="G10" s="110" t="n">
        <v>8285</v>
      </c>
      <c r="H10" s="110" t="n">
        <v>9445</v>
      </c>
      <c r="I10" s="110" t="n">
        <v>7773</v>
      </c>
      <c r="J10" s="110" t="n">
        <v>9743</v>
      </c>
      <c r="K10" s="110" t="n">
        <v>8654</v>
      </c>
      <c r="L10" s="110" t="n">
        <v>8416</v>
      </c>
      <c r="M10" s="110" t="n">
        <v>8790</v>
      </c>
      <c r="N10" s="110" t="n">
        <v>11671</v>
      </c>
      <c r="O10" s="110" t="n">
        <v>6771</v>
      </c>
      <c r="P10" s="110" t="n">
        <v>104566</v>
      </c>
    </row>
    <row r="11" customFormat="false" ht="15" hidden="false" customHeight="true" outlineLevel="0" collapsed="false">
      <c r="C11" s="100" t="s">
        <v>87</v>
      </c>
      <c r="D11" s="110" t="n">
        <v>145</v>
      </c>
      <c r="E11" s="110" t="n">
        <v>250</v>
      </c>
      <c r="F11" s="110" t="n">
        <v>257</v>
      </c>
      <c r="G11" s="110" t="n">
        <v>215</v>
      </c>
      <c r="H11" s="110" t="n">
        <v>276</v>
      </c>
      <c r="I11" s="110" t="n">
        <v>251</v>
      </c>
      <c r="J11" s="110" t="n">
        <v>201</v>
      </c>
      <c r="K11" s="110" t="n">
        <v>95</v>
      </c>
      <c r="L11" s="110" t="n">
        <v>288</v>
      </c>
      <c r="M11" s="110" t="n">
        <v>291</v>
      </c>
      <c r="N11" s="110" t="n">
        <v>124</v>
      </c>
      <c r="O11" s="110" t="n">
        <v>161</v>
      </c>
      <c r="P11" s="110" t="n">
        <v>2554</v>
      </c>
    </row>
    <row r="12" customFormat="false" ht="1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customFormat="false" ht="15" hidden="false" customHeight="true" outlineLevel="0" collapsed="false">
      <c r="B13" s="100" t="s">
        <v>20</v>
      </c>
      <c r="D13" s="109" t="n">
        <f aca="false">SUM(D14:D16)</f>
        <v>6685</v>
      </c>
      <c r="E13" s="109" t="n">
        <f aca="false">SUM(E14:E16)</f>
        <v>2224</v>
      </c>
      <c r="F13" s="109" t="n">
        <f aca="false">SUM(F14:F16)</f>
        <v>6240</v>
      </c>
      <c r="G13" s="109" t="n">
        <f aca="false">SUM(G14:G16)</f>
        <v>6765</v>
      </c>
      <c r="H13" s="109" t="n">
        <f aca="false">SUM(H14:H16)</f>
        <v>1454</v>
      </c>
      <c r="I13" s="109" t="n">
        <f aca="false">SUM(I14:I16)</f>
        <v>2340</v>
      </c>
      <c r="J13" s="109" t="n">
        <f aca="false">SUM(J14:J16)</f>
        <v>1769</v>
      </c>
      <c r="K13" s="109" t="n">
        <f aca="false">SUM(K14:K16)</f>
        <v>3167</v>
      </c>
      <c r="L13" s="109" t="n">
        <f aca="false">SUM(L14:L16)</f>
        <v>4480</v>
      </c>
      <c r="M13" s="109" t="n">
        <f aca="false">SUM(M14:M16)</f>
        <v>1250</v>
      </c>
      <c r="N13" s="109" t="n">
        <f aca="false">SUM(N14:N16)</f>
        <v>1736</v>
      </c>
      <c r="O13" s="109" t="n">
        <f aca="false">SUM(O14:O16)</f>
        <v>3876</v>
      </c>
      <c r="P13" s="109" t="n">
        <f aca="false">SUM(P14:P16)</f>
        <v>41986</v>
      </c>
    </row>
    <row r="14" customFormat="false" ht="15" hidden="false" customHeight="true" outlineLevel="0" collapsed="false">
      <c r="C14" s="100" t="s">
        <v>21</v>
      </c>
      <c r="D14" s="110" t="n">
        <v>5893</v>
      </c>
      <c r="E14" s="110" t="n">
        <v>351</v>
      </c>
      <c r="F14" s="110" t="n">
        <v>2093</v>
      </c>
      <c r="G14" s="110" t="n">
        <v>5927</v>
      </c>
      <c r="H14" s="110" t="n">
        <v>624</v>
      </c>
      <c r="I14" s="110" t="n">
        <v>1321</v>
      </c>
      <c r="J14" s="110" t="n">
        <v>642</v>
      </c>
      <c r="K14" s="110" t="n">
        <v>1905</v>
      </c>
      <c r="L14" s="110" t="n">
        <v>2853</v>
      </c>
      <c r="M14" s="110" t="n">
        <v>722</v>
      </c>
      <c r="N14" s="110" t="n">
        <v>693</v>
      </c>
      <c r="O14" s="110" t="n">
        <v>1569</v>
      </c>
      <c r="P14" s="110" t="n">
        <v>24593</v>
      </c>
    </row>
    <row r="15" customFormat="false" ht="15" hidden="false" customHeight="true" outlineLevel="0" collapsed="false">
      <c r="C15" s="100" t="s">
        <v>150</v>
      </c>
      <c r="D15" s="110" t="n">
        <v>664</v>
      </c>
      <c r="E15" s="110" t="n">
        <v>994</v>
      </c>
      <c r="F15" s="110" t="n">
        <v>972</v>
      </c>
      <c r="G15" s="110" t="n">
        <v>815</v>
      </c>
      <c r="H15" s="110" t="n">
        <v>821</v>
      </c>
      <c r="I15" s="110" t="n">
        <v>1009</v>
      </c>
      <c r="J15" s="110" t="n">
        <v>1123</v>
      </c>
      <c r="K15" s="110" t="n">
        <v>1248</v>
      </c>
      <c r="L15" s="110" t="n">
        <v>1614</v>
      </c>
      <c r="M15" s="110" t="n">
        <v>381</v>
      </c>
      <c r="N15" s="110" t="n">
        <v>845</v>
      </c>
      <c r="O15" s="110" t="n">
        <v>1247</v>
      </c>
      <c r="P15" s="110" t="n">
        <v>11733</v>
      </c>
    </row>
    <row r="16" customFormat="false" ht="15" hidden="false" customHeight="true" outlineLevel="0" collapsed="false">
      <c r="C16" s="100" t="s">
        <v>23</v>
      </c>
      <c r="D16" s="110" t="n">
        <v>128</v>
      </c>
      <c r="E16" s="110" t="n">
        <v>879</v>
      </c>
      <c r="F16" s="110" t="n">
        <v>3175</v>
      </c>
      <c r="G16" s="110" t="n">
        <v>23</v>
      </c>
      <c r="H16" s="110" t="n">
        <v>9</v>
      </c>
      <c r="I16" s="110" t="n">
        <v>10</v>
      </c>
      <c r="J16" s="110" t="n">
        <v>4</v>
      </c>
      <c r="K16" s="110" t="n">
        <v>14</v>
      </c>
      <c r="L16" s="110" t="n">
        <v>13</v>
      </c>
      <c r="M16" s="110" t="n">
        <v>147</v>
      </c>
      <c r="N16" s="110" t="n">
        <v>198</v>
      </c>
      <c r="O16" s="110" t="n">
        <v>1060</v>
      </c>
      <c r="P16" s="110" t="n">
        <v>5660</v>
      </c>
    </row>
    <row r="17" customFormat="false" ht="15" hidden="false" customHeight="true" outlineLevel="0" collapsed="false"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</row>
    <row r="18" customFormat="false" ht="15" hidden="false" customHeight="true" outlineLevel="0" collapsed="false">
      <c r="B18" s="100" t="s">
        <v>26</v>
      </c>
      <c r="D18" s="110" t="n">
        <v>13</v>
      </c>
      <c r="E18" s="110" t="n">
        <v>61</v>
      </c>
      <c r="F18" s="110" t="n">
        <v>0</v>
      </c>
      <c r="G18" s="110" t="n">
        <v>77</v>
      </c>
      <c r="H18" s="110" t="n">
        <v>23</v>
      </c>
      <c r="I18" s="110" t="n">
        <v>41</v>
      </c>
      <c r="J18" s="110" t="n">
        <v>69</v>
      </c>
      <c r="K18" s="110" t="n">
        <v>0</v>
      </c>
      <c r="L18" s="110" t="n">
        <v>124</v>
      </c>
      <c r="M18" s="110" t="n">
        <v>57</v>
      </c>
      <c r="N18" s="110" t="n">
        <v>20</v>
      </c>
      <c r="O18" s="110" t="n">
        <v>84</v>
      </c>
      <c r="P18" s="110" t="n">
        <v>569</v>
      </c>
    </row>
    <row r="19" customFormat="false" ht="15" hidden="false" customHeight="true" outlineLevel="0" collapsed="false"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</row>
    <row r="20" customFormat="false" ht="15" hidden="false" customHeight="true" outlineLevel="0" collapsed="false">
      <c r="A20" s="107" t="s">
        <v>27</v>
      </c>
      <c r="D20" s="108" t="n">
        <v>37576</v>
      </c>
      <c r="E20" s="108" t="n">
        <v>30380</v>
      </c>
      <c r="F20" s="108" t="n">
        <v>26633</v>
      </c>
      <c r="G20" s="108" t="n">
        <v>36552</v>
      </c>
      <c r="H20" s="108" t="n">
        <v>33736</v>
      </c>
      <c r="I20" s="108" t="n">
        <v>28690</v>
      </c>
      <c r="J20" s="108" t="n">
        <v>41254</v>
      </c>
      <c r="K20" s="108" t="n">
        <v>32530</v>
      </c>
      <c r="L20" s="108" t="n">
        <v>28867</v>
      </c>
      <c r="M20" s="108" t="n">
        <v>38606</v>
      </c>
      <c r="N20" s="108" t="n">
        <v>34378</v>
      </c>
      <c r="O20" s="108" t="n">
        <v>34991</v>
      </c>
      <c r="P20" s="108" t="n">
        <v>404193</v>
      </c>
    </row>
    <row r="21" customFormat="false" ht="15" hidden="false" customHeight="true" outlineLevel="0" collapsed="false">
      <c r="B21" s="100" t="s">
        <v>15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</row>
    <row r="22" customFormat="false" ht="15" hidden="false" customHeight="true" outlineLevel="0" collapsed="false">
      <c r="C22" s="100" t="s">
        <v>28</v>
      </c>
      <c r="D22" s="110" t="n">
        <v>4716</v>
      </c>
      <c r="E22" s="110" t="n">
        <v>4716</v>
      </c>
      <c r="F22" s="110" t="n">
        <v>4716</v>
      </c>
      <c r="G22" s="110" t="n">
        <v>4748</v>
      </c>
      <c r="H22" s="110" t="n">
        <v>4748</v>
      </c>
      <c r="I22" s="110" t="n">
        <v>4806</v>
      </c>
      <c r="J22" s="110" t="n">
        <v>4756</v>
      </c>
      <c r="K22" s="110" t="n">
        <v>4748</v>
      </c>
      <c r="L22" s="110" t="n">
        <v>4748</v>
      </c>
      <c r="M22" s="110" t="n">
        <v>4884</v>
      </c>
      <c r="N22" s="110" t="n">
        <v>4884</v>
      </c>
      <c r="O22" s="110" t="n">
        <v>4886</v>
      </c>
      <c r="P22" s="110" t="n">
        <v>57356</v>
      </c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</row>
    <row r="23" customFormat="false" ht="15" hidden="false" customHeight="true" outlineLevel="0" collapsed="false">
      <c r="C23" s="100" t="s">
        <v>29</v>
      </c>
      <c r="D23" s="110" t="n">
        <v>8433</v>
      </c>
      <c r="E23" s="110" t="n">
        <v>5613</v>
      </c>
      <c r="F23" s="110" t="n">
        <v>4929</v>
      </c>
      <c r="G23" s="110" t="n">
        <v>6568</v>
      </c>
      <c r="H23" s="110" t="n">
        <v>7162</v>
      </c>
      <c r="I23" s="110" t="n">
        <v>5363</v>
      </c>
      <c r="J23" s="110" t="n">
        <v>8425</v>
      </c>
      <c r="K23" s="110" t="n">
        <v>7645</v>
      </c>
      <c r="L23" s="110" t="n">
        <v>6358</v>
      </c>
      <c r="M23" s="110" t="n">
        <v>6487</v>
      </c>
      <c r="N23" s="110" t="n">
        <v>4295</v>
      </c>
      <c r="O23" s="110" t="n">
        <v>5244</v>
      </c>
      <c r="P23" s="110" t="n">
        <v>76522</v>
      </c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</row>
    <row r="24" customFormat="false" ht="15" hidden="false" customHeight="true" outlineLevel="0" collapsed="false">
      <c r="C24" s="100" t="s">
        <v>77</v>
      </c>
      <c r="D24" s="110" t="n">
        <v>1146</v>
      </c>
      <c r="E24" s="110" t="n">
        <v>1287</v>
      </c>
      <c r="F24" s="110" t="n">
        <v>177</v>
      </c>
      <c r="G24" s="110" t="n">
        <v>47</v>
      </c>
      <c r="H24" s="110" t="n">
        <v>256</v>
      </c>
      <c r="I24" s="110" t="n">
        <v>364</v>
      </c>
      <c r="J24" s="110" t="n">
        <v>98</v>
      </c>
      <c r="K24" s="110" t="n">
        <v>187</v>
      </c>
      <c r="L24" s="110" t="n">
        <v>386</v>
      </c>
      <c r="M24" s="110" t="n">
        <v>302</v>
      </c>
      <c r="N24" s="110" t="n">
        <v>114</v>
      </c>
      <c r="O24" s="110" t="n">
        <v>1498</v>
      </c>
      <c r="P24" s="110" t="n">
        <v>5862</v>
      </c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</row>
    <row r="25" customFormat="false" ht="15" hidden="false" customHeight="true" outlineLevel="0" collapsed="false">
      <c r="C25" s="100" t="s">
        <v>30</v>
      </c>
      <c r="D25" s="110" t="n">
        <v>0</v>
      </c>
      <c r="E25" s="110" t="n">
        <v>69</v>
      </c>
      <c r="F25" s="110" t="n">
        <v>212</v>
      </c>
      <c r="G25" s="110" t="n">
        <v>86</v>
      </c>
      <c r="H25" s="110" t="n">
        <v>117</v>
      </c>
      <c r="I25" s="110" t="n">
        <v>86</v>
      </c>
      <c r="J25" s="110" t="n">
        <v>228</v>
      </c>
      <c r="K25" s="110" t="n">
        <v>173</v>
      </c>
      <c r="L25" s="110" t="n">
        <v>166</v>
      </c>
      <c r="M25" s="110" t="n">
        <v>539</v>
      </c>
      <c r="N25" s="110" t="n">
        <v>4308</v>
      </c>
      <c r="O25" s="110" t="n">
        <v>711</v>
      </c>
      <c r="P25" s="110" t="n">
        <v>6695</v>
      </c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</row>
    <row r="26" customFormat="false" ht="15" hidden="false" customHeight="true" outlineLevel="0" collapsed="false">
      <c r="C26" s="100" t="s">
        <v>32</v>
      </c>
      <c r="D26" s="110" t="n">
        <v>700</v>
      </c>
      <c r="E26" s="110" t="n">
        <v>2</v>
      </c>
      <c r="F26" s="110" t="n">
        <v>0</v>
      </c>
      <c r="G26" s="110" t="n">
        <v>0</v>
      </c>
      <c r="H26" s="110" t="n">
        <v>165</v>
      </c>
      <c r="I26" s="110" t="n">
        <v>442</v>
      </c>
      <c r="J26" s="110" t="n">
        <v>0</v>
      </c>
      <c r="K26" s="110" t="n">
        <v>338</v>
      </c>
      <c r="L26" s="110" t="n">
        <v>20</v>
      </c>
      <c r="M26" s="110" t="n">
        <v>103</v>
      </c>
      <c r="N26" s="110" t="n">
        <v>14</v>
      </c>
      <c r="O26" s="110" t="n">
        <v>231</v>
      </c>
      <c r="P26" s="110" t="n">
        <v>2015</v>
      </c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</row>
    <row r="27" customFormat="false" ht="15" hidden="false" customHeight="true" outlineLevel="0" collapsed="false">
      <c r="C27" s="100" t="s">
        <v>78</v>
      </c>
      <c r="D27" s="110" t="n">
        <v>299</v>
      </c>
      <c r="E27" s="110" t="n">
        <v>35</v>
      </c>
      <c r="F27" s="110" t="n">
        <v>552</v>
      </c>
      <c r="G27" s="110" t="n">
        <v>296</v>
      </c>
      <c r="H27" s="110" t="n">
        <v>107</v>
      </c>
      <c r="I27" s="110" t="n">
        <v>-244</v>
      </c>
      <c r="J27" s="110" t="n">
        <v>-186</v>
      </c>
      <c r="K27" s="110" t="n">
        <v>91</v>
      </c>
      <c r="L27" s="110" t="n">
        <v>329</v>
      </c>
      <c r="M27" s="110" t="n">
        <v>-19</v>
      </c>
      <c r="N27" s="110" t="n">
        <v>237</v>
      </c>
      <c r="O27" s="110" t="n">
        <v>-336</v>
      </c>
      <c r="P27" s="110" t="n">
        <v>1161</v>
      </c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</row>
    <row r="28" customFormat="false" ht="15" hidden="false" customHeight="true" outlineLevel="0" collapsed="false"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</row>
    <row r="29" s="107" customFormat="true" ht="15" hidden="false" customHeight="true" outlineLevel="0" collapsed="false">
      <c r="A29" s="107" t="s">
        <v>137</v>
      </c>
      <c r="D29" s="112" t="n">
        <v>220</v>
      </c>
      <c r="E29" s="112" t="n">
        <v>-5950</v>
      </c>
      <c r="F29" s="112" t="n">
        <v>4159</v>
      </c>
      <c r="G29" s="112" t="n">
        <v>15237</v>
      </c>
      <c r="H29" s="112" t="n">
        <v>-1112</v>
      </c>
      <c r="I29" s="112" t="n">
        <v>-3134</v>
      </c>
      <c r="J29" s="112" t="n">
        <v>-4796</v>
      </c>
      <c r="K29" s="112" t="n">
        <v>2333</v>
      </c>
      <c r="L29" s="112" t="n">
        <v>216</v>
      </c>
      <c r="M29" s="112" t="n">
        <v>-640</v>
      </c>
      <c r="N29" s="112" t="n">
        <v>3800</v>
      </c>
      <c r="O29" s="112" t="n">
        <v>-4077</v>
      </c>
      <c r="P29" s="112" t="n">
        <v>6256</v>
      </c>
      <c r="R29" s="112"/>
    </row>
    <row r="30" customFormat="false" ht="15" hidden="false" customHeight="true" outlineLevel="0" collapsed="false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="107" customFormat="true" ht="15" hidden="false" customHeight="true" outlineLevel="0" collapsed="false">
      <c r="A31" s="107" t="s">
        <v>36</v>
      </c>
      <c r="D31" s="108" t="n">
        <v>12427</v>
      </c>
      <c r="E31" s="108" t="n">
        <v>3186</v>
      </c>
      <c r="F31" s="108" t="n">
        <v>-4021</v>
      </c>
      <c r="G31" s="108" t="n">
        <v>30164</v>
      </c>
      <c r="H31" s="108" t="n">
        <v>-2318</v>
      </c>
      <c r="I31" s="108" t="n">
        <v>-4541</v>
      </c>
      <c r="J31" s="108" t="n">
        <v>15494</v>
      </c>
      <c r="K31" s="108" t="n">
        <v>10305</v>
      </c>
      <c r="L31" s="108" t="n">
        <v>11905</v>
      </c>
      <c r="M31" s="108" t="n">
        <v>-5992</v>
      </c>
      <c r="N31" s="108" t="n">
        <v>-14611</v>
      </c>
      <c r="O31" s="108" t="n">
        <v>-8679</v>
      </c>
      <c r="P31" s="108" t="n">
        <v>43319</v>
      </c>
    </row>
    <row r="32" customFormat="false" ht="15" hidden="false" customHeight="true" outlineLevel="0" collapsed="false">
      <c r="B32" s="100" t="s">
        <v>37</v>
      </c>
      <c r="D32" s="109" t="n">
        <v>-498</v>
      </c>
      <c r="E32" s="109" t="n">
        <v>-4019</v>
      </c>
      <c r="F32" s="109" t="n">
        <v>-548</v>
      </c>
      <c r="G32" s="109" t="n">
        <v>-1866</v>
      </c>
      <c r="H32" s="109" t="n">
        <v>-1926</v>
      </c>
      <c r="I32" s="109" t="n">
        <v>-1339</v>
      </c>
      <c r="J32" s="109" t="n">
        <v>-114</v>
      </c>
      <c r="K32" s="109" t="n">
        <v>6271</v>
      </c>
      <c r="L32" s="109" t="n">
        <v>167</v>
      </c>
      <c r="M32" s="109" t="n">
        <v>1698</v>
      </c>
      <c r="N32" s="109" t="n">
        <v>-1888</v>
      </c>
      <c r="O32" s="109" t="n">
        <v>-1943</v>
      </c>
      <c r="P32" s="109" t="n">
        <v>-6005</v>
      </c>
    </row>
    <row r="33" customFormat="false" ht="15" hidden="false" customHeight="true" outlineLevel="0" collapsed="false">
      <c r="C33" s="100" t="s">
        <v>38</v>
      </c>
      <c r="D33" s="110" t="n">
        <v>458</v>
      </c>
      <c r="E33" s="110" t="n">
        <v>869</v>
      </c>
      <c r="F33" s="110" t="n">
        <v>862</v>
      </c>
      <c r="G33" s="110" t="n">
        <v>795</v>
      </c>
      <c r="H33" s="110" t="n">
        <v>1069</v>
      </c>
      <c r="I33" s="110" t="n">
        <v>941</v>
      </c>
      <c r="J33" s="110" t="n">
        <v>981</v>
      </c>
      <c r="K33" s="110" t="n">
        <v>7324</v>
      </c>
      <c r="L33" s="110" t="n">
        <v>1458</v>
      </c>
      <c r="M33" s="110" t="n">
        <v>4762</v>
      </c>
      <c r="N33" s="110" t="n">
        <v>792</v>
      </c>
      <c r="O33" s="110" t="n">
        <v>1644</v>
      </c>
      <c r="P33" s="110" t="n">
        <v>21955</v>
      </c>
    </row>
    <row r="34" customFormat="false" ht="15" hidden="false" customHeight="true" outlineLevel="0" collapsed="false">
      <c r="C34" s="100" t="s">
        <v>39</v>
      </c>
      <c r="D34" s="110" t="n">
        <v>956</v>
      </c>
      <c r="E34" s="110" t="n">
        <v>4888</v>
      </c>
      <c r="F34" s="110" t="n">
        <v>1410</v>
      </c>
      <c r="G34" s="110" t="n">
        <v>2661</v>
      </c>
      <c r="H34" s="110" t="n">
        <v>2995</v>
      </c>
      <c r="I34" s="110" t="n">
        <v>2280</v>
      </c>
      <c r="J34" s="110" t="n">
        <v>1095</v>
      </c>
      <c r="K34" s="110" t="n">
        <v>1053</v>
      </c>
      <c r="L34" s="110" t="n">
        <v>1291</v>
      </c>
      <c r="M34" s="110" t="n">
        <v>3064</v>
      </c>
      <c r="N34" s="110" t="n">
        <v>2680</v>
      </c>
      <c r="O34" s="110" t="n">
        <v>3587</v>
      </c>
      <c r="P34" s="110" t="n">
        <v>27960</v>
      </c>
    </row>
    <row r="35" customFormat="false" ht="15" hidden="false" customHeight="true" outlineLevel="0" collapsed="false"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</row>
    <row r="36" customFormat="false" ht="15" hidden="false" customHeight="true" outlineLevel="0" collapsed="false">
      <c r="B36" s="100" t="s">
        <v>40</v>
      </c>
      <c r="D36" s="109" t="n">
        <v>12925</v>
      </c>
      <c r="E36" s="109" t="n">
        <v>7205</v>
      </c>
      <c r="F36" s="109" t="n">
        <v>-3473</v>
      </c>
      <c r="G36" s="109" t="n">
        <v>32030</v>
      </c>
      <c r="H36" s="109" t="n">
        <v>-392</v>
      </c>
      <c r="I36" s="109" t="n">
        <v>-3202</v>
      </c>
      <c r="J36" s="109" t="n">
        <v>15608</v>
      </c>
      <c r="K36" s="109" t="n">
        <v>4034</v>
      </c>
      <c r="L36" s="109" t="n">
        <v>11738</v>
      </c>
      <c r="M36" s="109" t="n">
        <v>-7690</v>
      </c>
      <c r="N36" s="109" t="n">
        <v>-12723</v>
      </c>
      <c r="O36" s="109" t="n">
        <v>-6736</v>
      </c>
      <c r="P36" s="109" t="n">
        <v>49324</v>
      </c>
    </row>
    <row r="37" customFormat="false" ht="15" hidden="false" customHeight="true" outlineLevel="0" collapsed="false">
      <c r="C37" s="100" t="s">
        <v>41</v>
      </c>
      <c r="D37" s="110" t="n">
        <v>17420</v>
      </c>
      <c r="E37" s="110" t="n">
        <v>7503</v>
      </c>
      <c r="F37" s="110" t="n">
        <v>-3449</v>
      </c>
      <c r="G37" s="110" t="n">
        <v>32062</v>
      </c>
      <c r="H37" s="110" t="n">
        <v>-366</v>
      </c>
      <c r="I37" s="110" t="n">
        <v>-827</v>
      </c>
      <c r="J37" s="110" t="n">
        <v>16594</v>
      </c>
      <c r="K37" s="110" t="n">
        <v>4575</v>
      </c>
      <c r="L37" s="110" t="n">
        <v>12356</v>
      </c>
      <c r="M37" s="110" t="n">
        <v>-6669</v>
      </c>
      <c r="N37" s="110" t="n">
        <v>-12185</v>
      </c>
      <c r="O37" s="110" t="n">
        <v>-4430</v>
      </c>
      <c r="P37" s="110" t="n">
        <v>62584</v>
      </c>
    </row>
    <row r="38" customFormat="false" ht="15" hidden="false" customHeight="true" outlineLevel="0" collapsed="false">
      <c r="C38" s="100" t="s">
        <v>39</v>
      </c>
      <c r="D38" s="110" t="n">
        <v>4495</v>
      </c>
      <c r="E38" s="110" t="n">
        <v>298</v>
      </c>
      <c r="F38" s="110" t="n">
        <v>24</v>
      </c>
      <c r="G38" s="110" t="n">
        <v>32</v>
      </c>
      <c r="H38" s="110" t="n">
        <v>26</v>
      </c>
      <c r="I38" s="110" t="n">
        <v>2375</v>
      </c>
      <c r="J38" s="110" t="n">
        <v>986</v>
      </c>
      <c r="K38" s="110" t="n">
        <v>541</v>
      </c>
      <c r="L38" s="110" t="n">
        <v>618</v>
      </c>
      <c r="M38" s="110" t="n">
        <v>1021</v>
      </c>
      <c r="N38" s="110" t="n">
        <v>538</v>
      </c>
      <c r="O38" s="110" t="n">
        <v>2306</v>
      </c>
      <c r="P38" s="110" t="n">
        <v>13260</v>
      </c>
    </row>
    <row r="39" customFormat="false" ht="15" hidden="false" customHeight="true" outlineLevel="0" collapsed="false"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</row>
    <row r="40" s="112" customFormat="true" ht="15" hidden="false" customHeight="true" outlineLevel="0" collapsed="false">
      <c r="A40" s="112" t="s">
        <v>45</v>
      </c>
      <c r="D40" s="108" t="n">
        <v>-3561</v>
      </c>
      <c r="E40" s="108" t="n">
        <v>-3648</v>
      </c>
      <c r="F40" s="108" t="n">
        <v>11284</v>
      </c>
      <c r="G40" s="108" t="n">
        <v>43809</v>
      </c>
      <c r="H40" s="108" t="n">
        <v>-5914</v>
      </c>
      <c r="I40" s="108" t="n">
        <v>-11160</v>
      </c>
      <c r="J40" s="108" t="n">
        <v>9787</v>
      </c>
      <c r="K40" s="108" t="n">
        <v>15391</v>
      </c>
      <c r="L40" s="108" t="n">
        <v>8193</v>
      </c>
      <c r="M40" s="108" t="n">
        <v>-6664</v>
      </c>
      <c r="N40" s="108" t="n">
        <v>-13292</v>
      </c>
      <c r="O40" s="108" t="n">
        <v>-13549</v>
      </c>
      <c r="P40" s="108" t="n">
        <v>30676</v>
      </c>
    </row>
    <row r="41" customFormat="false" ht="15" hidden="false" customHeight="false" outlineLevel="0" collapsed="false">
      <c r="A41" s="113"/>
      <c r="B41" s="113"/>
      <c r="C41" s="113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</row>
    <row r="42" customFormat="false" ht="15" hidden="false" customHeight="false" outlineLevel="0" collapsed="false"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customFormat="false" ht="14.25" hidden="false" customHeight="false" outlineLevel="0" collapsed="false"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</row>
    <row r="44" customFormat="false" ht="14.25" hidden="false" customHeight="false" outlineLevel="0" collapsed="false">
      <c r="A44" s="31" t="s">
        <v>139</v>
      </c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</row>
    <row r="45" s="31" customFormat="true" ht="14.25" hidden="false" customHeight="false" outlineLevel="0" collapsed="false"/>
  </sheetData>
  <mergeCells count="1">
    <mergeCell ref="A5:C5"/>
  </mergeCells>
  <printOptions headings="false" gridLines="false" gridLinesSet="true" horizontalCentered="true" verticalCentered="false"/>
  <pageMargins left="0" right="0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Q25" activeCellId="0" sqref="Q25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42"/>
    <col collapsed="false" customWidth="true" hidden="false" outlineLevel="0" max="2" min="2" style="100" width="1.14"/>
    <col collapsed="false" customWidth="true" hidden="false" outlineLevel="0" max="3" min="3" style="100" width="22.57"/>
    <col collapsed="false" customWidth="true" hidden="false" outlineLevel="0" max="4" min="4" style="100" width="8.71"/>
    <col collapsed="false" customWidth="true" hidden="false" outlineLevel="0" max="6" min="5" style="100" width="8"/>
    <col collapsed="false" customWidth="true" hidden="false" outlineLevel="0" max="7" min="7" style="100" width="8.71"/>
    <col collapsed="false" customWidth="true" hidden="false" outlineLevel="0" max="11" min="8" style="100" width="8"/>
    <col collapsed="false" customWidth="true" hidden="false" outlineLevel="0" max="12" min="12" style="100" width="8.71"/>
    <col collapsed="false" customWidth="true" hidden="false" outlineLevel="0" max="15" min="13" style="100" width="8"/>
    <col collapsed="false" customWidth="false" hidden="false" outlineLevel="0" max="1024" min="16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156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2.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.75" hidden="false" customHeight="true" outlineLevel="0" collapsed="false"/>
    <row r="7" s="107" customFormat="true" ht="15.75" hidden="false" customHeight="true" outlineLevel="0" collapsed="false">
      <c r="A7" s="107" t="s">
        <v>12</v>
      </c>
      <c r="D7" s="108" t="n">
        <v>27348</v>
      </c>
      <c r="E7" s="108" t="n">
        <v>30834</v>
      </c>
      <c r="F7" s="108" t="n">
        <v>34574</v>
      </c>
      <c r="G7" s="108" t="n">
        <v>38415</v>
      </c>
      <c r="H7" s="108" t="n">
        <v>27038</v>
      </c>
      <c r="I7" s="108" t="n">
        <v>25920</v>
      </c>
      <c r="J7" s="108" t="n">
        <v>30762</v>
      </c>
      <c r="K7" s="108" t="n">
        <v>30354</v>
      </c>
      <c r="L7" s="108" t="n">
        <v>25758</v>
      </c>
      <c r="M7" s="108" t="n">
        <v>31494</v>
      </c>
      <c r="N7" s="108" t="n">
        <v>27853</v>
      </c>
      <c r="O7" s="108" t="n">
        <v>30870</v>
      </c>
      <c r="P7" s="108" t="n">
        <v>361220</v>
      </c>
    </row>
    <row r="8" customFormat="false" ht="15.75" hidden="false" customHeight="true" outlineLevel="0" collapsed="false">
      <c r="B8" s="100" t="s">
        <v>13</v>
      </c>
      <c r="D8" s="109" t="n">
        <v>25252</v>
      </c>
      <c r="E8" s="109" t="n">
        <v>18982</v>
      </c>
      <c r="F8" s="109" t="n">
        <v>21030</v>
      </c>
      <c r="G8" s="109" t="n">
        <v>36033</v>
      </c>
      <c r="H8" s="109" t="n">
        <v>25508</v>
      </c>
      <c r="I8" s="109" t="n">
        <v>23427</v>
      </c>
      <c r="J8" s="109" t="n">
        <v>28931</v>
      </c>
      <c r="K8" s="109" t="n">
        <v>27073</v>
      </c>
      <c r="L8" s="109" t="n">
        <v>22035</v>
      </c>
      <c r="M8" s="109" t="n">
        <v>29491</v>
      </c>
      <c r="N8" s="109" t="n">
        <v>26915</v>
      </c>
      <c r="O8" s="109" t="n">
        <v>25840</v>
      </c>
      <c r="P8" s="109" t="n">
        <v>310517</v>
      </c>
    </row>
    <row r="9" customFormat="false" ht="15.75" hidden="false" customHeight="true" outlineLevel="0" collapsed="false">
      <c r="C9" s="100" t="s">
        <v>14</v>
      </c>
      <c r="D9" s="110" t="n">
        <v>18240</v>
      </c>
      <c r="E9" s="110" t="n">
        <v>11835</v>
      </c>
      <c r="F9" s="110" t="n">
        <v>12402</v>
      </c>
      <c r="G9" s="110" t="n">
        <v>29046</v>
      </c>
      <c r="H9" s="110" t="n">
        <v>17880</v>
      </c>
      <c r="I9" s="110" t="n">
        <v>14165</v>
      </c>
      <c r="J9" s="110" t="n">
        <v>20065</v>
      </c>
      <c r="K9" s="110" t="n">
        <v>19467</v>
      </c>
      <c r="L9" s="110" t="n">
        <v>12248</v>
      </c>
      <c r="M9" s="110" t="n">
        <v>19701</v>
      </c>
      <c r="N9" s="110" t="n">
        <v>18804</v>
      </c>
      <c r="O9" s="110" t="n">
        <v>16342</v>
      </c>
      <c r="P9" s="110" t="n">
        <v>210195</v>
      </c>
    </row>
    <row r="10" customFormat="false" ht="15.75" hidden="false" customHeight="true" outlineLevel="0" collapsed="false">
      <c r="C10" s="100" t="s">
        <v>18</v>
      </c>
      <c r="D10" s="110" t="n">
        <v>6812</v>
      </c>
      <c r="E10" s="110" t="n">
        <v>6893</v>
      </c>
      <c r="F10" s="110" t="n">
        <v>8350</v>
      </c>
      <c r="G10" s="110" t="n">
        <v>6778</v>
      </c>
      <c r="H10" s="110" t="n">
        <v>7505</v>
      </c>
      <c r="I10" s="110" t="n">
        <v>9007</v>
      </c>
      <c r="J10" s="110" t="n">
        <v>8620</v>
      </c>
      <c r="K10" s="110" t="n">
        <v>7335</v>
      </c>
      <c r="L10" s="110" t="n">
        <v>9544</v>
      </c>
      <c r="M10" s="110" t="n">
        <v>9481</v>
      </c>
      <c r="N10" s="110" t="n">
        <v>7912</v>
      </c>
      <c r="O10" s="110" t="n">
        <v>9364</v>
      </c>
      <c r="P10" s="110" t="n">
        <v>97601</v>
      </c>
    </row>
    <row r="11" customFormat="false" ht="15.75" hidden="false" customHeight="true" outlineLevel="0" collapsed="false">
      <c r="C11" s="100" t="s">
        <v>87</v>
      </c>
      <c r="D11" s="110" t="n">
        <v>200</v>
      </c>
      <c r="E11" s="110" t="n">
        <v>254</v>
      </c>
      <c r="F11" s="110" t="n">
        <v>278</v>
      </c>
      <c r="G11" s="110" t="n">
        <v>209</v>
      </c>
      <c r="H11" s="110" t="n">
        <v>123</v>
      </c>
      <c r="I11" s="110" t="n">
        <v>255</v>
      </c>
      <c r="J11" s="110" t="n">
        <v>246</v>
      </c>
      <c r="K11" s="110" t="n">
        <v>271</v>
      </c>
      <c r="L11" s="110" t="n">
        <v>243</v>
      </c>
      <c r="M11" s="110" t="n">
        <v>309</v>
      </c>
      <c r="N11" s="110" t="n">
        <v>199</v>
      </c>
      <c r="O11" s="110" t="n">
        <v>134</v>
      </c>
      <c r="P11" s="110" t="n">
        <v>2721</v>
      </c>
    </row>
    <row r="12" customFormat="false" ht="15.7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customFormat="false" ht="15.75" hidden="false" customHeight="true" outlineLevel="0" collapsed="false">
      <c r="B13" s="100" t="s">
        <v>20</v>
      </c>
      <c r="D13" s="109" t="n">
        <v>2094</v>
      </c>
      <c r="E13" s="109" t="n">
        <v>11843</v>
      </c>
      <c r="F13" s="109" t="n">
        <v>13486</v>
      </c>
      <c r="G13" s="109" t="n">
        <v>2051</v>
      </c>
      <c r="H13" s="109" t="n">
        <v>1233</v>
      </c>
      <c r="I13" s="109" t="n">
        <v>2469</v>
      </c>
      <c r="J13" s="109" t="n">
        <v>1812</v>
      </c>
      <c r="K13" s="109" t="n">
        <v>3281</v>
      </c>
      <c r="L13" s="109" t="n">
        <v>3572</v>
      </c>
      <c r="M13" s="109" t="n">
        <v>2002</v>
      </c>
      <c r="N13" s="109" t="n">
        <v>935</v>
      </c>
      <c r="O13" s="109" t="n">
        <v>4937</v>
      </c>
      <c r="P13" s="109" t="n">
        <v>49715</v>
      </c>
    </row>
    <row r="14" customFormat="false" ht="15.75" hidden="false" customHeight="true" outlineLevel="0" collapsed="false">
      <c r="C14" s="100" t="s">
        <v>21</v>
      </c>
      <c r="D14" s="110" t="n">
        <v>1336</v>
      </c>
      <c r="E14" s="110" t="n">
        <v>714</v>
      </c>
      <c r="F14" s="110" t="n">
        <v>2758</v>
      </c>
      <c r="G14" s="110" t="n">
        <v>1348</v>
      </c>
      <c r="H14" s="110" t="n">
        <v>643</v>
      </c>
      <c r="I14" s="110" t="n">
        <v>1111</v>
      </c>
      <c r="J14" s="110" t="n">
        <v>1131</v>
      </c>
      <c r="K14" s="110" t="n">
        <v>1629</v>
      </c>
      <c r="L14" s="110" t="n">
        <v>1631</v>
      </c>
      <c r="M14" s="110" t="n">
        <v>956</v>
      </c>
      <c r="N14" s="110" t="n">
        <v>261</v>
      </c>
      <c r="O14" s="110" t="n">
        <v>2367</v>
      </c>
      <c r="P14" s="110" t="n">
        <v>15885</v>
      </c>
    </row>
    <row r="15" customFormat="false" ht="15.75" hidden="false" customHeight="true" outlineLevel="0" collapsed="false">
      <c r="C15" s="100" t="s">
        <v>150</v>
      </c>
      <c r="D15" s="110" t="n">
        <v>733</v>
      </c>
      <c r="E15" s="110" t="n">
        <v>1206</v>
      </c>
      <c r="F15" s="110" t="n">
        <v>711</v>
      </c>
      <c r="G15" s="110" t="n">
        <v>404</v>
      </c>
      <c r="H15" s="110" t="n">
        <v>555</v>
      </c>
      <c r="I15" s="110" t="n">
        <v>861</v>
      </c>
      <c r="J15" s="110" t="n">
        <v>615</v>
      </c>
      <c r="K15" s="110" t="n">
        <v>1634</v>
      </c>
      <c r="L15" s="110" t="n">
        <v>1937</v>
      </c>
      <c r="M15" s="110" t="n">
        <v>978</v>
      </c>
      <c r="N15" s="110" t="n">
        <v>669</v>
      </c>
      <c r="O15" s="110" t="n">
        <v>698</v>
      </c>
      <c r="P15" s="110" t="n">
        <v>11001</v>
      </c>
    </row>
    <row r="16" customFormat="false" ht="15.75" hidden="false" customHeight="true" outlineLevel="0" collapsed="false">
      <c r="C16" s="100" t="s">
        <v>23</v>
      </c>
      <c r="D16" s="110" t="n">
        <v>25</v>
      </c>
      <c r="E16" s="110" t="n">
        <v>9923</v>
      </c>
      <c r="F16" s="110" t="n">
        <v>10017</v>
      </c>
      <c r="G16" s="110" t="n">
        <v>299</v>
      </c>
      <c r="H16" s="110" t="n">
        <v>35</v>
      </c>
      <c r="I16" s="110" t="n">
        <v>497</v>
      </c>
      <c r="J16" s="110" t="n">
        <v>66</v>
      </c>
      <c r="K16" s="110" t="n">
        <v>18</v>
      </c>
      <c r="L16" s="110" t="n">
        <v>4</v>
      </c>
      <c r="M16" s="110" t="n">
        <v>68</v>
      </c>
      <c r="N16" s="110" t="n">
        <v>5</v>
      </c>
      <c r="O16" s="110" t="n">
        <v>1872</v>
      </c>
      <c r="P16" s="110" t="n">
        <v>22829</v>
      </c>
    </row>
    <row r="17" customFormat="false" ht="15.75" hidden="false" customHeight="true" outlineLevel="0" collapsed="false"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</row>
    <row r="18" customFormat="false" ht="15.75" hidden="false" customHeight="true" outlineLevel="0" collapsed="false">
      <c r="B18" s="100" t="s">
        <v>26</v>
      </c>
      <c r="D18" s="110" t="n">
        <v>2</v>
      </c>
      <c r="E18" s="110" t="n">
        <v>9</v>
      </c>
      <c r="F18" s="110" t="n">
        <v>58</v>
      </c>
      <c r="G18" s="110" t="n">
        <v>331</v>
      </c>
      <c r="H18" s="110" t="n">
        <v>297</v>
      </c>
      <c r="I18" s="110" t="n">
        <v>24</v>
      </c>
      <c r="J18" s="110" t="n">
        <v>19</v>
      </c>
      <c r="K18" s="110" t="n">
        <v>0</v>
      </c>
      <c r="L18" s="110" t="n">
        <v>151</v>
      </c>
      <c r="M18" s="110" t="n">
        <v>1</v>
      </c>
      <c r="N18" s="110" t="n">
        <v>3</v>
      </c>
      <c r="O18" s="110" t="n">
        <v>93</v>
      </c>
      <c r="P18" s="110" t="n">
        <v>988</v>
      </c>
    </row>
    <row r="19" customFormat="false" ht="15.75" hidden="false" customHeight="true" outlineLevel="0" collapsed="false">
      <c r="Q19" s="107"/>
      <c r="R19" s="107"/>
    </row>
    <row r="20" s="107" customFormat="true" ht="15.75" hidden="false" customHeight="true" outlineLevel="0" collapsed="false">
      <c r="A20" s="107" t="s">
        <v>27</v>
      </c>
      <c r="D20" s="108" t="n">
        <v>28501</v>
      </c>
      <c r="E20" s="108" t="n">
        <v>25313</v>
      </c>
      <c r="F20" s="108" t="n">
        <v>33473</v>
      </c>
      <c r="G20" s="108" t="n">
        <v>27134</v>
      </c>
      <c r="H20" s="108" t="n">
        <v>32952</v>
      </c>
      <c r="I20" s="108" t="n">
        <v>27286</v>
      </c>
      <c r="J20" s="108" t="n">
        <v>33616</v>
      </c>
      <c r="K20" s="108" t="n">
        <v>30717</v>
      </c>
      <c r="L20" s="108" t="n">
        <v>24077</v>
      </c>
      <c r="M20" s="108" t="n">
        <v>29363</v>
      </c>
      <c r="N20" s="108" t="n">
        <v>27522</v>
      </c>
      <c r="O20" s="108" t="n">
        <v>30192</v>
      </c>
      <c r="P20" s="108" t="n">
        <v>350146</v>
      </c>
    </row>
    <row r="21" customFormat="false" ht="15.75" hidden="false" customHeight="true" outlineLevel="0" collapsed="false">
      <c r="B21" s="100" t="s">
        <v>15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</row>
    <row r="22" customFormat="false" ht="15.75" hidden="false" customHeight="true" outlineLevel="0" collapsed="false">
      <c r="C22" s="100" t="s">
        <v>28</v>
      </c>
      <c r="D22" s="110" t="n">
        <v>3581</v>
      </c>
      <c r="E22" s="110" t="n">
        <v>3769</v>
      </c>
      <c r="F22" s="110" t="n">
        <v>6067</v>
      </c>
      <c r="G22" s="110" t="n">
        <v>4244</v>
      </c>
      <c r="H22" s="110" t="n">
        <v>5506</v>
      </c>
      <c r="I22" s="110" t="n">
        <v>3521</v>
      </c>
      <c r="J22" s="110" t="n">
        <v>4355</v>
      </c>
      <c r="K22" s="110" t="n">
        <v>4722</v>
      </c>
      <c r="L22" s="110" t="n">
        <v>4340</v>
      </c>
      <c r="M22" s="110" t="n">
        <v>4359</v>
      </c>
      <c r="N22" s="110" t="n">
        <v>4359</v>
      </c>
      <c r="O22" s="110" t="n">
        <v>4359</v>
      </c>
      <c r="P22" s="110" t="n">
        <v>53182</v>
      </c>
    </row>
    <row r="23" customFormat="false" ht="15.75" hidden="false" customHeight="true" outlineLevel="0" collapsed="false">
      <c r="C23" s="100" t="s">
        <v>29</v>
      </c>
      <c r="D23" s="110" t="n">
        <v>5087</v>
      </c>
      <c r="E23" s="110" t="n">
        <v>4290</v>
      </c>
      <c r="F23" s="110" t="n">
        <v>6118</v>
      </c>
      <c r="G23" s="110" t="n">
        <v>5670</v>
      </c>
      <c r="H23" s="110" t="n">
        <v>9316</v>
      </c>
      <c r="I23" s="110" t="n">
        <v>6809</v>
      </c>
      <c r="J23" s="110" t="n">
        <v>6479</v>
      </c>
      <c r="K23" s="110" t="n">
        <v>5675</v>
      </c>
      <c r="L23" s="110" t="n">
        <v>5272</v>
      </c>
      <c r="M23" s="110" t="n">
        <v>5777</v>
      </c>
      <c r="N23" s="110" t="n">
        <v>6900</v>
      </c>
      <c r="O23" s="110" t="n">
        <v>5265</v>
      </c>
      <c r="P23" s="110" t="n">
        <v>72658</v>
      </c>
    </row>
    <row r="24" customFormat="false" ht="15.75" hidden="false" customHeight="true" outlineLevel="0" collapsed="false">
      <c r="C24" s="100" t="s">
        <v>77</v>
      </c>
      <c r="D24" s="110" t="n">
        <v>704</v>
      </c>
      <c r="E24" s="110" t="n">
        <v>183</v>
      </c>
      <c r="F24" s="110" t="n">
        <v>226</v>
      </c>
      <c r="G24" s="110" t="n">
        <v>71</v>
      </c>
      <c r="H24" s="110" t="n">
        <v>506</v>
      </c>
      <c r="I24" s="110" t="n">
        <v>496</v>
      </c>
      <c r="J24" s="110" t="n">
        <v>172</v>
      </c>
      <c r="K24" s="110" t="n">
        <v>374</v>
      </c>
      <c r="L24" s="110" t="n">
        <v>176</v>
      </c>
      <c r="M24" s="110" t="n">
        <v>131</v>
      </c>
      <c r="N24" s="110" t="n">
        <v>310</v>
      </c>
      <c r="O24" s="110" t="n">
        <v>231</v>
      </c>
      <c r="P24" s="110" t="n">
        <v>3580</v>
      </c>
    </row>
    <row r="25" customFormat="false" ht="15.75" hidden="false" customHeight="true" outlineLevel="0" collapsed="false">
      <c r="C25" s="100" t="s">
        <v>30</v>
      </c>
      <c r="D25" s="110" t="n">
        <v>0</v>
      </c>
      <c r="E25" s="110" t="n">
        <v>43</v>
      </c>
      <c r="F25" s="110" t="n">
        <v>27</v>
      </c>
      <c r="G25" s="110" t="n">
        <v>53</v>
      </c>
      <c r="H25" s="110" t="n">
        <v>596</v>
      </c>
      <c r="I25" s="110" t="n">
        <v>61</v>
      </c>
      <c r="J25" s="110" t="n">
        <v>31</v>
      </c>
      <c r="K25" s="110" t="n">
        <v>273</v>
      </c>
      <c r="L25" s="110" t="n">
        <v>448</v>
      </c>
      <c r="M25" s="110" t="n">
        <v>391</v>
      </c>
      <c r="N25" s="110" t="n">
        <v>29</v>
      </c>
      <c r="O25" s="110" t="n">
        <v>1657</v>
      </c>
      <c r="P25" s="110" t="n">
        <v>3609</v>
      </c>
    </row>
    <row r="26" customFormat="false" ht="15.75" hidden="false" customHeight="true" outlineLevel="0" collapsed="false">
      <c r="C26" s="100" t="s">
        <v>32</v>
      </c>
      <c r="D26" s="110" t="n">
        <v>1</v>
      </c>
      <c r="E26" s="110" t="n">
        <v>2</v>
      </c>
      <c r="F26" s="110" t="n">
        <v>3000</v>
      </c>
      <c r="G26" s="110" t="n">
        <v>0</v>
      </c>
      <c r="H26" s="110" t="n">
        <v>0</v>
      </c>
      <c r="I26" s="110" t="n">
        <v>128</v>
      </c>
      <c r="J26" s="110" t="n">
        <v>496</v>
      </c>
      <c r="K26" s="110" t="n">
        <v>447</v>
      </c>
      <c r="L26" s="110" t="n">
        <v>0</v>
      </c>
      <c r="M26" s="110" t="n">
        <v>20</v>
      </c>
      <c r="N26" s="110" t="n">
        <v>0</v>
      </c>
      <c r="O26" s="110" t="n">
        <v>506</v>
      </c>
      <c r="P26" s="110" t="n">
        <v>4600</v>
      </c>
    </row>
    <row r="27" customFormat="false" ht="15.75" hidden="false" customHeight="true" outlineLevel="0" collapsed="false">
      <c r="C27" s="100" t="s">
        <v>78</v>
      </c>
      <c r="D27" s="110" t="n">
        <v>197</v>
      </c>
      <c r="E27" s="110" t="n">
        <v>71</v>
      </c>
      <c r="F27" s="110" t="n">
        <v>1025</v>
      </c>
      <c r="G27" s="110" t="n">
        <v>266</v>
      </c>
      <c r="H27" s="110" t="n">
        <v>426</v>
      </c>
      <c r="I27" s="110" t="n">
        <v>-254</v>
      </c>
      <c r="J27" s="110" t="n">
        <v>251</v>
      </c>
      <c r="K27" s="110" t="n">
        <v>-235</v>
      </c>
      <c r="L27" s="110" t="n">
        <v>157</v>
      </c>
      <c r="M27" s="110" t="n">
        <v>476</v>
      </c>
      <c r="N27" s="110" t="n">
        <v>1042</v>
      </c>
      <c r="O27" s="110" t="n">
        <v>398</v>
      </c>
      <c r="P27" s="110" t="n">
        <v>3820</v>
      </c>
    </row>
    <row r="28" customFormat="false" ht="15.75" hidden="false" customHeight="true" outlineLevel="0" collapsed="false"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</row>
    <row r="29" s="107" customFormat="true" ht="15.75" hidden="false" customHeight="true" outlineLevel="0" collapsed="false">
      <c r="A29" s="107" t="s">
        <v>137</v>
      </c>
      <c r="D29" s="112" t="n">
        <v>-1153</v>
      </c>
      <c r="E29" s="112" t="n">
        <v>5521</v>
      </c>
      <c r="F29" s="112" t="n">
        <v>1101</v>
      </c>
      <c r="G29" s="112" t="n">
        <v>11281</v>
      </c>
      <c r="H29" s="112" t="n">
        <v>-5914</v>
      </c>
      <c r="I29" s="112" t="n">
        <v>-1366</v>
      </c>
      <c r="J29" s="112" t="n">
        <v>-2854</v>
      </c>
      <c r="K29" s="112" t="n">
        <v>-363</v>
      </c>
      <c r="L29" s="112" t="n">
        <v>1681</v>
      </c>
      <c r="M29" s="112" t="n">
        <v>2131</v>
      </c>
      <c r="N29" s="112" t="n">
        <v>331</v>
      </c>
      <c r="O29" s="112" t="n">
        <v>678</v>
      </c>
      <c r="P29" s="112" t="n">
        <v>11074</v>
      </c>
    </row>
    <row r="30" customFormat="false" ht="15.75" hidden="false" customHeight="true" outlineLevel="0" collapsed="false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="107" customFormat="true" ht="15.75" hidden="false" customHeight="true" outlineLevel="0" collapsed="false">
      <c r="A31" s="107" t="s">
        <v>36</v>
      </c>
      <c r="D31" s="108" t="n">
        <v>-17234</v>
      </c>
      <c r="E31" s="108" t="n">
        <v>-4432</v>
      </c>
      <c r="F31" s="108" t="n">
        <v>14008</v>
      </c>
      <c r="G31" s="108" t="n">
        <v>-13985</v>
      </c>
      <c r="H31" s="108" t="n">
        <v>3368</v>
      </c>
      <c r="I31" s="108" t="n">
        <v>11695</v>
      </c>
      <c r="J31" s="108" t="n">
        <v>19842</v>
      </c>
      <c r="K31" s="108" t="n">
        <v>12413</v>
      </c>
      <c r="L31" s="108" t="n">
        <v>-11684</v>
      </c>
      <c r="M31" s="108" t="n">
        <v>3155</v>
      </c>
      <c r="N31" s="108" t="n">
        <v>-3264</v>
      </c>
      <c r="O31" s="108" t="n">
        <v>-2913</v>
      </c>
      <c r="P31" s="108" t="n">
        <v>10969</v>
      </c>
    </row>
    <row r="32" customFormat="false" ht="15.75" hidden="false" customHeight="true" outlineLevel="0" collapsed="false">
      <c r="B32" s="100" t="s">
        <v>37</v>
      </c>
      <c r="D32" s="109" t="n">
        <v>-420</v>
      </c>
      <c r="E32" s="109" t="n">
        <v>-398</v>
      </c>
      <c r="F32" s="109" t="n">
        <v>-3001</v>
      </c>
      <c r="G32" s="109" t="n">
        <v>-252</v>
      </c>
      <c r="H32" s="109" t="n">
        <v>-1511</v>
      </c>
      <c r="I32" s="109" t="n">
        <v>-675</v>
      </c>
      <c r="J32" s="109" t="n">
        <v>-62</v>
      </c>
      <c r="K32" s="109" t="n">
        <v>615</v>
      </c>
      <c r="L32" s="109" t="n">
        <v>-1867</v>
      </c>
      <c r="M32" s="109" t="n">
        <v>-1069</v>
      </c>
      <c r="N32" s="109" t="n">
        <v>-2198</v>
      </c>
      <c r="O32" s="109" t="n">
        <v>-2508</v>
      </c>
      <c r="P32" s="109" t="n">
        <v>-13346</v>
      </c>
    </row>
    <row r="33" customFormat="false" ht="15.75" hidden="false" customHeight="true" outlineLevel="0" collapsed="false">
      <c r="C33" s="100" t="s">
        <v>38</v>
      </c>
      <c r="D33" s="110" t="n">
        <v>372</v>
      </c>
      <c r="E33" s="110" t="n">
        <v>315</v>
      </c>
      <c r="F33" s="110" t="n">
        <v>1710</v>
      </c>
      <c r="G33" s="110" t="n">
        <v>3676</v>
      </c>
      <c r="H33" s="110" t="n">
        <v>1868</v>
      </c>
      <c r="I33" s="110" t="n">
        <v>2341</v>
      </c>
      <c r="J33" s="110" t="n">
        <v>908</v>
      </c>
      <c r="K33" s="110" t="n">
        <v>1534</v>
      </c>
      <c r="L33" s="110" t="n">
        <v>1253</v>
      </c>
      <c r="M33" s="110" t="n">
        <v>1450</v>
      </c>
      <c r="N33" s="110" t="n">
        <v>639</v>
      </c>
      <c r="O33" s="110" t="n">
        <v>767</v>
      </c>
      <c r="P33" s="110" t="n">
        <v>16833</v>
      </c>
    </row>
    <row r="34" customFormat="false" ht="15.75" hidden="false" customHeight="true" outlineLevel="0" collapsed="false">
      <c r="C34" s="100" t="s">
        <v>39</v>
      </c>
      <c r="D34" s="110" t="n">
        <v>792</v>
      </c>
      <c r="E34" s="110" t="n">
        <v>713</v>
      </c>
      <c r="F34" s="110" t="n">
        <v>4711</v>
      </c>
      <c r="G34" s="110" t="n">
        <v>3928</v>
      </c>
      <c r="H34" s="110" t="n">
        <v>3379</v>
      </c>
      <c r="I34" s="110" t="n">
        <v>3016</v>
      </c>
      <c r="J34" s="110" t="n">
        <v>970</v>
      </c>
      <c r="K34" s="110" t="n">
        <v>919</v>
      </c>
      <c r="L34" s="110" t="n">
        <v>3120</v>
      </c>
      <c r="M34" s="110" t="n">
        <v>2519</v>
      </c>
      <c r="N34" s="110" t="n">
        <v>2837</v>
      </c>
      <c r="O34" s="110" t="n">
        <v>3275</v>
      </c>
      <c r="P34" s="110" t="n">
        <v>30179</v>
      </c>
    </row>
    <row r="35" customFormat="false" ht="15.75" hidden="false" customHeight="true" outlineLevel="0" collapsed="false"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customFormat="false" ht="15.75" hidden="false" customHeight="true" outlineLevel="0" collapsed="false">
      <c r="B36" s="100" t="s">
        <v>40</v>
      </c>
      <c r="D36" s="109" t="n">
        <v>-16814</v>
      </c>
      <c r="E36" s="109" t="n">
        <v>-4034</v>
      </c>
      <c r="F36" s="109" t="n">
        <v>17009</v>
      </c>
      <c r="G36" s="109" t="n">
        <v>-13733</v>
      </c>
      <c r="H36" s="109" t="n">
        <v>4879</v>
      </c>
      <c r="I36" s="109" t="n">
        <v>12370</v>
      </c>
      <c r="J36" s="109" t="n">
        <v>19904</v>
      </c>
      <c r="K36" s="109" t="n">
        <v>11798</v>
      </c>
      <c r="L36" s="109" t="n">
        <v>-9817</v>
      </c>
      <c r="M36" s="109" t="n">
        <v>4224</v>
      </c>
      <c r="N36" s="109" t="n">
        <v>-1066</v>
      </c>
      <c r="O36" s="109" t="n">
        <v>-405</v>
      </c>
      <c r="P36" s="109" t="n">
        <v>24315</v>
      </c>
    </row>
    <row r="37" customFormat="false" ht="15.75" hidden="false" customHeight="true" outlineLevel="0" collapsed="false">
      <c r="C37" s="100" t="s">
        <v>41</v>
      </c>
      <c r="D37" s="110" t="n">
        <v>-11207</v>
      </c>
      <c r="E37" s="110" t="n">
        <v>-3736</v>
      </c>
      <c r="F37" s="110" t="n">
        <v>17031</v>
      </c>
      <c r="G37" s="110" t="n">
        <v>-13687</v>
      </c>
      <c r="H37" s="110" t="n">
        <v>4905</v>
      </c>
      <c r="I37" s="110" t="n">
        <v>13878</v>
      </c>
      <c r="J37" s="110" t="n">
        <v>19906</v>
      </c>
      <c r="K37" s="110" t="n">
        <v>11828</v>
      </c>
      <c r="L37" s="110" t="n">
        <v>-9675</v>
      </c>
      <c r="M37" s="110" t="n">
        <v>5871</v>
      </c>
      <c r="N37" s="110" t="n">
        <v>-942</v>
      </c>
      <c r="O37" s="110" t="n">
        <v>24481</v>
      </c>
      <c r="P37" s="110" t="n">
        <v>58653</v>
      </c>
    </row>
    <row r="38" customFormat="false" ht="15.75" hidden="false" customHeight="true" outlineLevel="0" collapsed="false">
      <c r="C38" s="100" t="s">
        <v>39</v>
      </c>
      <c r="D38" s="110" t="n">
        <v>5607</v>
      </c>
      <c r="E38" s="110" t="n">
        <v>298</v>
      </c>
      <c r="F38" s="110" t="n">
        <v>22</v>
      </c>
      <c r="G38" s="110" t="n">
        <v>46</v>
      </c>
      <c r="H38" s="110" t="n">
        <v>26</v>
      </c>
      <c r="I38" s="110" t="n">
        <v>1508</v>
      </c>
      <c r="J38" s="110" t="n">
        <v>2</v>
      </c>
      <c r="K38" s="110" t="n">
        <v>30</v>
      </c>
      <c r="L38" s="110" t="n">
        <v>142</v>
      </c>
      <c r="M38" s="110" t="n">
        <v>1647</v>
      </c>
      <c r="N38" s="110" t="n">
        <v>124</v>
      </c>
      <c r="O38" s="110" t="n">
        <v>24886</v>
      </c>
      <c r="P38" s="110" t="n">
        <v>34338</v>
      </c>
    </row>
    <row r="39" customFormat="false" ht="15.75" hidden="false" customHeight="true" outlineLevel="0" collapsed="false">
      <c r="D39" s="110" t="s">
        <v>59</v>
      </c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</row>
    <row r="40" s="107" customFormat="true" ht="15.75" hidden="false" customHeight="true" outlineLevel="0" collapsed="false">
      <c r="A40" s="107" t="s">
        <v>157</v>
      </c>
      <c r="D40" s="108" t="n">
        <v>-20281</v>
      </c>
      <c r="E40" s="108" t="n">
        <v>334</v>
      </c>
      <c r="F40" s="108" t="n">
        <v>-1798</v>
      </c>
      <c r="G40" s="108" t="n">
        <v>-2306</v>
      </c>
      <c r="H40" s="108" t="n">
        <v>-4390</v>
      </c>
      <c r="I40" s="108" t="n">
        <v>6845</v>
      </c>
      <c r="J40" s="108" t="n">
        <v>14709</v>
      </c>
      <c r="K40" s="108" t="n">
        <v>5391</v>
      </c>
      <c r="L40" s="108" t="n">
        <v>-12390</v>
      </c>
      <c r="M40" s="108" t="n">
        <v>3648</v>
      </c>
      <c r="N40" s="108" t="n">
        <v>24</v>
      </c>
      <c r="O40" s="108" t="n">
        <v>-7018</v>
      </c>
      <c r="P40" s="108" t="n">
        <v>-17232</v>
      </c>
      <c r="Q40" s="112"/>
    </row>
    <row r="41" customFormat="false" ht="15.75" hidden="false" customHeight="true" outlineLevel="0" collapsed="false">
      <c r="A41" s="113"/>
      <c r="B41" s="113"/>
      <c r="C41" s="113"/>
      <c r="D41" s="152" t="s">
        <v>59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</row>
    <row r="42" customFormat="false" ht="15" hidden="false" customHeight="false" outlineLevel="0" collapsed="false"/>
    <row r="44" customFormat="false" ht="14.25" hidden="false" customHeight="false" outlineLevel="0" collapsed="false">
      <c r="A44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TREASUR&amp;"Arial,Regular"Y
&amp;"Arial,Italic"Statistical Data Analysis Division</oddHeader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J30" activeCellId="0" sqref="J30"/>
    </sheetView>
  </sheetViews>
  <sheetFormatPr defaultColWidth="9.15625" defaultRowHeight="14.25" zeroHeight="false" outlineLevelRow="0" outlineLevelCol="0"/>
  <cols>
    <col collapsed="false" customWidth="true" hidden="false" outlineLevel="0" max="2" min="1" style="100" width="1.29"/>
    <col collapsed="false" customWidth="true" hidden="false" outlineLevel="0" max="3" min="3" style="100" width="22.57"/>
    <col collapsed="false" customWidth="true" hidden="false" outlineLevel="0" max="7" min="4" style="100" width="8"/>
    <col collapsed="false" customWidth="true" hidden="false" outlineLevel="0" max="8" min="8" style="100" width="8.71"/>
    <col collapsed="false" customWidth="true" hidden="false" outlineLevel="0" max="12" min="9" style="100" width="8"/>
    <col collapsed="false" customWidth="true" hidden="false" outlineLevel="0" max="15" min="13" style="100" width="8.71"/>
    <col collapsed="false" customWidth="false" hidden="false" outlineLevel="0" max="1024" min="16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158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2.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false" outlineLevel="0" collapsed="false"/>
    <row r="7" s="107" customFormat="true" ht="15" hidden="false" customHeight="true" outlineLevel="0" collapsed="false">
      <c r="A7" s="107" t="s">
        <v>12</v>
      </c>
      <c r="D7" s="108" t="n">
        <v>26889</v>
      </c>
      <c r="E7" s="108" t="n">
        <v>18770</v>
      </c>
      <c r="F7" s="108" t="n">
        <v>32472</v>
      </c>
      <c r="G7" s="108" t="n">
        <v>37323</v>
      </c>
      <c r="H7" s="108" t="n">
        <v>25342</v>
      </c>
      <c r="I7" s="108" t="n">
        <v>22141</v>
      </c>
      <c r="J7" s="108" t="n">
        <v>25102</v>
      </c>
      <c r="K7" s="108" t="n">
        <v>26403</v>
      </c>
      <c r="L7" s="108" t="n">
        <v>23929</v>
      </c>
      <c r="M7" s="108" t="n">
        <v>33541</v>
      </c>
      <c r="N7" s="108" t="n">
        <v>39552</v>
      </c>
      <c r="O7" s="108" t="n">
        <v>24696</v>
      </c>
      <c r="P7" s="108" t="n">
        <v>336160</v>
      </c>
      <c r="Q7" s="112"/>
    </row>
    <row r="8" customFormat="false" ht="15" hidden="false" customHeight="true" outlineLevel="0" collapsed="false">
      <c r="B8" s="100" t="s">
        <v>13</v>
      </c>
      <c r="D8" s="109" t="n">
        <v>24549</v>
      </c>
      <c r="E8" s="109" t="n">
        <v>14698</v>
      </c>
      <c r="F8" s="109" t="n">
        <v>21711</v>
      </c>
      <c r="G8" s="109" t="n">
        <v>33029</v>
      </c>
      <c r="H8" s="109" t="n">
        <v>21041</v>
      </c>
      <c r="I8" s="109" t="n">
        <v>19243</v>
      </c>
      <c r="J8" s="109" t="n">
        <v>22541</v>
      </c>
      <c r="K8" s="109" t="n">
        <v>22378</v>
      </c>
      <c r="L8" s="109" t="n">
        <v>17157</v>
      </c>
      <c r="M8" s="109" t="n">
        <v>26392</v>
      </c>
      <c r="N8" s="109" t="n">
        <v>26404</v>
      </c>
      <c r="O8" s="109" t="n">
        <v>22161</v>
      </c>
      <c r="P8" s="109" t="n">
        <v>271304</v>
      </c>
      <c r="Q8" s="112"/>
    </row>
    <row r="9" customFormat="false" ht="15" hidden="false" customHeight="true" outlineLevel="0" collapsed="false">
      <c r="C9" s="100" t="s">
        <v>14</v>
      </c>
      <c r="D9" s="110" t="n">
        <v>17585</v>
      </c>
      <c r="E9" s="110" t="n">
        <v>9349</v>
      </c>
      <c r="F9" s="110" t="n">
        <v>13698</v>
      </c>
      <c r="G9" s="110" t="n">
        <v>25599</v>
      </c>
      <c r="H9" s="110" t="n">
        <v>15144</v>
      </c>
      <c r="I9" s="110" t="n">
        <v>11905</v>
      </c>
      <c r="J9" s="110" t="n">
        <v>17356</v>
      </c>
      <c r="K9" s="110" t="n">
        <v>16317</v>
      </c>
      <c r="L9" s="110" t="n">
        <v>11735</v>
      </c>
      <c r="M9" s="110" t="n">
        <v>18164</v>
      </c>
      <c r="N9" s="110" t="n">
        <v>17224</v>
      </c>
      <c r="O9" s="110" t="n">
        <v>13369</v>
      </c>
      <c r="P9" s="110" t="n">
        <v>187445</v>
      </c>
      <c r="Q9" s="112"/>
    </row>
    <row r="10" customFormat="false" ht="15" hidden="false" customHeight="true" outlineLevel="0" collapsed="false">
      <c r="C10" s="100" t="s">
        <v>18</v>
      </c>
      <c r="D10" s="110" t="n">
        <v>6823</v>
      </c>
      <c r="E10" s="110" t="n">
        <v>5217</v>
      </c>
      <c r="F10" s="110" t="n">
        <v>7745</v>
      </c>
      <c r="G10" s="110" t="n">
        <v>7231</v>
      </c>
      <c r="H10" s="110" t="n">
        <v>5701</v>
      </c>
      <c r="I10" s="110" t="n">
        <v>7159</v>
      </c>
      <c r="J10" s="110" t="n">
        <v>5016</v>
      </c>
      <c r="K10" s="110" t="n">
        <v>5758</v>
      </c>
      <c r="L10" s="110" t="n">
        <v>5231</v>
      </c>
      <c r="M10" s="110" t="n">
        <v>8019</v>
      </c>
      <c r="N10" s="110" t="n">
        <v>9037</v>
      </c>
      <c r="O10" s="110" t="n">
        <v>8673</v>
      </c>
      <c r="P10" s="110" t="n">
        <v>81610</v>
      </c>
      <c r="Q10" s="112"/>
    </row>
    <row r="11" customFormat="false" ht="15" hidden="false" customHeight="true" outlineLevel="0" collapsed="false">
      <c r="C11" s="100" t="s">
        <v>87</v>
      </c>
      <c r="D11" s="110" t="n">
        <v>141</v>
      </c>
      <c r="E11" s="110" t="n">
        <v>132</v>
      </c>
      <c r="F11" s="110" t="n">
        <v>268</v>
      </c>
      <c r="G11" s="110" t="n">
        <v>199</v>
      </c>
      <c r="H11" s="110" t="n">
        <v>196</v>
      </c>
      <c r="I11" s="110" t="n">
        <v>179</v>
      </c>
      <c r="J11" s="110" t="n">
        <v>169</v>
      </c>
      <c r="K11" s="110" t="n">
        <v>303</v>
      </c>
      <c r="L11" s="110" t="n">
        <v>191</v>
      </c>
      <c r="M11" s="110" t="n">
        <v>209</v>
      </c>
      <c r="N11" s="110" t="n">
        <v>143</v>
      </c>
      <c r="O11" s="110" t="n">
        <v>119</v>
      </c>
      <c r="P11" s="110" t="n">
        <v>2249</v>
      </c>
      <c r="Q11" s="112"/>
    </row>
    <row r="12" customFormat="false" ht="1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2"/>
    </row>
    <row r="13" customFormat="false" ht="15" hidden="false" customHeight="true" outlineLevel="0" collapsed="false">
      <c r="B13" s="100" t="s">
        <v>20</v>
      </c>
      <c r="D13" s="109" t="n">
        <v>2337</v>
      </c>
      <c r="E13" s="109" t="n">
        <v>4066</v>
      </c>
      <c r="F13" s="109" t="n">
        <v>10752</v>
      </c>
      <c r="G13" s="109" t="n">
        <v>4293</v>
      </c>
      <c r="H13" s="109" t="n">
        <v>4296</v>
      </c>
      <c r="I13" s="109" t="n">
        <v>2892</v>
      </c>
      <c r="J13" s="109" t="n">
        <v>2569</v>
      </c>
      <c r="K13" s="109" t="n">
        <v>4011</v>
      </c>
      <c r="L13" s="109" t="n">
        <v>6767</v>
      </c>
      <c r="M13" s="109" t="n">
        <v>7148</v>
      </c>
      <c r="N13" s="109" t="n">
        <v>12544</v>
      </c>
      <c r="O13" s="109" t="n">
        <v>2448</v>
      </c>
      <c r="P13" s="109" t="n">
        <v>64123</v>
      </c>
      <c r="Q13" s="112"/>
    </row>
    <row r="14" customFormat="false" ht="15" hidden="false" customHeight="true" outlineLevel="0" collapsed="false">
      <c r="C14" s="100" t="s">
        <v>21</v>
      </c>
      <c r="D14" s="110" t="n">
        <v>1652</v>
      </c>
      <c r="E14" s="110" t="n">
        <v>1029</v>
      </c>
      <c r="F14" s="110" t="n">
        <v>1796</v>
      </c>
      <c r="G14" s="110" t="n">
        <v>2422</v>
      </c>
      <c r="H14" s="110" t="n">
        <v>2863</v>
      </c>
      <c r="I14" s="110" t="n">
        <v>1364</v>
      </c>
      <c r="J14" s="110" t="n">
        <v>1702</v>
      </c>
      <c r="K14" s="110" t="n">
        <v>2583</v>
      </c>
      <c r="L14" s="110" t="n">
        <v>1034</v>
      </c>
      <c r="M14" s="110" t="n">
        <v>2623</v>
      </c>
      <c r="N14" s="110" t="n">
        <v>1149</v>
      </c>
      <c r="O14" s="110" t="n">
        <v>1278</v>
      </c>
      <c r="P14" s="110" t="n">
        <v>21495</v>
      </c>
      <c r="Q14" s="112"/>
    </row>
    <row r="15" customFormat="false" ht="15" hidden="false" customHeight="true" outlineLevel="0" collapsed="false">
      <c r="C15" s="100" t="s">
        <v>150</v>
      </c>
      <c r="D15" s="110" t="n">
        <v>508</v>
      </c>
      <c r="E15" s="110" t="n">
        <v>888</v>
      </c>
      <c r="F15" s="110" t="n">
        <v>1051</v>
      </c>
      <c r="G15" s="110" t="n">
        <v>1555</v>
      </c>
      <c r="H15" s="110" t="n">
        <v>1424</v>
      </c>
      <c r="I15" s="110" t="n">
        <v>1538</v>
      </c>
      <c r="J15" s="110" t="n">
        <v>656</v>
      </c>
      <c r="K15" s="110" t="n">
        <v>806</v>
      </c>
      <c r="L15" s="110" t="n">
        <v>815</v>
      </c>
      <c r="M15" s="110" t="n">
        <v>1799</v>
      </c>
      <c r="N15" s="110" t="n">
        <v>703</v>
      </c>
      <c r="O15" s="110" t="n">
        <v>971</v>
      </c>
      <c r="P15" s="110" t="n">
        <v>12714</v>
      </c>
      <c r="Q15" s="112"/>
    </row>
    <row r="16" customFormat="false" ht="15" hidden="false" customHeight="true" outlineLevel="0" collapsed="false">
      <c r="C16" s="100" t="s">
        <v>23</v>
      </c>
      <c r="D16" s="110" t="n">
        <v>177</v>
      </c>
      <c r="E16" s="110" t="n">
        <v>2149</v>
      </c>
      <c r="F16" s="110" t="n">
        <v>7905</v>
      </c>
      <c r="G16" s="110" t="n">
        <v>316</v>
      </c>
      <c r="H16" s="110" t="n">
        <v>9</v>
      </c>
      <c r="I16" s="110" t="n">
        <v>-10</v>
      </c>
      <c r="J16" s="110" t="n">
        <v>211</v>
      </c>
      <c r="K16" s="110" t="n">
        <v>622</v>
      </c>
      <c r="L16" s="110" t="n">
        <v>4918</v>
      </c>
      <c r="M16" s="110" t="n">
        <v>2726</v>
      </c>
      <c r="N16" s="110" t="n">
        <v>10692</v>
      </c>
      <c r="O16" s="110" t="n">
        <v>199</v>
      </c>
      <c r="P16" s="110" t="n">
        <v>29914</v>
      </c>
      <c r="Q16" s="112"/>
    </row>
    <row r="17" customFormat="false" ht="15" hidden="false" customHeight="true" outlineLevel="0" collapsed="false"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2"/>
    </row>
    <row r="18" customFormat="false" ht="15" hidden="false" customHeight="true" outlineLevel="0" collapsed="false">
      <c r="B18" s="100" t="s">
        <v>26</v>
      </c>
      <c r="D18" s="110" t="n">
        <v>3</v>
      </c>
      <c r="E18" s="110" t="n">
        <v>6</v>
      </c>
      <c r="F18" s="110" t="n">
        <v>9</v>
      </c>
      <c r="G18" s="110" t="n">
        <v>1</v>
      </c>
      <c r="H18" s="110" t="n">
        <v>5</v>
      </c>
      <c r="I18" s="110" t="n">
        <v>6</v>
      </c>
      <c r="J18" s="110" t="n">
        <v>-8</v>
      </c>
      <c r="K18" s="110" t="n">
        <v>14</v>
      </c>
      <c r="L18" s="110" t="n">
        <v>5</v>
      </c>
      <c r="M18" s="110" t="n">
        <v>1</v>
      </c>
      <c r="N18" s="110" t="n">
        <v>604</v>
      </c>
      <c r="O18" s="110" t="n">
        <v>87</v>
      </c>
      <c r="P18" s="110" t="n">
        <v>733</v>
      </c>
      <c r="Q18" s="112"/>
    </row>
    <row r="19" customFormat="false" ht="15" hidden="false" customHeight="true" outlineLevel="0" collapsed="false"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2"/>
    </row>
    <row r="20" s="107" customFormat="true" ht="15" hidden="false" customHeight="true" outlineLevel="0" collapsed="false">
      <c r="A20" s="107" t="s">
        <v>27</v>
      </c>
      <c r="D20" s="108" t="n">
        <v>26300</v>
      </c>
      <c r="E20" s="108" t="n">
        <v>21143</v>
      </c>
      <c r="F20" s="108" t="n">
        <v>22732</v>
      </c>
      <c r="G20" s="108" t="n">
        <v>22380</v>
      </c>
      <c r="H20" s="108" t="n">
        <v>28072</v>
      </c>
      <c r="I20" s="108" t="n">
        <v>30251</v>
      </c>
      <c r="J20" s="108" t="n">
        <v>29015</v>
      </c>
      <c r="K20" s="108" t="n">
        <v>26975</v>
      </c>
      <c r="L20" s="108" t="n">
        <v>25827</v>
      </c>
      <c r="M20" s="108" t="n">
        <v>24778</v>
      </c>
      <c r="N20" s="108" t="n">
        <v>28588</v>
      </c>
      <c r="O20" s="108" t="n">
        <v>33813</v>
      </c>
      <c r="P20" s="108" t="n">
        <v>319874</v>
      </c>
      <c r="Q20" s="112"/>
    </row>
    <row r="21" customFormat="false" ht="15" hidden="false" customHeight="true" outlineLevel="0" collapsed="false">
      <c r="B21" s="100" t="s">
        <v>15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12"/>
    </row>
    <row r="22" customFormat="false" ht="15" hidden="false" customHeight="true" outlineLevel="0" collapsed="false">
      <c r="C22" s="100" t="s">
        <v>28</v>
      </c>
      <c r="D22" s="110" t="n">
        <v>2675</v>
      </c>
      <c r="E22" s="110" t="n">
        <v>3277</v>
      </c>
      <c r="F22" s="110" t="n">
        <v>5369</v>
      </c>
      <c r="G22" s="110" t="n">
        <v>3368</v>
      </c>
      <c r="H22" s="110" t="n">
        <v>5377</v>
      </c>
      <c r="I22" s="110" t="n">
        <v>3306</v>
      </c>
      <c r="J22" s="110" t="n">
        <v>3394</v>
      </c>
      <c r="K22" s="110" t="n">
        <v>3200</v>
      </c>
      <c r="L22" s="110" t="n">
        <v>5234</v>
      </c>
      <c r="M22" s="110" t="n">
        <v>3413</v>
      </c>
      <c r="N22" s="110" t="n">
        <v>3223</v>
      </c>
      <c r="O22" s="110" t="n">
        <v>5379</v>
      </c>
      <c r="P22" s="110" t="n">
        <v>47215</v>
      </c>
      <c r="Q22" s="112"/>
    </row>
    <row r="23" customFormat="false" ht="15" hidden="false" customHeight="true" outlineLevel="0" collapsed="false">
      <c r="C23" s="100" t="s">
        <v>29</v>
      </c>
      <c r="D23" s="110" t="n">
        <v>8618</v>
      </c>
      <c r="E23" s="110" t="n">
        <v>6502</v>
      </c>
      <c r="F23" s="110" t="n">
        <v>6301</v>
      </c>
      <c r="G23" s="110" t="n">
        <v>5316</v>
      </c>
      <c r="H23" s="110" t="n">
        <v>8843</v>
      </c>
      <c r="I23" s="110" t="n">
        <v>7057</v>
      </c>
      <c r="J23" s="110" t="n">
        <v>5559</v>
      </c>
      <c r="K23" s="110" t="n">
        <v>8694</v>
      </c>
      <c r="L23" s="110" t="n">
        <v>5563</v>
      </c>
      <c r="M23" s="110" t="n">
        <v>5202</v>
      </c>
      <c r="N23" s="110" t="n">
        <v>6994</v>
      </c>
      <c r="O23" s="110" t="n">
        <v>4474</v>
      </c>
      <c r="P23" s="110" t="n">
        <v>79123</v>
      </c>
      <c r="Q23" s="112"/>
    </row>
    <row r="24" customFormat="false" ht="15" hidden="false" customHeight="true" outlineLevel="0" collapsed="false">
      <c r="C24" s="100" t="s">
        <v>77</v>
      </c>
      <c r="D24" s="110" t="n">
        <v>268</v>
      </c>
      <c r="E24" s="110" t="n">
        <v>148</v>
      </c>
      <c r="F24" s="110" t="n">
        <v>50</v>
      </c>
      <c r="G24" s="110" t="n">
        <v>511</v>
      </c>
      <c r="H24" s="110" t="n">
        <v>1453</v>
      </c>
      <c r="I24" s="110" t="n">
        <v>1357</v>
      </c>
      <c r="J24" s="110" t="n">
        <v>324</v>
      </c>
      <c r="K24" s="110" t="n">
        <v>909</v>
      </c>
      <c r="L24" s="110" t="n">
        <v>465</v>
      </c>
      <c r="M24" s="110" t="n">
        <v>386</v>
      </c>
      <c r="N24" s="110" t="n">
        <v>201</v>
      </c>
      <c r="O24" s="110" t="n">
        <v>949</v>
      </c>
      <c r="P24" s="110" t="n">
        <v>7021</v>
      </c>
      <c r="Q24" s="112"/>
    </row>
    <row r="25" customFormat="false" ht="15" hidden="false" customHeight="true" outlineLevel="0" collapsed="false">
      <c r="C25" s="100" t="s">
        <v>30</v>
      </c>
      <c r="D25" s="110" t="n">
        <v>31</v>
      </c>
      <c r="E25" s="110" t="n">
        <v>100</v>
      </c>
      <c r="F25" s="110" t="n">
        <v>2</v>
      </c>
      <c r="G25" s="110" t="n">
        <v>395</v>
      </c>
      <c r="H25" s="110" t="n">
        <v>201</v>
      </c>
      <c r="I25" s="110" t="n">
        <v>753</v>
      </c>
      <c r="J25" s="110" t="n">
        <v>194</v>
      </c>
      <c r="K25" s="110" t="n">
        <v>293</v>
      </c>
      <c r="L25" s="110" t="n">
        <v>605</v>
      </c>
      <c r="M25" s="110" t="n">
        <v>150</v>
      </c>
      <c r="N25" s="110" t="n">
        <v>397</v>
      </c>
      <c r="O25" s="110" t="n">
        <v>1280</v>
      </c>
      <c r="P25" s="110" t="n">
        <v>4401</v>
      </c>
      <c r="Q25" s="112"/>
    </row>
    <row r="26" customFormat="false" ht="15" hidden="false" customHeight="true" outlineLevel="0" collapsed="false">
      <c r="C26" s="100" t="s">
        <v>32</v>
      </c>
      <c r="D26" s="110" t="n">
        <v>180</v>
      </c>
      <c r="E26" s="110" t="n">
        <v>33</v>
      </c>
      <c r="F26" s="110" t="n">
        <v>28</v>
      </c>
      <c r="G26" s="110" t="n">
        <v>3636</v>
      </c>
      <c r="H26" s="110" t="n">
        <v>1555</v>
      </c>
      <c r="I26" s="110" t="n">
        <v>131</v>
      </c>
      <c r="J26" s="110" t="n">
        <v>732</v>
      </c>
      <c r="K26" s="110" t="n">
        <v>309</v>
      </c>
      <c r="L26" s="110" t="n">
        <v>210</v>
      </c>
      <c r="M26" s="110" t="n">
        <v>331</v>
      </c>
      <c r="N26" s="110" t="n">
        <v>61</v>
      </c>
      <c r="O26" s="110" t="n">
        <v>1085</v>
      </c>
      <c r="P26" s="110" t="n">
        <v>8291</v>
      </c>
      <c r="Q26" s="112"/>
    </row>
    <row r="27" customFormat="false" ht="15" hidden="false" customHeight="true" outlineLevel="0" collapsed="false">
      <c r="C27" s="100" t="s">
        <v>78</v>
      </c>
      <c r="D27" s="110" t="n">
        <v>66</v>
      </c>
      <c r="E27" s="110" t="n">
        <v>133</v>
      </c>
      <c r="F27" s="110" t="n">
        <v>609</v>
      </c>
      <c r="G27" s="110" t="n">
        <v>-3490</v>
      </c>
      <c r="H27" s="110" t="n">
        <v>-1368</v>
      </c>
      <c r="I27" s="110" t="n">
        <v>61</v>
      </c>
      <c r="J27" s="110" t="n">
        <v>212</v>
      </c>
      <c r="K27" s="110" t="n">
        <v>349</v>
      </c>
      <c r="L27" s="110" t="n">
        <v>594</v>
      </c>
      <c r="M27" s="110" t="n">
        <v>1650</v>
      </c>
      <c r="N27" s="110" t="n">
        <v>1266</v>
      </c>
      <c r="O27" s="110" t="n">
        <v>620</v>
      </c>
      <c r="P27" s="110" t="n">
        <v>702</v>
      </c>
      <c r="Q27" s="112"/>
    </row>
    <row r="28" customFormat="false" ht="15" hidden="false" customHeight="true" outlineLevel="0" collapsed="false"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2"/>
    </row>
    <row r="29" s="107" customFormat="true" ht="15" hidden="false" customHeight="true" outlineLevel="0" collapsed="false">
      <c r="A29" s="107" t="s">
        <v>137</v>
      </c>
      <c r="D29" s="112" t="n">
        <v>589</v>
      </c>
      <c r="E29" s="112" t="n">
        <v>-2373</v>
      </c>
      <c r="F29" s="112" t="n">
        <v>9740</v>
      </c>
      <c r="G29" s="112" t="n">
        <v>14943</v>
      </c>
      <c r="H29" s="112" t="n">
        <v>-2730</v>
      </c>
      <c r="I29" s="112" t="n">
        <v>-8110</v>
      </c>
      <c r="J29" s="112" t="n">
        <v>-3913</v>
      </c>
      <c r="K29" s="112" t="n">
        <v>-572</v>
      </c>
      <c r="L29" s="112" t="n">
        <v>-1898</v>
      </c>
      <c r="M29" s="112" t="n">
        <v>8763</v>
      </c>
      <c r="N29" s="112" t="n">
        <v>10964</v>
      </c>
      <c r="O29" s="112" t="n">
        <v>-9117</v>
      </c>
      <c r="P29" s="112" t="n">
        <v>16286</v>
      </c>
      <c r="Q29" s="112"/>
    </row>
    <row r="30" customFormat="false" ht="15" hidden="false" customHeight="true" outlineLevel="0" collapsed="false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2"/>
    </row>
    <row r="31" s="107" customFormat="true" ht="15" hidden="false" customHeight="true" outlineLevel="0" collapsed="false">
      <c r="A31" s="107" t="s">
        <v>36</v>
      </c>
      <c r="D31" s="108" t="n">
        <v>-309</v>
      </c>
      <c r="E31" s="108" t="n">
        <v>13749</v>
      </c>
      <c r="F31" s="108" t="n">
        <v>-1513</v>
      </c>
      <c r="G31" s="108" t="n">
        <v>12749</v>
      </c>
      <c r="H31" s="108" t="n">
        <v>-8118</v>
      </c>
      <c r="I31" s="108" t="n">
        <v>6196</v>
      </c>
      <c r="J31" s="108" t="n">
        <v>-3766</v>
      </c>
      <c r="K31" s="108" t="n">
        <v>8706</v>
      </c>
      <c r="L31" s="108" t="n">
        <v>-3152</v>
      </c>
      <c r="M31" s="108" t="n">
        <v>-15681</v>
      </c>
      <c r="N31" s="108" t="n">
        <v>-15865</v>
      </c>
      <c r="O31" s="108" t="n">
        <v>-14935</v>
      </c>
      <c r="P31" s="108" t="n">
        <v>-21939</v>
      </c>
      <c r="Q31" s="112"/>
    </row>
    <row r="32" customFormat="false" ht="15" hidden="false" customHeight="true" outlineLevel="0" collapsed="false">
      <c r="B32" s="100" t="s">
        <v>37</v>
      </c>
      <c r="D32" s="109" t="n">
        <v>-47</v>
      </c>
      <c r="E32" s="109" t="n">
        <v>710</v>
      </c>
      <c r="F32" s="109" t="n">
        <v>-2961</v>
      </c>
      <c r="G32" s="109" t="n">
        <v>-96</v>
      </c>
      <c r="H32" s="109" t="n">
        <v>-2706</v>
      </c>
      <c r="I32" s="109" t="n">
        <v>-2221</v>
      </c>
      <c r="J32" s="109" t="n">
        <v>-244</v>
      </c>
      <c r="K32" s="109" t="n">
        <v>604</v>
      </c>
      <c r="L32" s="109" t="n">
        <v>-1532</v>
      </c>
      <c r="M32" s="109" t="n">
        <v>-2110</v>
      </c>
      <c r="N32" s="109" t="n">
        <v>-1191</v>
      </c>
      <c r="O32" s="109" t="n">
        <v>216</v>
      </c>
      <c r="P32" s="109" t="n">
        <v>-11578</v>
      </c>
      <c r="Q32" s="112"/>
    </row>
    <row r="33" customFormat="false" ht="15" hidden="false" customHeight="true" outlineLevel="0" collapsed="false">
      <c r="C33" s="100" t="s">
        <v>38</v>
      </c>
      <c r="D33" s="110" t="n">
        <v>902</v>
      </c>
      <c r="E33" s="110" t="n">
        <v>1488</v>
      </c>
      <c r="F33" s="110" t="n">
        <v>554</v>
      </c>
      <c r="G33" s="110" t="n">
        <v>1048</v>
      </c>
      <c r="H33" s="110" t="n">
        <v>701</v>
      </c>
      <c r="I33" s="110" t="n">
        <v>1716</v>
      </c>
      <c r="J33" s="110" t="n">
        <v>663</v>
      </c>
      <c r="K33" s="110" t="n">
        <v>1389</v>
      </c>
      <c r="L33" s="110" t="n">
        <v>550</v>
      </c>
      <c r="M33" s="110" t="n">
        <v>380</v>
      </c>
      <c r="N33" s="110" t="n">
        <v>934</v>
      </c>
      <c r="O33" s="110" t="n">
        <v>1960</v>
      </c>
      <c r="P33" s="110" t="n">
        <v>12285</v>
      </c>
      <c r="Q33" s="112"/>
    </row>
    <row r="34" customFormat="false" ht="15" hidden="false" customHeight="true" outlineLevel="0" collapsed="false">
      <c r="C34" s="100" t="s">
        <v>39</v>
      </c>
      <c r="D34" s="110" t="n">
        <v>949</v>
      </c>
      <c r="E34" s="110" t="n">
        <v>778</v>
      </c>
      <c r="F34" s="110" t="n">
        <v>3515</v>
      </c>
      <c r="G34" s="110" t="n">
        <v>1144</v>
      </c>
      <c r="H34" s="110" t="n">
        <v>3407</v>
      </c>
      <c r="I34" s="110" t="n">
        <v>3937</v>
      </c>
      <c r="J34" s="110" t="n">
        <v>907</v>
      </c>
      <c r="K34" s="110" t="n">
        <v>785</v>
      </c>
      <c r="L34" s="110" t="n">
        <v>2082</v>
      </c>
      <c r="M34" s="110" t="n">
        <v>2490</v>
      </c>
      <c r="N34" s="110" t="n">
        <v>2125</v>
      </c>
      <c r="O34" s="110" t="n">
        <v>1744</v>
      </c>
      <c r="P34" s="110" t="n">
        <v>23863</v>
      </c>
      <c r="Q34" s="112"/>
    </row>
    <row r="35" customFormat="false" ht="15" hidden="false" customHeight="true" outlineLevel="0" collapsed="false"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2"/>
    </row>
    <row r="36" customFormat="false" ht="15" hidden="false" customHeight="true" outlineLevel="0" collapsed="false">
      <c r="B36" s="100" t="s">
        <v>40</v>
      </c>
      <c r="D36" s="109" t="n">
        <v>-262</v>
      </c>
      <c r="E36" s="109" t="n">
        <v>13039</v>
      </c>
      <c r="F36" s="109" t="n">
        <v>1448</v>
      </c>
      <c r="G36" s="109" t="n">
        <v>12845</v>
      </c>
      <c r="H36" s="109" t="n">
        <v>-5412</v>
      </c>
      <c r="I36" s="109" t="n">
        <v>8417</v>
      </c>
      <c r="J36" s="109" t="n">
        <v>-3522</v>
      </c>
      <c r="K36" s="109" t="n">
        <v>8102</v>
      </c>
      <c r="L36" s="109" t="n">
        <v>-1620</v>
      </c>
      <c r="M36" s="109" t="n">
        <v>-13571</v>
      </c>
      <c r="N36" s="109" t="n">
        <v>-14674</v>
      </c>
      <c r="O36" s="109" t="n">
        <v>-15151</v>
      </c>
      <c r="P36" s="109" t="n">
        <v>-10361</v>
      </c>
      <c r="Q36" s="112"/>
    </row>
    <row r="37" customFormat="false" ht="15" hidden="false" customHeight="true" outlineLevel="0" collapsed="false">
      <c r="C37" s="100" t="s">
        <v>41</v>
      </c>
      <c r="D37" s="110" t="n">
        <v>5306</v>
      </c>
      <c r="E37" s="110" t="n">
        <v>13048</v>
      </c>
      <c r="F37" s="110" t="n">
        <v>1477</v>
      </c>
      <c r="G37" s="110" t="n">
        <v>12855</v>
      </c>
      <c r="H37" s="110" t="n">
        <v>-5301</v>
      </c>
      <c r="I37" s="110" t="n">
        <v>8632</v>
      </c>
      <c r="J37" s="110" t="n">
        <v>-1520</v>
      </c>
      <c r="K37" s="110" t="n">
        <v>9303</v>
      </c>
      <c r="L37" s="110" t="n">
        <v>-798</v>
      </c>
      <c r="M37" s="110" t="n">
        <v>-12091</v>
      </c>
      <c r="N37" s="110" t="n">
        <v>-11963</v>
      </c>
      <c r="O37" s="110" t="n">
        <v>-14328</v>
      </c>
      <c r="P37" s="110" t="n">
        <v>4620</v>
      </c>
      <c r="Q37" s="112"/>
    </row>
    <row r="38" customFormat="false" ht="15" hidden="false" customHeight="true" outlineLevel="0" collapsed="false">
      <c r="C38" s="100" t="s">
        <v>39</v>
      </c>
      <c r="D38" s="110" t="n">
        <v>5568</v>
      </c>
      <c r="E38" s="110" t="n">
        <v>9</v>
      </c>
      <c r="F38" s="110" t="n">
        <v>29</v>
      </c>
      <c r="G38" s="110" t="n">
        <v>10</v>
      </c>
      <c r="H38" s="110" t="n">
        <v>111</v>
      </c>
      <c r="I38" s="110" t="n">
        <v>215</v>
      </c>
      <c r="J38" s="110" t="n">
        <v>2002</v>
      </c>
      <c r="K38" s="110" t="n">
        <v>1201</v>
      </c>
      <c r="L38" s="110" t="n">
        <v>822</v>
      </c>
      <c r="M38" s="110" t="n">
        <v>1480</v>
      </c>
      <c r="N38" s="110" t="n">
        <v>2711</v>
      </c>
      <c r="O38" s="110" t="n">
        <v>823</v>
      </c>
      <c r="P38" s="110" t="n">
        <v>14981</v>
      </c>
      <c r="Q38" s="112"/>
    </row>
    <row r="39" customFormat="false" ht="15" hidden="false" customHeight="true" outlineLevel="0" collapsed="false"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2"/>
    </row>
    <row r="40" s="107" customFormat="true" ht="15" hidden="false" customHeight="true" outlineLevel="0" collapsed="false">
      <c r="A40" s="107" t="s">
        <v>45</v>
      </c>
      <c r="D40" s="108" t="n">
        <v>4997</v>
      </c>
      <c r="E40" s="108" t="n">
        <v>7191</v>
      </c>
      <c r="F40" s="108" t="n">
        <v>4750</v>
      </c>
      <c r="G40" s="108" t="n">
        <v>24691</v>
      </c>
      <c r="H40" s="108" t="n">
        <v>-18328</v>
      </c>
      <c r="I40" s="108" t="n">
        <v>-9467</v>
      </c>
      <c r="J40" s="108" t="n">
        <v>-956</v>
      </c>
      <c r="K40" s="108" t="n">
        <v>3707</v>
      </c>
      <c r="L40" s="108" t="n">
        <v>-7015</v>
      </c>
      <c r="M40" s="108" t="n">
        <v>-2075</v>
      </c>
      <c r="N40" s="108" t="n">
        <v>-7318</v>
      </c>
      <c r="O40" s="108" t="n">
        <v>-39949</v>
      </c>
      <c r="P40" s="108" t="n">
        <v>-39772</v>
      </c>
      <c r="Q40" s="112"/>
    </row>
    <row r="41" customFormat="false" ht="15" hidden="false" customHeight="false" outlineLevel="0" collapsed="false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</row>
    <row r="42" customFormat="false" ht="15" hidden="false" customHeight="false" outlineLevel="0" collapsed="false"/>
    <row r="44" customFormat="false" ht="14.25" hidden="false" customHeight="false" outlineLevel="0" collapsed="false">
      <c r="A44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A39" activeCellId="0" sqref="A39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58"/>
    <col collapsed="false" customWidth="true" hidden="false" outlineLevel="0" max="2" min="2" style="100" width="1.14"/>
    <col collapsed="false" customWidth="true" hidden="false" outlineLevel="0" max="3" min="3" style="100" width="24"/>
    <col collapsed="false" customWidth="true" hidden="false" outlineLevel="0" max="10" min="4" style="100" width="8"/>
    <col collapsed="false" customWidth="true" hidden="false" outlineLevel="0" max="13" min="11" style="100" width="8.71"/>
    <col collapsed="false" customWidth="true" hidden="false" outlineLevel="0" max="14" min="14" style="100" width="9.85"/>
    <col collapsed="false" customWidth="false" hidden="false" outlineLevel="0" max="1024" min="15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159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1.7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4.25" hidden="false" customHeight="true" outlineLevel="0" collapsed="false"/>
    <row r="7" s="107" customFormat="true" ht="14.25" hidden="false" customHeight="true" outlineLevel="0" collapsed="false">
      <c r="A7" s="107" t="s">
        <v>12</v>
      </c>
      <c r="D7" s="108" t="n">
        <v>25380</v>
      </c>
      <c r="E7" s="108" t="n">
        <v>14461</v>
      </c>
      <c r="F7" s="108" t="n">
        <v>18227</v>
      </c>
      <c r="G7" s="108" t="n">
        <v>26940</v>
      </c>
      <c r="H7" s="108" t="n">
        <v>20059</v>
      </c>
      <c r="I7" s="108" t="n">
        <v>19315</v>
      </c>
      <c r="J7" s="108" t="n">
        <v>25040</v>
      </c>
      <c r="K7" s="108" t="n">
        <v>20828</v>
      </c>
      <c r="L7" s="108" t="n">
        <v>18759</v>
      </c>
      <c r="M7" s="108" t="n">
        <v>24324</v>
      </c>
      <c r="N7" s="108" t="n">
        <v>23472</v>
      </c>
      <c r="O7" s="108" t="n">
        <v>23600</v>
      </c>
      <c r="P7" s="108" t="n">
        <v>260405</v>
      </c>
      <c r="Q7" s="112"/>
    </row>
    <row r="8" customFormat="false" ht="14.25" hidden="false" customHeight="true" outlineLevel="0" collapsed="false">
      <c r="B8" s="100" t="s">
        <v>13</v>
      </c>
      <c r="D8" s="109" t="n">
        <v>21152</v>
      </c>
      <c r="E8" s="109" t="n">
        <v>12486</v>
      </c>
      <c r="F8" s="109" t="n">
        <v>17007</v>
      </c>
      <c r="G8" s="109" t="n">
        <v>25023</v>
      </c>
      <c r="H8" s="109" t="n">
        <v>17494</v>
      </c>
      <c r="I8" s="109" t="n">
        <v>16568</v>
      </c>
      <c r="J8" s="109" t="n">
        <v>20497</v>
      </c>
      <c r="K8" s="109" t="n">
        <v>19348</v>
      </c>
      <c r="L8" s="109" t="n">
        <v>16268</v>
      </c>
      <c r="M8" s="109" t="n">
        <v>21672</v>
      </c>
      <c r="N8" s="109" t="n">
        <v>21710</v>
      </c>
      <c r="O8" s="109" t="n">
        <v>20945</v>
      </c>
      <c r="P8" s="109" t="n">
        <v>230170</v>
      </c>
      <c r="Q8" s="112"/>
    </row>
    <row r="9" customFormat="false" ht="14.25" hidden="false" customHeight="true" outlineLevel="0" collapsed="false">
      <c r="C9" s="100" t="s">
        <v>14</v>
      </c>
      <c r="D9" s="110" t="n">
        <v>16077</v>
      </c>
      <c r="E9" s="110" t="n">
        <v>7318</v>
      </c>
      <c r="F9" s="110" t="n">
        <v>10230</v>
      </c>
      <c r="G9" s="110" t="n">
        <v>18780</v>
      </c>
      <c r="H9" s="110" t="n">
        <v>10999</v>
      </c>
      <c r="I9" s="110" t="n">
        <v>9382</v>
      </c>
      <c r="J9" s="110" t="n">
        <v>13104</v>
      </c>
      <c r="K9" s="110" t="n">
        <v>12156</v>
      </c>
      <c r="L9" s="110" t="n">
        <v>9204</v>
      </c>
      <c r="M9" s="110" t="n">
        <v>14331</v>
      </c>
      <c r="N9" s="110" t="n">
        <v>13832</v>
      </c>
      <c r="O9" s="110" t="n">
        <v>10514</v>
      </c>
      <c r="P9" s="110" t="n">
        <v>145927</v>
      </c>
      <c r="Q9" s="112"/>
    </row>
    <row r="10" customFormat="false" ht="14.25" hidden="false" customHeight="true" outlineLevel="0" collapsed="false">
      <c r="C10" s="100" t="s">
        <v>18</v>
      </c>
      <c r="D10" s="110" t="n">
        <v>5033</v>
      </c>
      <c r="E10" s="110" t="n">
        <v>5026</v>
      </c>
      <c r="F10" s="110" t="n">
        <v>6612</v>
      </c>
      <c r="G10" s="110" t="n">
        <v>5924</v>
      </c>
      <c r="H10" s="110" t="n">
        <v>6222</v>
      </c>
      <c r="I10" s="110" t="n">
        <v>7030</v>
      </c>
      <c r="J10" s="110" t="n">
        <v>7170</v>
      </c>
      <c r="K10" s="110" t="n">
        <v>6993</v>
      </c>
      <c r="L10" s="110" t="n">
        <v>6817</v>
      </c>
      <c r="M10" s="110" t="n">
        <v>7192</v>
      </c>
      <c r="N10" s="110" t="n">
        <v>7673</v>
      </c>
      <c r="O10" s="110" t="n">
        <v>10279</v>
      </c>
      <c r="P10" s="110" t="n">
        <v>81971</v>
      </c>
      <c r="Q10" s="112"/>
    </row>
    <row r="11" customFormat="false" ht="14.25" hidden="false" customHeight="true" outlineLevel="0" collapsed="false">
      <c r="C11" s="100" t="s">
        <v>87</v>
      </c>
      <c r="D11" s="110" t="n">
        <v>42</v>
      </c>
      <c r="E11" s="110" t="n">
        <v>142</v>
      </c>
      <c r="F11" s="110" t="n">
        <v>165</v>
      </c>
      <c r="G11" s="110" t="n">
        <v>319</v>
      </c>
      <c r="H11" s="110" t="n">
        <v>273</v>
      </c>
      <c r="I11" s="110" t="n">
        <v>156</v>
      </c>
      <c r="J11" s="110" t="n">
        <v>223</v>
      </c>
      <c r="K11" s="110" t="n">
        <v>199</v>
      </c>
      <c r="L11" s="110" t="n">
        <v>247</v>
      </c>
      <c r="M11" s="110" t="n">
        <v>149</v>
      </c>
      <c r="N11" s="110" t="n">
        <v>205</v>
      </c>
      <c r="O11" s="110" t="n">
        <v>152</v>
      </c>
      <c r="P11" s="110" t="n">
        <v>2272</v>
      </c>
      <c r="Q11" s="112"/>
    </row>
    <row r="12" customFormat="false" ht="14.2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2"/>
    </row>
    <row r="13" customFormat="false" ht="14.25" hidden="false" customHeight="true" outlineLevel="0" collapsed="false">
      <c r="B13" s="100" t="s">
        <v>20</v>
      </c>
      <c r="D13" s="109" t="n">
        <v>4184</v>
      </c>
      <c r="E13" s="109" t="n">
        <v>1946</v>
      </c>
      <c r="F13" s="109" t="n">
        <v>1202</v>
      </c>
      <c r="G13" s="109" t="n">
        <v>1882</v>
      </c>
      <c r="H13" s="109" t="n">
        <v>2537</v>
      </c>
      <c r="I13" s="109" t="n">
        <v>2681</v>
      </c>
      <c r="J13" s="109" t="n">
        <v>3868</v>
      </c>
      <c r="K13" s="109" t="n">
        <v>1454</v>
      </c>
      <c r="L13" s="109" t="n">
        <v>2457</v>
      </c>
      <c r="M13" s="109" t="n">
        <v>2496</v>
      </c>
      <c r="N13" s="109" t="n">
        <v>1686</v>
      </c>
      <c r="O13" s="109" t="n">
        <v>2291</v>
      </c>
      <c r="P13" s="109" t="n">
        <v>28684</v>
      </c>
      <c r="Q13" s="112"/>
    </row>
    <row r="14" customFormat="false" ht="14.25" hidden="false" customHeight="true" outlineLevel="0" collapsed="false">
      <c r="C14" s="100" t="s">
        <v>21</v>
      </c>
      <c r="D14" s="110" t="n">
        <v>3761</v>
      </c>
      <c r="E14" s="110" t="n">
        <v>1493</v>
      </c>
      <c r="F14" s="110" t="n">
        <v>800</v>
      </c>
      <c r="G14" s="110" t="n">
        <v>1188</v>
      </c>
      <c r="H14" s="110" t="n">
        <v>2075</v>
      </c>
      <c r="I14" s="110" t="n">
        <v>1894</v>
      </c>
      <c r="J14" s="110" t="n">
        <v>2473</v>
      </c>
      <c r="K14" s="110" t="n">
        <v>1151</v>
      </c>
      <c r="L14" s="110" t="n">
        <v>1377</v>
      </c>
      <c r="M14" s="110" t="n">
        <v>1474</v>
      </c>
      <c r="N14" s="110" t="n">
        <v>927</v>
      </c>
      <c r="O14" s="110" t="n">
        <v>771</v>
      </c>
      <c r="P14" s="110" t="n">
        <v>19384</v>
      </c>
      <c r="Q14" s="112"/>
    </row>
    <row r="15" customFormat="false" ht="14.25" hidden="false" customHeight="true" outlineLevel="0" collapsed="false">
      <c r="C15" s="100" t="s">
        <v>150</v>
      </c>
      <c r="D15" s="110" t="n">
        <v>418</v>
      </c>
      <c r="E15" s="110" t="n">
        <v>441</v>
      </c>
      <c r="F15" s="110" t="n">
        <v>358</v>
      </c>
      <c r="G15" s="110" t="n">
        <v>498</v>
      </c>
      <c r="H15" s="110" t="n">
        <v>458</v>
      </c>
      <c r="I15" s="110" t="n">
        <v>532</v>
      </c>
      <c r="J15" s="110" t="n">
        <v>865</v>
      </c>
      <c r="K15" s="110" t="n">
        <v>200</v>
      </c>
      <c r="L15" s="110" t="n">
        <v>758</v>
      </c>
      <c r="M15" s="110" t="n">
        <v>869</v>
      </c>
      <c r="N15" s="110" t="n">
        <v>748</v>
      </c>
      <c r="O15" s="110" t="n">
        <v>772</v>
      </c>
      <c r="P15" s="110" t="n">
        <v>6917</v>
      </c>
      <c r="Q15" s="112"/>
    </row>
    <row r="16" customFormat="false" ht="14.25" hidden="false" customHeight="true" outlineLevel="0" collapsed="false">
      <c r="C16" s="100" t="s">
        <v>23</v>
      </c>
      <c r="D16" s="110" t="n">
        <v>5</v>
      </c>
      <c r="E16" s="110" t="n">
        <v>12</v>
      </c>
      <c r="F16" s="110" t="n">
        <v>44</v>
      </c>
      <c r="G16" s="110" t="n">
        <v>196</v>
      </c>
      <c r="H16" s="110" t="n">
        <v>4</v>
      </c>
      <c r="I16" s="110" t="n">
        <v>203</v>
      </c>
      <c r="J16" s="110" t="n">
        <v>101</v>
      </c>
      <c r="K16" s="110" t="n">
        <v>103</v>
      </c>
      <c r="L16" s="110" t="n">
        <v>129</v>
      </c>
      <c r="M16" s="110" t="n">
        <v>151</v>
      </c>
      <c r="N16" s="110" t="n">
        <v>11</v>
      </c>
      <c r="O16" s="110" t="n">
        <v>748</v>
      </c>
      <c r="P16" s="110" t="n">
        <v>1707</v>
      </c>
      <c r="Q16" s="112"/>
    </row>
    <row r="17" customFormat="false" ht="14.25" hidden="false" customHeight="true" outlineLevel="0" collapsed="false">
      <c r="C17" s="100" t="s">
        <v>160</v>
      </c>
      <c r="D17" s="110" t="n">
        <v>0</v>
      </c>
      <c r="E17" s="110" t="n">
        <v>0</v>
      </c>
      <c r="F17" s="110" t="n">
        <v>0</v>
      </c>
      <c r="G17" s="110" t="n">
        <v>0</v>
      </c>
      <c r="H17" s="110" t="n">
        <v>0</v>
      </c>
      <c r="I17" s="110" t="n">
        <v>52</v>
      </c>
      <c r="J17" s="110" t="n">
        <v>429</v>
      </c>
      <c r="K17" s="110" t="n">
        <v>0</v>
      </c>
      <c r="L17" s="110" t="n">
        <v>0</v>
      </c>
      <c r="M17" s="110" t="n">
        <v>0</v>
      </c>
      <c r="N17" s="110" t="n">
        <v>0</v>
      </c>
      <c r="O17" s="110" t="n">
        <v>0</v>
      </c>
      <c r="P17" s="110" t="n">
        <v>481</v>
      </c>
      <c r="Q17" s="112"/>
    </row>
    <row r="18" customFormat="false" ht="14.25" hidden="false" customHeight="true" outlineLevel="0" collapsed="false">
      <c r="C18" s="100" t="s">
        <v>105</v>
      </c>
      <c r="D18" s="110" t="n">
        <v>0</v>
      </c>
      <c r="E18" s="110" t="n">
        <v>0</v>
      </c>
      <c r="F18" s="110" t="n">
        <v>0</v>
      </c>
      <c r="G18" s="110" t="n">
        <v>0</v>
      </c>
      <c r="H18" s="110" t="n">
        <v>0</v>
      </c>
      <c r="I18" s="110" t="n">
        <v>0</v>
      </c>
      <c r="J18" s="110" t="n">
        <v>0</v>
      </c>
      <c r="K18" s="110" t="n">
        <v>0</v>
      </c>
      <c r="L18" s="110" t="n">
        <v>193</v>
      </c>
      <c r="M18" s="110" t="n">
        <v>2</v>
      </c>
      <c r="N18" s="110" t="n">
        <v>0</v>
      </c>
      <c r="O18" s="110" t="n">
        <v>0</v>
      </c>
      <c r="P18" s="110" t="n">
        <v>195</v>
      </c>
      <c r="Q18" s="112"/>
    </row>
    <row r="19" customFormat="false" ht="14.25" hidden="false" customHeight="true" outlineLevel="0" collapsed="false">
      <c r="B19" s="100" t="s">
        <v>26</v>
      </c>
      <c r="D19" s="110" t="n">
        <v>44</v>
      </c>
      <c r="E19" s="110" t="n">
        <v>29</v>
      </c>
      <c r="F19" s="110" t="n">
        <v>18</v>
      </c>
      <c r="G19" s="110" t="n">
        <v>35</v>
      </c>
      <c r="H19" s="110" t="n">
        <v>28</v>
      </c>
      <c r="I19" s="110" t="n">
        <v>66</v>
      </c>
      <c r="J19" s="110" t="n">
        <v>675</v>
      </c>
      <c r="K19" s="110" t="n">
        <v>26</v>
      </c>
      <c r="L19" s="110" t="n">
        <v>34</v>
      </c>
      <c r="M19" s="110" t="n">
        <v>156</v>
      </c>
      <c r="N19" s="110" t="n">
        <v>76</v>
      </c>
      <c r="O19" s="110" t="n">
        <v>364</v>
      </c>
      <c r="P19" s="110" t="n">
        <v>1551</v>
      </c>
      <c r="Q19" s="112"/>
    </row>
    <row r="20" customFormat="false" ht="14.25" hidden="false" customHeight="true" outlineLevel="0" collapsed="false"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2"/>
    </row>
    <row r="21" s="107" customFormat="true" ht="14.25" hidden="false" customHeight="true" outlineLevel="0" collapsed="false">
      <c r="A21" s="107" t="s">
        <v>27</v>
      </c>
      <c r="D21" s="108" t="n">
        <v>19592</v>
      </c>
      <c r="E21" s="108" t="n">
        <v>22276</v>
      </c>
      <c r="F21" s="108" t="n">
        <v>26526</v>
      </c>
      <c r="G21" s="108" t="n">
        <v>22569</v>
      </c>
      <c r="H21" s="108" t="n">
        <v>22549</v>
      </c>
      <c r="I21" s="108" t="n">
        <v>23241</v>
      </c>
      <c r="J21" s="108" t="n">
        <v>24185</v>
      </c>
      <c r="K21" s="108" t="n">
        <v>22835</v>
      </c>
      <c r="L21" s="108" t="n">
        <v>22121</v>
      </c>
      <c r="M21" s="108" t="n">
        <v>22908</v>
      </c>
      <c r="N21" s="108" t="n">
        <v>26204</v>
      </c>
      <c r="O21" s="108" t="n">
        <v>27290</v>
      </c>
      <c r="P21" s="108" t="n">
        <v>282296</v>
      </c>
      <c r="Q21" s="112"/>
      <c r="R21" s="161"/>
      <c r="S21" s="161"/>
    </row>
    <row r="22" customFormat="false" ht="14.25" hidden="false" customHeight="true" outlineLevel="0" collapsed="false">
      <c r="B22" s="100" t="s">
        <v>15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12"/>
    </row>
    <row r="23" customFormat="false" ht="14.25" hidden="false" customHeight="true" outlineLevel="0" collapsed="false">
      <c r="C23" s="100" t="s">
        <v>29</v>
      </c>
      <c r="D23" s="110" t="n">
        <v>6469</v>
      </c>
      <c r="E23" s="110" t="n">
        <v>9710</v>
      </c>
      <c r="F23" s="110" t="n">
        <v>7234</v>
      </c>
      <c r="G23" s="110" t="n">
        <v>6616</v>
      </c>
      <c r="H23" s="110" t="n">
        <v>5721</v>
      </c>
      <c r="I23" s="110" t="n">
        <v>5681</v>
      </c>
      <c r="J23" s="110" t="n">
        <v>4205</v>
      </c>
      <c r="K23" s="110" t="n">
        <v>7325</v>
      </c>
      <c r="L23" s="110" t="n">
        <v>5462</v>
      </c>
      <c r="M23" s="110" t="n">
        <v>3665</v>
      </c>
      <c r="N23" s="110" t="n">
        <v>8819</v>
      </c>
      <c r="O23" s="110" t="n">
        <v>5584</v>
      </c>
      <c r="P23" s="110" t="n">
        <v>76491</v>
      </c>
      <c r="Q23" s="112"/>
    </row>
    <row r="24" customFormat="false" ht="14.25" hidden="false" customHeight="true" outlineLevel="0" collapsed="false">
      <c r="C24" s="100" t="s">
        <v>77</v>
      </c>
      <c r="D24" s="110" t="n">
        <v>199</v>
      </c>
      <c r="E24" s="110" t="n">
        <v>279</v>
      </c>
      <c r="F24" s="110" t="n">
        <v>810</v>
      </c>
      <c r="G24" s="110" t="n">
        <v>1061</v>
      </c>
      <c r="H24" s="110" t="n">
        <v>712</v>
      </c>
      <c r="I24" s="110" t="n">
        <v>32</v>
      </c>
      <c r="J24" s="110" t="n">
        <v>223</v>
      </c>
      <c r="K24" s="110" t="n">
        <v>56</v>
      </c>
      <c r="L24" s="110" t="n">
        <v>404</v>
      </c>
      <c r="M24" s="110" t="n">
        <v>361</v>
      </c>
      <c r="N24" s="110" t="n">
        <v>1597</v>
      </c>
      <c r="O24" s="110" t="n">
        <v>415</v>
      </c>
      <c r="P24" s="110" t="n">
        <v>6149</v>
      </c>
      <c r="Q24" s="112"/>
    </row>
    <row r="25" customFormat="false" ht="14.25" hidden="false" customHeight="true" outlineLevel="0" collapsed="false">
      <c r="C25" s="100" t="s">
        <v>28</v>
      </c>
      <c r="D25" s="110" t="n">
        <v>980</v>
      </c>
      <c r="E25" s="110" t="n">
        <v>2881</v>
      </c>
      <c r="F25" s="110" t="n">
        <v>3956</v>
      </c>
      <c r="G25" s="110" t="n">
        <v>3181</v>
      </c>
      <c r="H25" s="110" t="n">
        <v>2418</v>
      </c>
      <c r="I25" s="110" t="n">
        <v>2203</v>
      </c>
      <c r="J25" s="110" t="n">
        <v>4272</v>
      </c>
      <c r="K25" s="110" t="n">
        <v>2203</v>
      </c>
      <c r="L25" s="110" t="n">
        <v>4116</v>
      </c>
      <c r="M25" s="110" t="n">
        <v>2192</v>
      </c>
      <c r="N25" s="110" t="n">
        <v>2195</v>
      </c>
      <c r="O25" s="110" t="n">
        <v>4119</v>
      </c>
      <c r="P25" s="110" t="n">
        <v>34716</v>
      </c>
      <c r="Q25" s="112"/>
    </row>
    <row r="26" customFormat="false" ht="14.25" hidden="false" customHeight="true" outlineLevel="0" collapsed="false">
      <c r="C26" s="100" t="s">
        <v>30</v>
      </c>
      <c r="D26" s="110" t="n">
        <v>0</v>
      </c>
      <c r="E26" s="110" t="n">
        <v>30</v>
      </c>
      <c r="F26" s="110" t="n">
        <v>205</v>
      </c>
      <c r="G26" s="110" t="n">
        <v>24</v>
      </c>
      <c r="H26" s="110" t="n">
        <v>19</v>
      </c>
      <c r="I26" s="110" t="n">
        <v>484</v>
      </c>
      <c r="J26" s="110" t="n">
        <v>619</v>
      </c>
      <c r="K26" s="110" t="n">
        <v>127</v>
      </c>
      <c r="L26" s="110" t="n">
        <v>554</v>
      </c>
      <c r="M26" s="110" t="n">
        <v>574</v>
      </c>
      <c r="N26" s="110" t="n">
        <v>49</v>
      </c>
      <c r="O26" s="110" t="n">
        <v>1261</v>
      </c>
      <c r="P26" s="110" t="n">
        <v>3946</v>
      </c>
      <c r="Q26" s="112"/>
    </row>
    <row r="27" customFormat="false" ht="14.25" hidden="false" customHeight="true" outlineLevel="0" collapsed="false">
      <c r="C27" s="100" t="s">
        <v>32</v>
      </c>
      <c r="D27" s="110" t="n">
        <v>1</v>
      </c>
      <c r="E27" s="110" t="n">
        <v>103</v>
      </c>
      <c r="F27" s="110" t="n">
        <v>1975</v>
      </c>
      <c r="G27" s="110" t="n">
        <v>1274</v>
      </c>
      <c r="H27" s="110" t="n">
        <v>216</v>
      </c>
      <c r="I27" s="110" t="n">
        <v>524</v>
      </c>
      <c r="J27" s="110" t="n">
        <v>782</v>
      </c>
      <c r="K27" s="110" t="n">
        <v>137</v>
      </c>
      <c r="L27" s="110" t="n">
        <v>127</v>
      </c>
      <c r="M27" s="110" t="n">
        <v>1008</v>
      </c>
      <c r="N27" s="110" t="n">
        <v>12</v>
      </c>
      <c r="O27" s="110" t="n">
        <v>594</v>
      </c>
      <c r="P27" s="110" t="n">
        <v>6753</v>
      </c>
      <c r="Q27" s="112"/>
    </row>
    <row r="28" customFormat="false" ht="14.25" hidden="false" customHeight="true" outlineLevel="0" collapsed="false">
      <c r="C28" s="100" t="s">
        <v>78</v>
      </c>
      <c r="D28" s="110" t="n">
        <v>149</v>
      </c>
      <c r="E28" s="110" t="n">
        <v>49</v>
      </c>
      <c r="F28" s="110" t="n">
        <v>274</v>
      </c>
      <c r="G28" s="110" t="n">
        <v>327</v>
      </c>
      <c r="H28" s="110" t="n">
        <v>115</v>
      </c>
      <c r="I28" s="110" t="n">
        <v>479</v>
      </c>
      <c r="J28" s="110" t="n">
        <v>384</v>
      </c>
      <c r="K28" s="110" t="n">
        <v>60</v>
      </c>
      <c r="L28" s="110" t="n">
        <v>308</v>
      </c>
      <c r="M28" s="110" t="n">
        <v>321</v>
      </c>
      <c r="N28" s="110" t="n">
        <v>385</v>
      </c>
      <c r="O28" s="110" t="n">
        <v>298</v>
      </c>
      <c r="P28" s="110" t="n">
        <v>3149</v>
      </c>
      <c r="Q28" s="112"/>
    </row>
    <row r="29" customFormat="false" ht="14.25" hidden="false" customHeight="true" outlineLevel="0" collapsed="false"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2"/>
    </row>
    <row r="30" s="107" customFormat="true" ht="14.25" hidden="false" customHeight="true" outlineLevel="0" collapsed="false">
      <c r="A30" s="107" t="s">
        <v>137</v>
      </c>
      <c r="D30" s="112" t="n">
        <v>5788</v>
      </c>
      <c r="E30" s="112" t="n">
        <v>-7815</v>
      </c>
      <c r="F30" s="112" t="n">
        <v>-8299</v>
      </c>
      <c r="G30" s="112" t="n">
        <v>4371</v>
      </c>
      <c r="H30" s="112" t="n">
        <v>-2490</v>
      </c>
      <c r="I30" s="112" t="n">
        <v>-3926</v>
      </c>
      <c r="J30" s="112" t="n">
        <v>855</v>
      </c>
      <c r="K30" s="112" t="n">
        <v>-2007</v>
      </c>
      <c r="L30" s="112" t="n">
        <v>-3362</v>
      </c>
      <c r="M30" s="112" t="n">
        <v>1416</v>
      </c>
      <c r="N30" s="112" t="n">
        <v>-2732</v>
      </c>
      <c r="O30" s="112" t="n">
        <v>-3690</v>
      </c>
      <c r="P30" s="112" t="n">
        <v>-21891</v>
      </c>
      <c r="Q30" s="112"/>
    </row>
    <row r="31" customFormat="false" ht="14.25" hidden="false" customHeight="true" outlineLevel="0" collapsed="false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2"/>
    </row>
    <row r="32" s="107" customFormat="true" ht="14.25" hidden="false" customHeight="true" outlineLevel="0" collapsed="false">
      <c r="A32" s="107" t="s">
        <v>36</v>
      </c>
      <c r="D32" s="108" t="n">
        <v>22362</v>
      </c>
      <c r="E32" s="108" t="n">
        <v>22206</v>
      </c>
      <c r="F32" s="108" t="n">
        <v>28028</v>
      </c>
      <c r="G32" s="108" t="n">
        <v>-5043</v>
      </c>
      <c r="H32" s="108" t="n">
        <v>-5978</v>
      </c>
      <c r="I32" s="108" t="n">
        <v>-2774</v>
      </c>
      <c r="J32" s="108" t="n">
        <v>-4925</v>
      </c>
      <c r="K32" s="108" t="n">
        <v>-11775</v>
      </c>
      <c r="L32" s="108" t="n">
        <v>-23038</v>
      </c>
      <c r="M32" s="108" t="n">
        <v>-14150</v>
      </c>
      <c r="N32" s="108" t="n">
        <v>-928</v>
      </c>
      <c r="O32" s="108" t="n">
        <v>-19641</v>
      </c>
      <c r="P32" s="108" t="n">
        <v>-15656</v>
      </c>
      <c r="Q32" s="112"/>
    </row>
    <row r="33" customFormat="false" ht="14.25" hidden="false" customHeight="true" outlineLevel="0" collapsed="false">
      <c r="B33" s="100" t="s">
        <v>37</v>
      </c>
      <c r="D33" s="109" t="n">
        <v>-585</v>
      </c>
      <c r="E33" s="109" t="n">
        <v>4428</v>
      </c>
      <c r="F33" s="109" t="n">
        <v>2780</v>
      </c>
      <c r="G33" s="109" t="n">
        <v>2373</v>
      </c>
      <c r="H33" s="109" t="n">
        <v>-1287</v>
      </c>
      <c r="I33" s="109" t="n">
        <v>-1537</v>
      </c>
      <c r="J33" s="109" t="n">
        <v>-691</v>
      </c>
      <c r="K33" s="109" t="n">
        <v>52</v>
      </c>
      <c r="L33" s="109" t="n">
        <v>-1088</v>
      </c>
      <c r="M33" s="109" t="n">
        <v>-1414</v>
      </c>
      <c r="N33" s="109" t="n">
        <v>-2289</v>
      </c>
      <c r="O33" s="109" t="n">
        <v>12168</v>
      </c>
      <c r="P33" s="109" t="n">
        <v>12910</v>
      </c>
      <c r="Q33" s="112"/>
    </row>
    <row r="34" customFormat="false" ht="14.25" hidden="false" customHeight="true" outlineLevel="0" collapsed="false">
      <c r="C34" s="100" t="s">
        <v>38</v>
      </c>
      <c r="D34" s="110" t="n">
        <v>364</v>
      </c>
      <c r="E34" s="110" t="n">
        <v>5015</v>
      </c>
      <c r="F34" s="110" t="n">
        <v>3950</v>
      </c>
      <c r="G34" s="110" t="n">
        <v>4996</v>
      </c>
      <c r="H34" s="110" t="n">
        <v>1444</v>
      </c>
      <c r="I34" s="110" t="n">
        <v>1342</v>
      </c>
      <c r="J34" s="110" t="n">
        <v>739</v>
      </c>
      <c r="K34" s="110" t="n">
        <v>920</v>
      </c>
      <c r="L34" s="110" t="n">
        <v>874</v>
      </c>
      <c r="M34" s="110" t="n">
        <v>1513</v>
      </c>
      <c r="N34" s="110" t="n">
        <v>869</v>
      </c>
      <c r="O34" s="110" t="n">
        <v>16197</v>
      </c>
      <c r="P34" s="110" t="n">
        <v>38223</v>
      </c>
      <c r="Q34" s="112"/>
    </row>
    <row r="35" customFormat="false" ht="14.25" hidden="false" customHeight="true" outlineLevel="0" collapsed="false">
      <c r="C35" s="100" t="s">
        <v>39</v>
      </c>
      <c r="D35" s="110" t="n">
        <v>949</v>
      </c>
      <c r="E35" s="110" t="n">
        <v>587</v>
      </c>
      <c r="F35" s="110" t="n">
        <v>1170</v>
      </c>
      <c r="G35" s="110" t="n">
        <v>2623</v>
      </c>
      <c r="H35" s="110" t="n">
        <v>2731</v>
      </c>
      <c r="I35" s="110" t="n">
        <v>2879</v>
      </c>
      <c r="J35" s="110" t="n">
        <v>1430</v>
      </c>
      <c r="K35" s="110" t="n">
        <v>868</v>
      </c>
      <c r="L35" s="110" t="n">
        <v>1962</v>
      </c>
      <c r="M35" s="110" t="n">
        <v>2927</v>
      </c>
      <c r="N35" s="110" t="n">
        <v>3158</v>
      </c>
      <c r="O35" s="110" t="n">
        <v>4029</v>
      </c>
      <c r="P35" s="110" t="n">
        <v>25313</v>
      </c>
      <c r="Q35" s="112"/>
    </row>
    <row r="36" customFormat="false" ht="14.25" hidden="false" customHeight="true" outlineLevel="0" collapsed="false"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2"/>
    </row>
    <row r="37" customFormat="false" ht="14.25" hidden="false" customHeight="true" outlineLevel="0" collapsed="false">
      <c r="B37" s="100" t="s">
        <v>40</v>
      </c>
      <c r="D37" s="109" t="n">
        <v>22947</v>
      </c>
      <c r="E37" s="109" t="n">
        <v>17778</v>
      </c>
      <c r="F37" s="109" t="n">
        <v>25248</v>
      </c>
      <c r="G37" s="109" t="n">
        <v>-7416</v>
      </c>
      <c r="H37" s="109" t="n">
        <v>-4691</v>
      </c>
      <c r="I37" s="109" t="n">
        <v>-1237</v>
      </c>
      <c r="J37" s="109" t="n">
        <v>-4234</v>
      </c>
      <c r="K37" s="109" t="n">
        <v>-11827</v>
      </c>
      <c r="L37" s="109" t="n">
        <v>-21950</v>
      </c>
      <c r="M37" s="109" t="n">
        <v>-12736</v>
      </c>
      <c r="N37" s="109" t="n">
        <v>1361</v>
      </c>
      <c r="O37" s="109" t="n">
        <v>-31809</v>
      </c>
      <c r="P37" s="109" t="n">
        <v>-28566</v>
      </c>
      <c r="Q37" s="112"/>
    </row>
    <row r="38" customFormat="false" ht="14.25" hidden="false" customHeight="true" outlineLevel="0" collapsed="false">
      <c r="C38" s="100" t="s">
        <v>41</v>
      </c>
      <c r="D38" s="110" t="n">
        <v>23129</v>
      </c>
      <c r="E38" s="110" t="n">
        <v>17924</v>
      </c>
      <c r="F38" s="110" t="n">
        <v>25454</v>
      </c>
      <c r="G38" s="110" t="n">
        <v>-7237</v>
      </c>
      <c r="H38" s="110" t="n">
        <v>-1846</v>
      </c>
      <c r="I38" s="110" t="n">
        <v>-645</v>
      </c>
      <c r="J38" s="110" t="n">
        <v>-4232</v>
      </c>
      <c r="K38" s="110" t="n">
        <v>-8031</v>
      </c>
      <c r="L38" s="110" t="n">
        <v>-21850</v>
      </c>
      <c r="M38" s="110" t="n">
        <v>-12000</v>
      </c>
      <c r="N38" s="110" t="n">
        <v>1591</v>
      </c>
      <c r="O38" s="110" t="n">
        <v>-29249</v>
      </c>
      <c r="P38" s="110" t="n">
        <v>-16992</v>
      </c>
      <c r="Q38" s="112"/>
    </row>
    <row r="39" customFormat="false" ht="14.25" hidden="false" customHeight="true" outlineLevel="0" collapsed="false">
      <c r="C39" s="100" t="s">
        <v>39</v>
      </c>
      <c r="D39" s="110" t="n">
        <v>182</v>
      </c>
      <c r="E39" s="110" t="n">
        <v>146</v>
      </c>
      <c r="F39" s="110" t="n">
        <v>206</v>
      </c>
      <c r="G39" s="110" t="n">
        <v>179</v>
      </c>
      <c r="H39" s="110" t="n">
        <v>2845</v>
      </c>
      <c r="I39" s="110" t="n">
        <v>592</v>
      </c>
      <c r="J39" s="110" t="n">
        <v>2</v>
      </c>
      <c r="K39" s="110" t="n">
        <v>3796</v>
      </c>
      <c r="L39" s="110" t="n">
        <v>100</v>
      </c>
      <c r="M39" s="110" t="n">
        <v>736</v>
      </c>
      <c r="N39" s="110" t="n">
        <v>230</v>
      </c>
      <c r="O39" s="110" t="n">
        <v>2560</v>
      </c>
      <c r="P39" s="110" t="n">
        <v>11574</v>
      </c>
      <c r="Q39" s="112"/>
    </row>
    <row r="40" customFormat="false" ht="14.25" hidden="false" customHeight="true" outlineLevel="0" collapsed="false"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2"/>
    </row>
    <row r="41" s="107" customFormat="true" ht="14.25" hidden="false" customHeight="true" outlineLevel="0" collapsed="false">
      <c r="A41" s="107" t="s">
        <v>161</v>
      </c>
      <c r="D41" s="108" t="n">
        <v>23445</v>
      </c>
      <c r="E41" s="108" t="n">
        <v>12957</v>
      </c>
      <c r="F41" s="108" t="n">
        <v>28095</v>
      </c>
      <c r="G41" s="108" t="n">
        <v>3855</v>
      </c>
      <c r="H41" s="108" t="n">
        <v>-8461</v>
      </c>
      <c r="I41" s="108" t="n">
        <v>3554</v>
      </c>
      <c r="J41" s="108" t="n">
        <v>-6010</v>
      </c>
      <c r="K41" s="108" t="n">
        <v>-14940</v>
      </c>
      <c r="L41" s="108" t="n">
        <v>-41800</v>
      </c>
      <c r="M41" s="108" t="n">
        <v>-7462</v>
      </c>
      <c r="N41" s="108" t="n">
        <v>-162056</v>
      </c>
      <c r="O41" s="108" t="n">
        <v>144583</v>
      </c>
      <c r="P41" s="108" t="n">
        <v>-24240</v>
      </c>
      <c r="Q41" s="112"/>
    </row>
    <row r="42" customFormat="false" ht="15" hidden="false" customHeight="false" outlineLevel="0" collapsed="false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</row>
    <row r="43" customFormat="false" ht="15" hidden="false" customHeight="false" outlineLevel="0" collapsed="false"/>
    <row r="45" customFormat="false" ht="14.25" hidden="false" customHeight="false" outlineLevel="0" collapsed="false">
      <c r="A45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0" sqref="A1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58"/>
    <col collapsed="false" customWidth="true" hidden="false" outlineLevel="0" max="2" min="2" style="100" width="1.29"/>
    <col collapsed="false" customWidth="true" hidden="false" outlineLevel="0" max="3" min="3" style="100" width="24"/>
    <col collapsed="false" customWidth="true" hidden="false" outlineLevel="0" max="4" min="4" style="100" width="8"/>
    <col collapsed="false" customWidth="true" hidden="false" outlineLevel="0" max="15" min="5" style="100" width="8.14"/>
    <col collapsed="false" customWidth="true" hidden="false" outlineLevel="0" max="16" min="16" style="100" width="9.29"/>
    <col collapsed="false" customWidth="false" hidden="false" outlineLevel="0" max="1024" min="17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162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1.7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true" outlineLevel="0" collapsed="false"/>
    <row r="7" s="107" customFormat="true" ht="15" hidden="false" customHeight="true" outlineLevel="0" collapsed="false">
      <c r="A7" s="107" t="s">
        <v>12</v>
      </c>
      <c r="D7" s="108" t="n">
        <v>24629</v>
      </c>
      <c r="E7" s="108" t="n">
        <v>15953</v>
      </c>
      <c r="F7" s="108" t="n">
        <v>20930</v>
      </c>
      <c r="G7" s="108" t="n">
        <v>26630</v>
      </c>
      <c r="H7" s="108" t="n">
        <v>15539</v>
      </c>
      <c r="I7" s="108" t="n">
        <v>18116</v>
      </c>
      <c r="J7" s="108" t="n">
        <v>23079</v>
      </c>
      <c r="K7" s="108" t="n">
        <v>19227</v>
      </c>
      <c r="L7" s="108" t="n">
        <v>16068</v>
      </c>
      <c r="M7" s="108" t="n">
        <v>21892</v>
      </c>
      <c r="N7" s="108" t="n">
        <v>15073</v>
      </c>
      <c r="O7" s="108" t="n">
        <v>25578</v>
      </c>
      <c r="P7" s="108" t="n">
        <v>242714</v>
      </c>
      <c r="Q7" s="112"/>
    </row>
    <row r="8" customFormat="false" ht="15" hidden="false" customHeight="true" outlineLevel="0" collapsed="false">
      <c r="B8" s="100" t="s">
        <v>13</v>
      </c>
      <c r="D8" s="109" t="n">
        <v>22121</v>
      </c>
      <c r="E8" s="109" t="n">
        <v>13640</v>
      </c>
      <c r="F8" s="109" t="n">
        <v>16018</v>
      </c>
      <c r="G8" s="109" t="n">
        <v>25189</v>
      </c>
      <c r="H8" s="109" t="n">
        <v>12914</v>
      </c>
      <c r="I8" s="109" t="n">
        <v>15642</v>
      </c>
      <c r="J8" s="109" t="n">
        <v>20034</v>
      </c>
      <c r="K8" s="109" t="n">
        <v>16249</v>
      </c>
      <c r="L8" s="109" t="n">
        <v>12806</v>
      </c>
      <c r="M8" s="109" t="n">
        <v>19542</v>
      </c>
      <c r="N8" s="109" t="n">
        <v>13995</v>
      </c>
      <c r="O8" s="109" t="n">
        <v>20555</v>
      </c>
      <c r="P8" s="109" t="n">
        <v>208705</v>
      </c>
      <c r="Q8" s="112"/>
    </row>
    <row r="9" customFormat="false" ht="15" hidden="false" customHeight="true" outlineLevel="0" collapsed="false">
      <c r="C9" s="100" t="s">
        <v>14</v>
      </c>
      <c r="D9" s="110" t="n">
        <v>15661</v>
      </c>
      <c r="E9" s="110" t="n">
        <v>7731</v>
      </c>
      <c r="F9" s="110" t="n">
        <v>7975</v>
      </c>
      <c r="G9" s="110" t="n">
        <v>19322</v>
      </c>
      <c r="H9" s="110" t="n">
        <v>7625</v>
      </c>
      <c r="I9" s="110" t="n">
        <v>9624</v>
      </c>
      <c r="J9" s="110" t="n">
        <v>14245</v>
      </c>
      <c r="K9" s="110" t="n">
        <v>10541</v>
      </c>
      <c r="L9" s="110" t="n">
        <v>7592</v>
      </c>
      <c r="M9" s="110" t="n">
        <v>13651</v>
      </c>
      <c r="N9" s="110" t="n">
        <v>7868</v>
      </c>
      <c r="O9" s="110" t="n">
        <v>12069</v>
      </c>
      <c r="P9" s="110" t="n">
        <v>133904</v>
      </c>
      <c r="Q9" s="112"/>
    </row>
    <row r="10" customFormat="false" ht="15" hidden="false" customHeight="true" outlineLevel="0" collapsed="false">
      <c r="C10" s="100" t="s">
        <v>18</v>
      </c>
      <c r="D10" s="110" t="n">
        <v>6286</v>
      </c>
      <c r="E10" s="110" t="n">
        <v>5757</v>
      </c>
      <c r="F10" s="110" t="n">
        <v>7872</v>
      </c>
      <c r="G10" s="110" t="n">
        <v>5724</v>
      </c>
      <c r="H10" s="110" t="n">
        <v>5153</v>
      </c>
      <c r="I10" s="110" t="n">
        <v>5934</v>
      </c>
      <c r="J10" s="110" t="n">
        <v>5632</v>
      </c>
      <c r="K10" s="110" t="n">
        <v>5498</v>
      </c>
      <c r="L10" s="110" t="n">
        <v>5069</v>
      </c>
      <c r="M10" s="110" t="n">
        <v>5730</v>
      </c>
      <c r="N10" s="110" t="n">
        <v>5986</v>
      </c>
      <c r="O10" s="110" t="n">
        <v>8229</v>
      </c>
      <c r="P10" s="110" t="n">
        <v>72870</v>
      </c>
      <c r="Q10" s="112"/>
    </row>
    <row r="11" customFormat="false" ht="15" hidden="false" customHeight="true" outlineLevel="0" collapsed="false">
      <c r="C11" s="100" t="s">
        <v>87</v>
      </c>
      <c r="D11" s="110" t="n">
        <v>174</v>
      </c>
      <c r="E11" s="110" t="n">
        <v>152</v>
      </c>
      <c r="F11" s="110" t="n">
        <v>171</v>
      </c>
      <c r="G11" s="110" t="n">
        <v>143</v>
      </c>
      <c r="H11" s="110" t="n">
        <v>136</v>
      </c>
      <c r="I11" s="110" t="n">
        <v>84</v>
      </c>
      <c r="J11" s="110" t="n">
        <v>157</v>
      </c>
      <c r="K11" s="110" t="n">
        <v>210</v>
      </c>
      <c r="L11" s="110" t="n">
        <v>145</v>
      </c>
      <c r="M11" s="110" t="n">
        <v>161</v>
      </c>
      <c r="N11" s="110" t="n">
        <v>141</v>
      </c>
      <c r="O11" s="110" t="n">
        <v>257</v>
      </c>
      <c r="P11" s="110" t="n">
        <v>1931</v>
      </c>
      <c r="Q11" s="112"/>
    </row>
    <row r="12" customFormat="false" ht="1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2"/>
    </row>
    <row r="13" customFormat="false" ht="15" hidden="false" customHeight="true" outlineLevel="0" collapsed="false">
      <c r="B13" s="100" t="s">
        <v>20</v>
      </c>
      <c r="D13" s="109" t="n">
        <v>2349</v>
      </c>
      <c r="E13" s="109" t="n">
        <v>2203</v>
      </c>
      <c r="F13" s="109" t="n">
        <v>4808</v>
      </c>
      <c r="G13" s="109" t="n">
        <v>1383</v>
      </c>
      <c r="H13" s="109" t="n">
        <v>2363</v>
      </c>
      <c r="I13" s="109" t="n">
        <v>2406</v>
      </c>
      <c r="J13" s="109" t="n">
        <v>2445</v>
      </c>
      <c r="K13" s="109" t="n">
        <v>2862</v>
      </c>
      <c r="L13" s="109" t="n">
        <v>3028</v>
      </c>
      <c r="M13" s="109" t="n">
        <v>2334</v>
      </c>
      <c r="N13" s="109" t="n">
        <v>907</v>
      </c>
      <c r="O13" s="109" t="n">
        <v>4777</v>
      </c>
      <c r="P13" s="109" t="n">
        <v>31865</v>
      </c>
      <c r="Q13" s="112"/>
    </row>
    <row r="14" customFormat="false" ht="15" hidden="false" customHeight="true" outlineLevel="0" collapsed="false">
      <c r="C14" s="100" t="s">
        <v>21</v>
      </c>
      <c r="D14" s="110" t="n">
        <v>1574</v>
      </c>
      <c r="E14" s="110" t="n">
        <v>1127</v>
      </c>
      <c r="F14" s="110" t="n">
        <v>1810</v>
      </c>
      <c r="G14" s="110" t="n">
        <v>920</v>
      </c>
      <c r="H14" s="110" t="n">
        <v>1060</v>
      </c>
      <c r="I14" s="110" t="n">
        <v>1673</v>
      </c>
      <c r="J14" s="110" t="n">
        <v>1660</v>
      </c>
      <c r="K14" s="110" t="n">
        <v>2056</v>
      </c>
      <c r="L14" s="110" t="n">
        <v>2118</v>
      </c>
      <c r="M14" s="110" t="n">
        <v>1608</v>
      </c>
      <c r="N14" s="110" t="n">
        <v>507</v>
      </c>
      <c r="O14" s="110" t="n">
        <v>3956</v>
      </c>
      <c r="P14" s="110" t="n">
        <v>20069</v>
      </c>
      <c r="Q14" s="112"/>
    </row>
    <row r="15" customFormat="false" ht="15" hidden="false" customHeight="true" outlineLevel="0" collapsed="false">
      <c r="C15" s="100" t="s">
        <v>150</v>
      </c>
      <c r="D15" s="110" t="n">
        <v>650</v>
      </c>
      <c r="E15" s="110" t="n">
        <v>668</v>
      </c>
      <c r="F15" s="110" t="n">
        <v>676</v>
      </c>
      <c r="G15" s="110" t="n">
        <v>322</v>
      </c>
      <c r="H15" s="110" t="n">
        <v>701</v>
      </c>
      <c r="I15" s="110" t="n">
        <v>367</v>
      </c>
      <c r="J15" s="110" t="n">
        <v>683</v>
      </c>
      <c r="K15" s="110" t="n">
        <v>600</v>
      </c>
      <c r="L15" s="110" t="n">
        <v>121</v>
      </c>
      <c r="M15" s="110" t="n">
        <v>465</v>
      </c>
      <c r="N15" s="110" t="n">
        <v>273</v>
      </c>
      <c r="O15" s="110" t="n">
        <v>363</v>
      </c>
      <c r="P15" s="110" t="n">
        <v>5889</v>
      </c>
      <c r="Q15" s="112"/>
    </row>
    <row r="16" customFormat="false" ht="15" hidden="false" customHeight="true" outlineLevel="0" collapsed="false">
      <c r="C16" s="100" t="s">
        <v>160</v>
      </c>
      <c r="D16" s="110" t="n">
        <v>0</v>
      </c>
      <c r="E16" s="110" t="n">
        <v>384</v>
      </c>
      <c r="F16" s="110" t="n">
        <v>0</v>
      </c>
      <c r="G16" s="110" t="n">
        <v>0</v>
      </c>
      <c r="H16" s="110" t="n">
        <v>339</v>
      </c>
      <c r="I16" s="110" t="n">
        <v>0</v>
      </c>
      <c r="J16" s="110" t="n">
        <v>0</v>
      </c>
      <c r="K16" s="110" t="n">
        <v>0</v>
      </c>
      <c r="L16" s="110" t="n">
        <v>523</v>
      </c>
      <c r="M16" s="110" t="n">
        <v>0</v>
      </c>
      <c r="N16" s="110" t="n">
        <v>0</v>
      </c>
      <c r="O16" s="110" t="n">
        <v>458</v>
      </c>
      <c r="P16" s="110" t="n">
        <v>1704</v>
      </c>
      <c r="Q16" s="112"/>
    </row>
    <row r="17" customFormat="false" ht="15" hidden="false" customHeight="true" outlineLevel="0" collapsed="false">
      <c r="C17" s="100" t="s">
        <v>23</v>
      </c>
      <c r="D17" s="110" t="n">
        <v>125</v>
      </c>
      <c r="E17" s="110" t="n">
        <v>24</v>
      </c>
      <c r="F17" s="110" t="n">
        <v>0</v>
      </c>
      <c r="G17" s="110" t="n">
        <v>141</v>
      </c>
      <c r="H17" s="110" t="n">
        <v>260</v>
      </c>
      <c r="I17" s="110" t="n">
        <v>366</v>
      </c>
      <c r="J17" s="110" t="n">
        <v>102</v>
      </c>
      <c r="K17" s="110" t="n">
        <v>205</v>
      </c>
      <c r="L17" s="110" t="n">
        <v>266</v>
      </c>
      <c r="M17" s="110" t="n">
        <v>261</v>
      </c>
      <c r="N17" s="110" t="n">
        <v>127</v>
      </c>
      <c r="O17" s="110" t="n">
        <v>0</v>
      </c>
      <c r="P17" s="110" t="n">
        <v>1877</v>
      </c>
      <c r="Q17" s="112"/>
    </row>
    <row r="18" customFormat="false" ht="15" hidden="false" customHeight="true" outlineLevel="0" collapsed="false">
      <c r="C18" s="100" t="s">
        <v>105</v>
      </c>
      <c r="D18" s="110" t="n">
        <v>0</v>
      </c>
      <c r="E18" s="110" t="n">
        <v>0</v>
      </c>
      <c r="F18" s="110" t="n">
        <v>2322</v>
      </c>
      <c r="G18" s="110" t="n">
        <v>0</v>
      </c>
      <c r="H18" s="110" t="n">
        <v>3</v>
      </c>
      <c r="I18" s="110" t="n">
        <v>0</v>
      </c>
      <c r="J18" s="110" t="n">
        <v>0</v>
      </c>
      <c r="K18" s="110" t="n">
        <v>1</v>
      </c>
      <c r="L18" s="110" t="n">
        <v>0</v>
      </c>
      <c r="M18" s="110" t="n">
        <v>0</v>
      </c>
      <c r="N18" s="110" t="n">
        <v>0</v>
      </c>
      <c r="O18" s="110" t="n">
        <v>0</v>
      </c>
      <c r="P18" s="110" t="n">
        <v>2326</v>
      </c>
      <c r="Q18" s="112"/>
    </row>
    <row r="19" customFormat="false" ht="15" hidden="false" customHeight="true" outlineLevel="0" collapsed="false"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2"/>
    </row>
    <row r="20" customFormat="false" ht="15" hidden="false" customHeight="true" outlineLevel="0" collapsed="false">
      <c r="B20" s="100" t="s">
        <v>26</v>
      </c>
      <c r="D20" s="110" t="n">
        <v>159</v>
      </c>
      <c r="E20" s="110" t="n">
        <v>110</v>
      </c>
      <c r="F20" s="110" t="n">
        <v>104</v>
      </c>
      <c r="G20" s="110" t="n">
        <v>58</v>
      </c>
      <c r="H20" s="110" t="n">
        <v>262</v>
      </c>
      <c r="I20" s="110" t="n">
        <v>68</v>
      </c>
      <c r="J20" s="110" t="n">
        <v>600</v>
      </c>
      <c r="K20" s="110" t="n">
        <v>116</v>
      </c>
      <c r="L20" s="110" t="n">
        <v>234</v>
      </c>
      <c r="M20" s="110" t="n">
        <v>16</v>
      </c>
      <c r="N20" s="110" t="n">
        <v>171</v>
      </c>
      <c r="O20" s="110" t="n">
        <v>246</v>
      </c>
      <c r="P20" s="110" t="n">
        <v>2144</v>
      </c>
      <c r="Q20" s="112"/>
    </row>
    <row r="21" customFormat="false" ht="15" hidden="false" customHeight="true" outlineLevel="0" collapsed="false"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2"/>
    </row>
    <row r="22" s="107" customFormat="true" ht="15" hidden="false" customHeight="true" outlineLevel="0" collapsed="false">
      <c r="A22" s="107" t="s">
        <v>27</v>
      </c>
      <c r="D22" s="108" t="n">
        <v>25134</v>
      </c>
      <c r="E22" s="108" t="n">
        <v>18752</v>
      </c>
      <c r="F22" s="108" t="n">
        <v>12600</v>
      </c>
      <c r="G22" s="108" t="n">
        <v>21690</v>
      </c>
      <c r="H22" s="108" t="n">
        <v>21277</v>
      </c>
      <c r="I22" s="108" t="n">
        <v>18451</v>
      </c>
      <c r="J22" s="108" t="n">
        <v>24871</v>
      </c>
      <c r="K22" s="108" t="n">
        <v>19654</v>
      </c>
      <c r="L22" s="108" t="n">
        <v>23304</v>
      </c>
      <c r="M22" s="108" t="n">
        <v>20362</v>
      </c>
      <c r="N22" s="108" t="n">
        <v>24130</v>
      </c>
      <c r="O22" s="108" t="n">
        <v>28455</v>
      </c>
      <c r="P22" s="108" t="n">
        <v>258680</v>
      </c>
      <c r="Q22" s="112"/>
    </row>
    <row r="23" customFormat="false" ht="15" hidden="false" customHeight="true" outlineLevel="0" collapsed="false">
      <c r="B23" s="100" t="s">
        <v>15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12"/>
    </row>
    <row r="24" customFormat="false" ht="15" hidden="false" customHeight="true" outlineLevel="0" collapsed="false">
      <c r="C24" s="100" t="s">
        <v>29</v>
      </c>
      <c r="D24" s="110" t="n">
        <v>9730</v>
      </c>
      <c r="E24" s="110" t="n">
        <v>7022</v>
      </c>
      <c r="F24" s="110" t="n">
        <v>5781</v>
      </c>
      <c r="G24" s="110" t="n">
        <v>7707</v>
      </c>
      <c r="H24" s="110" t="n">
        <v>4708</v>
      </c>
      <c r="I24" s="110" t="n">
        <v>5769</v>
      </c>
      <c r="J24" s="110" t="n">
        <v>8890</v>
      </c>
      <c r="K24" s="110" t="n">
        <v>5722</v>
      </c>
      <c r="L24" s="110" t="n">
        <v>6850</v>
      </c>
      <c r="M24" s="110" t="n">
        <v>6316</v>
      </c>
      <c r="N24" s="110" t="n">
        <v>5913</v>
      </c>
      <c r="O24" s="110" t="n">
        <v>5163</v>
      </c>
      <c r="P24" s="110" t="n">
        <v>79571</v>
      </c>
      <c r="Q24" s="112"/>
    </row>
    <row r="25" customFormat="false" ht="15" hidden="false" customHeight="true" outlineLevel="0" collapsed="false">
      <c r="C25" s="100" t="s">
        <v>77</v>
      </c>
      <c r="D25" s="110" t="n">
        <v>386</v>
      </c>
      <c r="E25" s="110" t="n">
        <v>128</v>
      </c>
      <c r="F25" s="110" t="n">
        <v>282</v>
      </c>
      <c r="G25" s="110" t="n">
        <v>511</v>
      </c>
      <c r="H25" s="110" t="n">
        <v>399</v>
      </c>
      <c r="I25" s="110" t="n">
        <v>106</v>
      </c>
      <c r="J25" s="110" t="n">
        <v>164</v>
      </c>
      <c r="K25" s="110" t="n">
        <v>501</v>
      </c>
      <c r="L25" s="110" t="n">
        <v>521</v>
      </c>
      <c r="M25" s="110" t="n">
        <v>146</v>
      </c>
      <c r="N25" s="110" t="n">
        <v>658</v>
      </c>
      <c r="O25" s="110" t="n">
        <v>233</v>
      </c>
      <c r="P25" s="110" t="n">
        <v>4035</v>
      </c>
      <c r="Q25" s="112"/>
    </row>
    <row r="26" customFormat="false" ht="15" hidden="false" customHeight="true" outlineLevel="0" collapsed="false">
      <c r="C26" s="100" t="s">
        <v>28</v>
      </c>
      <c r="D26" s="110" t="n">
        <v>982</v>
      </c>
      <c r="E26" s="110" t="n">
        <v>983</v>
      </c>
      <c r="F26" s="110" t="n">
        <v>983</v>
      </c>
      <c r="G26" s="110" t="n">
        <v>993</v>
      </c>
      <c r="H26" s="110" t="n">
        <v>1406</v>
      </c>
      <c r="I26" s="110" t="n">
        <v>2744</v>
      </c>
      <c r="J26" s="110" t="n">
        <v>1445</v>
      </c>
      <c r="K26" s="110" t="n">
        <v>1462</v>
      </c>
      <c r="L26" s="110" t="n">
        <v>3202</v>
      </c>
      <c r="M26" s="110" t="n">
        <v>1537</v>
      </c>
      <c r="N26" s="110" t="n">
        <v>2803</v>
      </c>
      <c r="O26" s="110" t="n">
        <v>1635</v>
      </c>
      <c r="P26" s="110" t="n">
        <v>20175</v>
      </c>
      <c r="Q26" s="112"/>
    </row>
    <row r="27" customFormat="false" ht="15" hidden="false" customHeight="true" outlineLevel="0" collapsed="false">
      <c r="C27" s="100" t="s">
        <v>30</v>
      </c>
      <c r="D27" s="110" t="n">
        <v>11</v>
      </c>
      <c r="E27" s="110" t="n">
        <v>635</v>
      </c>
      <c r="F27" s="110" t="n">
        <v>238</v>
      </c>
      <c r="G27" s="110" t="n">
        <v>37</v>
      </c>
      <c r="H27" s="110" t="n">
        <v>334</v>
      </c>
      <c r="I27" s="110" t="n">
        <v>358</v>
      </c>
      <c r="J27" s="110" t="n">
        <v>675</v>
      </c>
      <c r="K27" s="110" t="n">
        <v>192</v>
      </c>
      <c r="L27" s="110" t="n">
        <v>463</v>
      </c>
      <c r="M27" s="110" t="n">
        <v>328</v>
      </c>
      <c r="N27" s="110" t="n">
        <v>1312</v>
      </c>
      <c r="O27" s="110" t="n">
        <v>3130</v>
      </c>
      <c r="P27" s="110" t="n">
        <v>7713</v>
      </c>
      <c r="Q27" s="112"/>
    </row>
    <row r="28" customFormat="false" ht="15" hidden="false" customHeight="true" outlineLevel="0" collapsed="false">
      <c r="C28" s="100" t="s">
        <v>32</v>
      </c>
      <c r="D28" s="110" t="n">
        <v>0</v>
      </c>
      <c r="E28" s="110" t="n">
        <v>57</v>
      </c>
      <c r="F28" s="110" t="n">
        <v>-8296</v>
      </c>
      <c r="G28" s="110" t="n">
        <v>172</v>
      </c>
      <c r="H28" s="110" t="n">
        <v>50</v>
      </c>
      <c r="I28" s="110" t="n">
        <v>-1904</v>
      </c>
      <c r="J28" s="110" t="n">
        <v>10</v>
      </c>
      <c r="K28" s="110" t="n">
        <v>108</v>
      </c>
      <c r="L28" s="110" t="n">
        <v>-72</v>
      </c>
      <c r="M28" s="110" t="n">
        <v>146</v>
      </c>
      <c r="N28" s="110" t="n">
        <v>520</v>
      </c>
      <c r="O28" s="110" t="n">
        <v>59</v>
      </c>
      <c r="P28" s="110" t="n">
        <v>-9150</v>
      </c>
      <c r="Q28" s="112"/>
    </row>
    <row r="29" customFormat="false" ht="15" hidden="false" customHeight="true" outlineLevel="0" collapsed="false">
      <c r="C29" s="100" t="s">
        <v>78</v>
      </c>
      <c r="D29" s="110" t="n">
        <v>205</v>
      </c>
      <c r="E29" s="110" t="n">
        <v>-218</v>
      </c>
      <c r="F29" s="110" t="n">
        <v>320</v>
      </c>
      <c r="G29" s="110" t="n">
        <v>278</v>
      </c>
      <c r="H29" s="110" t="n">
        <v>925</v>
      </c>
      <c r="I29" s="110" t="n">
        <v>-428</v>
      </c>
      <c r="J29" s="110" t="n">
        <v>40</v>
      </c>
      <c r="K29" s="110" t="n">
        <v>-18</v>
      </c>
      <c r="L29" s="110" t="n">
        <v>352</v>
      </c>
      <c r="M29" s="110" t="n">
        <v>155</v>
      </c>
      <c r="N29" s="110" t="n">
        <v>321</v>
      </c>
      <c r="O29" s="110" t="n">
        <v>269</v>
      </c>
      <c r="P29" s="110" t="n">
        <v>2201</v>
      </c>
      <c r="Q29" s="112"/>
    </row>
    <row r="30" customFormat="false" ht="15" hidden="false" customHeight="true" outlineLevel="0" collapsed="false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2"/>
    </row>
    <row r="31" s="107" customFormat="true" ht="15" hidden="false" customHeight="true" outlineLevel="0" collapsed="false">
      <c r="A31" s="107" t="s">
        <v>137</v>
      </c>
      <c r="D31" s="112" t="n">
        <v>-505</v>
      </c>
      <c r="E31" s="112" t="n">
        <v>-2799</v>
      </c>
      <c r="F31" s="112" t="n">
        <v>8330</v>
      </c>
      <c r="G31" s="112" t="n">
        <v>4940</v>
      </c>
      <c r="H31" s="112" t="n">
        <v>-5738</v>
      </c>
      <c r="I31" s="112" t="n">
        <v>-335</v>
      </c>
      <c r="J31" s="112" t="n">
        <v>-1792</v>
      </c>
      <c r="K31" s="112" t="n">
        <v>-427</v>
      </c>
      <c r="L31" s="112" t="n">
        <v>-7236</v>
      </c>
      <c r="M31" s="112" t="n">
        <v>1530</v>
      </c>
      <c r="N31" s="112" t="n">
        <v>-9057</v>
      </c>
      <c r="O31" s="112" t="n">
        <v>-2877</v>
      </c>
      <c r="P31" s="112" t="n">
        <v>-15966</v>
      </c>
      <c r="Q31" s="112"/>
    </row>
    <row r="32" customFormat="false" ht="15" hidden="false" customHeight="true" outlineLevel="0" collapsed="false"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2"/>
    </row>
    <row r="33" s="107" customFormat="true" ht="15" hidden="false" customHeight="true" outlineLevel="0" collapsed="false">
      <c r="A33" s="107" t="s">
        <v>36</v>
      </c>
      <c r="D33" s="108" t="n">
        <v>18021</v>
      </c>
      <c r="E33" s="108" t="n">
        <v>27156</v>
      </c>
      <c r="F33" s="108" t="n">
        <v>20457</v>
      </c>
      <c r="G33" s="108" t="n">
        <v>-4019</v>
      </c>
      <c r="H33" s="108" t="n">
        <v>1266</v>
      </c>
      <c r="I33" s="108" t="n">
        <v>3896</v>
      </c>
      <c r="J33" s="108" t="n">
        <v>10783</v>
      </c>
      <c r="K33" s="108" t="n">
        <v>10133</v>
      </c>
      <c r="L33" s="108" t="n">
        <v>26072</v>
      </c>
      <c r="M33" s="108" t="n">
        <v>15180</v>
      </c>
      <c r="N33" s="108" t="n">
        <v>16008</v>
      </c>
      <c r="O33" s="108" t="n">
        <v>7685</v>
      </c>
      <c r="P33" s="108" t="n">
        <v>152638</v>
      </c>
      <c r="Q33" s="112"/>
      <c r="R33" s="161"/>
      <c r="S33" s="161"/>
    </row>
    <row r="34" customFormat="false" ht="15" hidden="false" customHeight="true" outlineLevel="0" collapsed="false">
      <c r="B34" s="100" t="s">
        <v>37</v>
      </c>
      <c r="D34" s="109" t="n">
        <v>574</v>
      </c>
      <c r="E34" s="109" t="n">
        <v>1277</v>
      </c>
      <c r="F34" s="109" t="n">
        <v>1199</v>
      </c>
      <c r="G34" s="109" t="n">
        <v>-43</v>
      </c>
      <c r="H34" s="109" t="n">
        <v>-5966</v>
      </c>
      <c r="I34" s="109" t="n">
        <v>1011</v>
      </c>
      <c r="J34" s="109" t="n">
        <v>-986</v>
      </c>
      <c r="K34" s="109" t="n">
        <v>163</v>
      </c>
      <c r="L34" s="109" t="n">
        <v>7708</v>
      </c>
      <c r="M34" s="109" t="n">
        <v>1701</v>
      </c>
      <c r="N34" s="109" t="n">
        <v>677</v>
      </c>
      <c r="O34" s="109" t="n">
        <v>7075</v>
      </c>
      <c r="P34" s="109" t="n">
        <v>14390</v>
      </c>
      <c r="Q34" s="112"/>
    </row>
    <row r="35" customFormat="false" ht="15" hidden="false" customHeight="true" outlineLevel="0" collapsed="false">
      <c r="C35" s="100" t="s">
        <v>38</v>
      </c>
      <c r="D35" s="110" t="n">
        <v>1266</v>
      </c>
      <c r="E35" s="110" t="n">
        <v>1769</v>
      </c>
      <c r="F35" s="110" t="n">
        <v>2141</v>
      </c>
      <c r="G35" s="110" t="n">
        <v>1214</v>
      </c>
      <c r="H35" s="110" t="n">
        <v>1294</v>
      </c>
      <c r="I35" s="110" t="n">
        <v>2337</v>
      </c>
      <c r="J35" s="110" t="n">
        <v>670</v>
      </c>
      <c r="K35" s="110" t="n">
        <v>777</v>
      </c>
      <c r="L35" s="110" t="n">
        <v>8765</v>
      </c>
      <c r="M35" s="110" t="n">
        <v>2998</v>
      </c>
      <c r="N35" s="110" t="n">
        <v>2383</v>
      </c>
      <c r="O35" s="110" t="n">
        <v>8529</v>
      </c>
      <c r="P35" s="110" t="n">
        <v>34143</v>
      </c>
      <c r="Q35" s="112"/>
    </row>
    <row r="36" customFormat="false" ht="15" hidden="false" customHeight="true" outlineLevel="0" collapsed="false">
      <c r="C36" s="100" t="s">
        <v>39</v>
      </c>
      <c r="D36" s="110" t="n">
        <v>692</v>
      </c>
      <c r="E36" s="110" t="n">
        <v>492</v>
      </c>
      <c r="F36" s="110" t="n">
        <v>942</v>
      </c>
      <c r="G36" s="110" t="n">
        <v>1257</v>
      </c>
      <c r="H36" s="110" t="n">
        <v>7260</v>
      </c>
      <c r="I36" s="110" t="n">
        <v>1326</v>
      </c>
      <c r="J36" s="110" t="n">
        <v>1656</v>
      </c>
      <c r="K36" s="110" t="n">
        <v>614</v>
      </c>
      <c r="L36" s="110" t="n">
        <v>1057</v>
      </c>
      <c r="M36" s="110" t="n">
        <v>1297</v>
      </c>
      <c r="N36" s="110" t="n">
        <v>1706</v>
      </c>
      <c r="O36" s="110" t="n">
        <v>1454</v>
      </c>
      <c r="P36" s="110" t="n">
        <v>19753</v>
      </c>
      <c r="Q36" s="112"/>
    </row>
    <row r="37" customFormat="false" ht="15" hidden="false" customHeight="true" outlineLevel="0" collapsed="false"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2"/>
    </row>
    <row r="38" customFormat="false" ht="15" hidden="false" customHeight="true" outlineLevel="0" collapsed="false">
      <c r="B38" s="100" t="s">
        <v>40</v>
      </c>
      <c r="D38" s="109" t="n">
        <v>17447</v>
      </c>
      <c r="E38" s="109" t="n">
        <v>25879</v>
      </c>
      <c r="F38" s="109" t="n">
        <v>19258</v>
      </c>
      <c r="G38" s="109" t="n">
        <v>-3976</v>
      </c>
      <c r="H38" s="109" t="n">
        <v>7232</v>
      </c>
      <c r="I38" s="109" t="n">
        <v>2885</v>
      </c>
      <c r="J38" s="109" t="n">
        <v>11769</v>
      </c>
      <c r="K38" s="109" t="n">
        <v>9970</v>
      </c>
      <c r="L38" s="109" t="n">
        <v>18364</v>
      </c>
      <c r="M38" s="109" t="n">
        <v>13479</v>
      </c>
      <c r="N38" s="109" t="n">
        <v>15331</v>
      </c>
      <c r="O38" s="109" t="n">
        <v>610</v>
      </c>
      <c r="P38" s="109" t="n">
        <v>138248</v>
      </c>
      <c r="Q38" s="112"/>
    </row>
    <row r="39" customFormat="false" ht="15" hidden="false" customHeight="true" outlineLevel="0" collapsed="false">
      <c r="C39" s="100" t="s">
        <v>41</v>
      </c>
      <c r="D39" s="110" t="n">
        <v>19565</v>
      </c>
      <c r="E39" s="110" t="n">
        <v>25890</v>
      </c>
      <c r="F39" s="110" t="n">
        <v>19467</v>
      </c>
      <c r="G39" s="110" t="n">
        <v>-626</v>
      </c>
      <c r="H39" s="110" t="n">
        <v>7296</v>
      </c>
      <c r="I39" s="110" t="n">
        <v>4058</v>
      </c>
      <c r="J39" s="110" t="n">
        <v>11982</v>
      </c>
      <c r="K39" s="110" t="n">
        <v>11084</v>
      </c>
      <c r="L39" s="110" t="n">
        <v>18906</v>
      </c>
      <c r="M39" s="110" t="n">
        <v>13579</v>
      </c>
      <c r="N39" s="110" t="n">
        <v>15455</v>
      </c>
      <c r="O39" s="110" t="n">
        <v>1490</v>
      </c>
      <c r="P39" s="110" t="n">
        <v>148146</v>
      </c>
      <c r="Q39" s="112"/>
    </row>
    <row r="40" customFormat="false" ht="15" hidden="false" customHeight="true" outlineLevel="0" collapsed="false">
      <c r="C40" s="100" t="s">
        <v>39</v>
      </c>
      <c r="D40" s="110" t="n">
        <v>2118</v>
      </c>
      <c r="E40" s="110" t="n">
        <v>11</v>
      </c>
      <c r="F40" s="110" t="n">
        <v>209</v>
      </c>
      <c r="G40" s="110" t="n">
        <v>3350</v>
      </c>
      <c r="H40" s="110" t="n">
        <v>64</v>
      </c>
      <c r="I40" s="110" t="n">
        <v>1173</v>
      </c>
      <c r="J40" s="110" t="n">
        <v>213</v>
      </c>
      <c r="K40" s="110" t="n">
        <v>1114</v>
      </c>
      <c r="L40" s="110" t="n">
        <v>542</v>
      </c>
      <c r="M40" s="110" t="n">
        <v>100</v>
      </c>
      <c r="N40" s="110" t="n">
        <v>124</v>
      </c>
      <c r="O40" s="110" t="n">
        <v>880</v>
      </c>
      <c r="P40" s="110" t="n">
        <v>9898</v>
      </c>
      <c r="Q40" s="112"/>
    </row>
    <row r="41" customFormat="false" ht="15" hidden="false" customHeight="true" outlineLevel="0" collapsed="false"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2"/>
    </row>
    <row r="42" s="107" customFormat="true" ht="15" hidden="false" customHeight="true" outlineLevel="0" collapsed="false">
      <c r="A42" s="107" t="s">
        <v>163</v>
      </c>
      <c r="D42" s="108" t="n">
        <v>12768</v>
      </c>
      <c r="E42" s="108" t="n">
        <v>24013</v>
      </c>
      <c r="F42" s="108" t="n">
        <v>30127</v>
      </c>
      <c r="G42" s="108" t="n">
        <v>764</v>
      </c>
      <c r="H42" s="108" t="n">
        <v>-6222</v>
      </c>
      <c r="I42" s="108" t="n">
        <v>8054</v>
      </c>
      <c r="J42" s="108" t="n">
        <v>4745</v>
      </c>
      <c r="K42" s="108" t="n">
        <v>4356</v>
      </c>
      <c r="L42" s="108" t="n">
        <v>13393</v>
      </c>
      <c r="M42" s="108" t="n">
        <v>6814</v>
      </c>
      <c r="N42" s="108" t="n">
        <v>-4156</v>
      </c>
      <c r="O42" s="108" t="n">
        <v>-3997</v>
      </c>
      <c r="P42" s="108" t="n">
        <v>90659</v>
      </c>
      <c r="Q42" s="112"/>
    </row>
    <row r="43" customFormat="false" ht="15" hidden="false" customHeight="false" outlineLevel="0" collapsed="false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</row>
    <row r="44" customFormat="false" ht="15" hidden="false" customHeight="false" outlineLevel="0" collapsed="false"/>
    <row r="46" customFormat="false" ht="14.25" hidden="false" customHeight="false" outlineLevel="0" collapsed="false">
      <c r="A46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0" sqref="A1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58"/>
    <col collapsed="false" customWidth="true" hidden="false" outlineLevel="0" max="2" min="2" style="100" width="1.29"/>
    <col collapsed="false" customWidth="true" hidden="false" outlineLevel="0" max="3" min="3" style="100" width="24"/>
    <col collapsed="false" customWidth="true" hidden="false" outlineLevel="0" max="15" min="4" style="100" width="8"/>
    <col collapsed="false" customWidth="false" hidden="false" outlineLevel="0" max="1024" min="16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164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2.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.75" hidden="false" customHeight="true" outlineLevel="0" collapsed="false"/>
    <row r="7" s="107" customFormat="true" ht="15.75" hidden="false" customHeight="true" outlineLevel="0" collapsed="false">
      <c r="A7" s="107" t="s">
        <v>12</v>
      </c>
      <c r="D7" s="108" t="n">
        <v>23105</v>
      </c>
      <c r="E7" s="108" t="n">
        <v>12947</v>
      </c>
      <c r="F7" s="108" t="n">
        <v>12394</v>
      </c>
      <c r="G7" s="108" t="n">
        <v>26293</v>
      </c>
      <c r="H7" s="108" t="n">
        <v>16943</v>
      </c>
      <c r="I7" s="108" t="n">
        <v>12599</v>
      </c>
      <c r="J7" s="108" t="n">
        <v>23537</v>
      </c>
      <c r="K7" s="108" t="n">
        <v>16140</v>
      </c>
      <c r="L7" s="108" t="n">
        <v>13929</v>
      </c>
      <c r="M7" s="108" t="n">
        <v>20536</v>
      </c>
      <c r="N7" s="108" t="n">
        <v>17299</v>
      </c>
      <c r="O7" s="108" t="n">
        <v>25065</v>
      </c>
      <c r="P7" s="108" t="n">
        <v>220787</v>
      </c>
    </row>
    <row r="8" customFormat="false" ht="15.75" hidden="false" customHeight="true" outlineLevel="0" collapsed="false">
      <c r="B8" s="100" t="s">
        <v>13</v>
      </c>
      <c r="D8" s="109" t="n">
        <v>17580</v>
      </c>
      <c r="E8" s="109" t="n">
        <v>11800</v>
      </c>
      <c r="F8" s="109" t="n">
        <v>11127</v>
      </c>
      <c r="G8" s="109" t="n">
        <v>22874</v>
      </c>
      <c r="H8" s="109" t="n">
        <v>14685</v>
      </c>
      <c r="I8" s="109" t="n">
        <v>10730</v>
      </c>
      <c r="J8" s="109" t="n">
        <v>19547</v>
      </c>
      <c r="K8" s="109" t="n">
        <v>14599</v>
      </c>
      <c r="L8" s="109" t="n">
        <v>11524</v>
      </c>
      <c r="M8" s="109" t="n">
        <v>18407</v>
      </c>
      <c r="N8" s="109" t="n">
        <v>14607</v>
      </c>
      <c r="O8" s="109" t="n">
        <v>14795</v>
      </c>
      <c r="P8" s="109" t="n">
        <v>182275</v>
      </c>
    </row>
    <row r="9" customFormat="false" ht="15.75" hidden="false" customHeight="true" outlineLevel="0" collapsed="false">
      <c r="C9" s="100" t="s">
        <v>14</v>
      </c>
      <c r="D9" s="110" t="n">
        <v>12816</v>
      </c>
      <c r="E9" s="110" t="n">
        <v>5988</v>
      </c>
      <c r="F9" s="110" t="n">
        <v>5924</v>
      </c>
      <c r="G9" s="110" t="n">
        <v>17489</v>
      </c>
      <c r="H9" s="110" t="n">
        <v>9806</v>
      </c>
      <c r="I9" s="110" t="n">
        <v>6225</v>
      </c>
      <c r="J9" s="110" t="n">
        <v>12702</v>
      </c>
      <c r="K9" s="110" t="n">
        <v>9227</v>
      </c>
      <c r="L9" s="110" t="n">
        <v>5919</v>
      </c>
      <c r="M9" s="110" t="n">
        <v>12564</v>
      </c>
      <c r="N9" s="110" t="n">
        <v>9238</v>
      </c>
      <c r="O9" s="110" t="n">
        <v>8358</v>
      </c>
      <c r="P9" s="110" t="n">
        <v>116256</v>
      </c>
    </row>
    <row r="10" customFormat="false" ht="15.75" hidden="false" customHeight="true" outlineLevel="0" collapsed="false">
      <c r="C10" s="100" t="s">
        <v>18</v>
      </c>
      <c r="D10" s="110" t="n">
        <v>4642</v>
      </c>
      <c r="E10" s="110" t="n">
        <v>5673</v>
      </c>
      <c r="F10" s="110" t="n">
        <v>5072</v>
      </c>
      <c r="G10" s="110" t="n">
        <v>5213</v>
      </c>
      <c r="H10" s="110" t="n">
        <v>4703</v>
      </c>
      <c r="I10" s="110" t="n">
        <v>4376</v>
      </c>
      <c r="J10" s="110" t="n">
        <v>6680</v>
      </c>
      <c r="K10" s="110" t="n">
        <v>5240</v>
      </c>
      <c r="L10" s="110" t="n">
        <v>5463</v>
      </c>
      <c r="M10" s="110" t="n">
        <v>5678</v>
      </c>
      <c r="N10" s="110" t="n">
        <v>5282</v>
      </c>
      <c r="O10" s="110" t="n">
        <v>6369</v>
      </c>
      <c r="P10" s="110" t="n">
        <v>64391</v>
      </c>
    </row>
    <row r="11" customFormat="false" ht="15.75" hidden="false" customHeight="true" outlineLevel="0" collapsed="false">
      <c r="C11" s="100" t="s">
        <v>87</v>
      </c>
      <c r="D11" s="110" t="n">
        <v>122</v>
      </c>
      <c r="E11" s="110" t="n">
        <v>139</v>
      </c>
      <c r="F11" s="110" t="n">
        <v>131</v>
      </c>
      <c r="G11" s="110" t="n">
        <v>172</v>
      </c>
      <c r="H11" s="110" t="n">
        <v>176</v>
      </c>
      <c r="I11" s="110" t="n">
        <v>129</v>
      </c>
      <c r="J11" s="110" t="n">
        <v>165</v>
      </c>
      <c r="K11" s="110" t="n">
        <v>132</v>
      </c>
      <c r="L11" s="110" t="n">
        <v>142</v>
      </c>
      <c r="M11" s="110" t="n">
        <v>165</v>
      </c>
      <c r="N11" s="110" t="n">
        <v>87</v>
      </c>
      <c r="O11" s="110" t="n">
        <v>68</v>
      </c>
      <c r="P11" s="110" t="n">
        <v>1628</v>
      </c>
    </row>
    <row r="12" customFormat="false" ht="15.7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customFormat="false" ht="15.75" hidden="false" customHeight="true" outlineLevel="0" collapsed="false">
      <c r="B13" s="100" t="s">
        <v>20</v>
      </c>
      <c r="D13" s="109" t="n">
        <v>5480</v>
      </c>
      <c r="E13" s="109" t="n">
        <v>1109</v>
      </c>
      <c r="F13" s="109" t="n">
        <v>1236</v>
      </c>
      <c r="G13" s="109" t="n">
        <v>3374</v>
      </c>
      <c r="H13" s="109" t="n">
        <v>1540</v>
      </c>
      <c r="I13" s="109" t="n">
        <v>1546</v>
      </c>
      <c r="J13" s="109" t="n">
        <v>3951</v>
      </c>
      <c r="K13" s="109" t="n">
        <v>1476</v>
      </c>
      <c r="L13" s="109" t="n">
        <v>2389</v>
      </c>
      <c r="M13" s="109" t="n">
        <v>2059</v>
      </c>
      <c r="N13" s="109" t="n">
        <v>2560</v>
      </c>
      <c r="O13" s="109" t="n">
        <v>8720</v>
      </c>
      <c r="P13" s="109" t="n">
        <v>35440</v>
      </c>
    </row>
    <row r="14" customFormat="false" ht="15.75" hidden="false" customHeight="true" outlineLevel="0" collapsed="false">
      <c r="C14" s="100" t="s">
        <v>21</v>
      </c>
      <c r="D14" s="110" t="n">
        <v>4269</v>
      </c>
      <c r="E14" s="110" t="n">
        <v>614</v>
      </c>
      <c r="F14" s="110" t="n">
        <v>540</v>
      </c>
      <c r="G14" s="110" t="n">
        <v>2456</v>
      </c>
      <c r="H14" s="110" t="n">
        <v>663</v>
      </c>
      <c r="I14" s="110" t="n">
        <v>532</v>
      </c>
      <c r="J14" s="110" t="n">
        <v>2951</v>
      </c>
      <c r="K14" s="110" t="n">
        <v>904</v>
      </c>
      <c r="L14" s="110" t="n">
        <v>1216</v>
      </c>
      <c r="M14" s="110" t="n">
        <v>1079</v>
      </c>
      <c r="N14" s="110" t="n">
        <v>1081</v>
      </c>
      <c r="O14" s="110" t="n">
        <v>5741</v>
      </c>
      <c r="P14" s="110" t="n">
        <v>22046</v>
      </c>
    </row>
    <row r="15" customFormat="false" ht="15.75" hidden="false" customHeight="true" outlineLevel="0" collapsed="false">
      <c r="C15" s="100" t="s">
        <v>150</v>
      </c>
      <c r="D15" s="110" t="n">
        <v>717</v>
      </c>
      <c r="E15" s="110" t="n">
        <v>395</v>
      </c>
      <c r="F15" s="110" t="n">
        <v>592</v>
      </c>
      <c r="G15" s="110" t="n">
        <v>759</v>
      </c>
      <c r="H15" s="110" t="n">
        <v>589</v>
      </c>
      <c r="I15" s="110" t="n">
        <v>690</v>
      </c>
      <c r="J15" s="110" t="n">
        <v>833</v>
      </c>
      <c r="K15" s="110" t="n">
        <v>516</v>
      </c>
      <c r="L15" s="110" t="n">
        <v>507</v>
      </c>
      <c r="M15" s="110" t="n">
        <v>379</v>
      </c>
      <c r="N15" s="110" t="n">
        <v>868</v>
      </c>
      <c r="O15" s="110" t="n">
        <v>369</v>
      </c>
      <c r="P15" s="110" t="n">
        <v>7214</v>
      </c>
    </row>
    <row r="16" customFormat="false" ht="15.75" hidden="false" customHeight="true" outlineLevel="0" collapsed="false">
      <c r="C16" s="100" t="s">
        <v>160</v>
      </c>
      <c r="D16" s="110" t="n">
        <v>0</v>
      </c>
      <c r="E16" s="110" t="n">
        <v>0</v>
      </c>
      <c r="F16" s="110" t="n">
        <v>0</v>
      </c>
      <c r="G16" s="110" t="n">
        <v>0</v>
      </c>
      <c r="H16" s="110" t="n">
        <v>143</v>
      </c>
      <c r="I16" s="110" t="n">
        <v>0</v>
      </c>
      <c r="J16" s="110" t="n">
        <v>0</v>
      </c>
      <c r="K16" s="110" t="n">
        <v>0</v>
      </c>
      <c r="L16" s="110" t="n">
        <v>309</v>
      </c>
      <c r="M16" s="110" t="n">
        <v>0</v>
      </c>
      <c r="N16" s="110" t="n">
        <v>240</v>
      </c>
      <c r="O16" s="110" t="n">
        <v>967</v>
      </c>
      <c r="P16" s="110" t="n">
        <v>1659</v>
      </c>
    </row>
    <row r="17" customFormat="false" ht="15.75" hidden="false" customHeight="true" outlineLevel="0" collapsed="false">
      <c r="C17" s="100" t="s">
        <v>23</v>
      </c>
      <c r="D17" s="110" t="n">
        <v>461</v>
      </c>
      <c r="E17" s="110" t="n">
        <v>98</v>
      </c>
      <c r="F17" s="110" t="n">
        <v>82</v>
      </c>
      <c r="G17" s="110" t="n">
        <v>157</v>
      </c>
      <c r="H17" s="110" t="n">
        <v>42</v>
      </c>
      <c r="I17" s="110" t="n">
        <v>322</v>
      </c>
      <c r="J17" s="110" t="n">
        <v>156</v>
      </c>
      <c r="K17" s="110" t="n">
        <v>52</v>
      </c>
      <c r="L17" s="110" t="n">
        <v>138</v>
      </c>
      <c r="M17" s="110" t="n">
        <v>600</v>
      </c>
      <c r="N17" s="110" t="n">
        <v>371</v>
      </c>
      <c r="O17" s="110" t="n">
        <v>1643</v>
      </c>
      <c r="P17" s="110" t="n">
        <v>4122</v>
      </c>
    </row>
    <row r="18" customFormat="false" ht="15.75" hidden="false" customHeight="true" outlineLevel="0" collapsed="false">
      <c r="C18" s="100" t="s">
        <v>105</v>
      </c>
      <c r="D18" s="110" t="n">
        <v>33</v>
      </c>
      <c r="E18" s="110" t="n">
        <v>2</v>
      </c>
      <c r="F18" s="110" t="n">
        <v>22</v>
      </c>
      <c r="G18" s="110" t="n">
        <v>2</v>
      </c>
      <c r="H18" s="110" t="n">
        <v>103</v>
      </c>
      <c r="I18" s="110" t="n">
        <v>2</v>
      </c>
      <c r="J18" s="110" t="n">
        <v>11</v>
      </c>
      <c r="K18" s="110" t="n">
        <v>4</v>
      </c>
      <c r="L18" s="110" t="n">
        <v>219</v>
      </c>
      <c r="M18" s="110" t="n">
        <v>1</v>
      </c>
      <c r="N18" s="110" t="n">
        <v>0</v>
      </c>
      <c r="O18" s="110" t="n">
        <v>0</v>
      </c>
      <c r="P18" s="110" t="n">
        <v>399</v>
      </c>
    </row>
    <row r="19" customFormat="false" ht="15.75" hidden="false" customHeight="true" outlineLevel="0" collapsed="false"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</row>
    <row r="20" customFormat="false" ht="15.75" hidden="false" customHeight="true" outlineLevel="0" collapsed="false">
      <c r="B20" s="100" t="s">
        <v>26</v>
      </c>
      <c r="D20" s="110" t="n">
        <v>45</v>
      </c>
      <c r="E20" s="110" t="n">
        <v>38</v>
      </c>
      <c r="F20" s="110" t="n">
        <v>31</v>
      </c>
      <c r="G20" s="110" t="n">
        <v>45</v>
      </c>
      <c r="H20" s="110" t="n">
        <v>718</v>
      </c>
      <c r="I20" s="110" t="n">
        <v>323</v>
      </c>
      <c r="J20" s="110" t="n">
        <v>39</v>
      </c>
      <c r="K20" s="110" t="n">
        <v>65</v>
      </c>
      <c r="L20" s="110" t="n">
        <v>16</v>
      </c>
      <c r="M20" s="110" t="n">
        <v>70</v>
      </c>
      <c r="N20" s="110" t="n">
        <v>132</v>
      </c>
      <c r="O20" s="110" t="n">
        <v>1550</v>
      </c>
      <c r="P20" s="110" t="n">
        <v>3072</v>
      </c>
    </row>
    <row r="21" customFormat="false" ht="15.75" hidden="false" customHeight="true" outlineLevel="0" collapsed="false"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</row>
    <row r="22" s="107" customFormat="true" ht="15.75" hidden="false" customHeight="true" outlineLevel="0" collapsed="false">
      <c r="A22" s="107" t="s">
        <v>27</v>
      </c>
      <c r="D22" s="108" t="n">
        <v>18179</v>
      </c>
      <c r="E22" s="108" t="n">
        <v>13780</v>
      </c>
      <c r="F22" s="108" t="n">
        <v>13959</v>
      </c>
      <c r="G22" s="108" t="n">
        <v>24393</v>
      </c>
      <c r="H22" s="108" t="n">
        <v>21588</v>
      </c>
      <c r="I22" s="108" t="n">
        <v>16883</v>
      </c>
      <c r="J22" s="108" t="n">
        <v>26337</v>
      </c>
      <c r="K22" s="108" t="n">
        <v>17512</v>
      </c>
      <c r="L22" s="108" t="n">
        <v>17565</v>
      </c>
      <c r="M22" s="108" t="n">
        <v>25316</v>
      </c>
      <c r="N22" s="108" t="n">
        <v>24778</v>
      </c>
      <c r="O22" s="108" t="n">
        <v>26846</v>
      </c>
      <c r="P22" s="108" t="n">
        <v>247136</v>
      </c>
      <c r="Q22" s="110"/>
    </row>
    <row r="23" customFormat="false" ht="15.75" hidden="false" customHeight="true" outlineLevel="0" collapsed="false">
      <c r="B23" s="100" t="s">
        <v>15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10"/>
    </row>
    <row r="24" customFormat="false" ht="15.75" hidden="false" customHeight="true" outlineLevel="0" collapsed="false">
      <c r="C24" s="100" t="s">
        <v>29</v>
      </c>
      <c r="D24" s="110" t="n">
        <v>4640</v>
      </c>
      <c r="E24" s="110" t="n">
        <v>4655</v>
      </c>
      <c r="F24" s="110" t="n">
        <v>4062</v>
      </c>
      <c r="G24" s="110" t="n">
        <v>11686</v>
      </c>
      <c r="H24" s="110" t="n">
        <v>6844</v>
      </c>
      <c r="I24" s="110" t="n">
        <v>5596</v>
      </c>
      <c r="J24" s="110" t="n">
        <v>8243</v>
      </c>
      <c r="K24" s="110" t="n">
        <v>4085</v>
      </c>
      <c r="L24" s="110" t="n">
        <v>3566</v>
      </c>
      <c r="M24" s="110" t="n">
        <v>9185</v>
      </c>
      <c r="N24" s="110" t="n">
        <v>5465</v>
      </c>
      <c r="O24" s="110" t="n">
        <v>6895</v>
      </c>
      <c r="P24" s="110" t="n">
        <v>74922</v>
      </c>
      <c r="Q24" s="110"/>
    </row>
    <row r="25" customFormat="false" ht="15.75" hidden="false" customHeight="true" outlineLevel="0" collapsed="false">
      <c r="C25" s="100" t="s">
        <v>77</v>
      </c>
      <c r="D25" s="110" t="n">
        <v>164</v>
      </c>
      <c r="E25" s="110" t="n">
        <v>41</v>
      </c>
      <c r="F25" s="110" t="n">
        <v>164</v>
      </c>
      <c r="G25" s="110" t="n">
        <v>2579</v>
      </c>
      <c r="H25" s="110" t="n">
        <v>282</v>
      </c>
      <c r="I25" s="110" t="n">
        <v>1205</v>
      </c>
      <c r="J25" s="110" t="n">
        <v>145</v>
      </c>
      <c r="K25" s="110" t="n">
        <v>102</v>
      </c>
      <c r="L25" s="110" t="n">
        <v>76</v>
      </c>
      <c r="M25" s="110" t="n">
        <v>972</v>
      </c>
      <c r="N25" s="110" t="n">
        <v>1055</v>
      </c>
      <c r="O25" s="110" t="n">
        <v>1181</v>
      </c>
      <c r="P25" s="110" t="n">
        <v>7966</v>
      </c>
      <c r="Q25" s="110"/>
    </row>
    <row r="26" customFormat="false" ht="15.75" hidden="false" customHeight="true" outlineLevel="0" collapsed="false">
      <c r="C26" s="100" t="s">
        <v>28</v>
      </c>
      <c r="D26" s="110" t="n">
        <v>592</v>
      </c>
      <c r="E26" s="110" t="n">
        <v>592</v>
      </c>
      <c r="F26" s="110" t="n">
        <v>592</v>
      </c>
      <c r="G26" s="110" t="n">
        <v>592</v>
      </c>
      <c r="H26" s="110" t="n">
        <v>592</v>
      </c>
      <c r="I26" s="110" t="n">
        <v>592</v>
      </c>
      <c r="J26" s="110" t="n">
        <v>592</v>
      </c>
      <c r="K26" s="110" t="n">
        <v>722</v>
      </c>
      <c r="L26" s="110" t="n">
        <v>669</v>
      </c>
      <c r="M26" s="110" t="n">
        <v>1317</v>
      </c>
      <c r="N26" s="110" t="n">
        <v>1291</v>
      </c>
      <c r="O26" s="110" t="n">
        <v>1638</v>
      </c>
      <c r="P26" s="110" t="n">
        <v>9781</v>
      </c>
      <c r="Q26" s="110"/>
    </row>
    <row r="27" customFormat="false" ht="15.75" hidden="false" customHeight="true" outlineLevel="0" collapsed="false">
      <c r="C27" s="100" t="s">
        <v>30</v>
      </c>
      <c r="D27" s="110" t="n">
        <v>0</v>
      </c>
      <c r="E27" s="110" t="n">
        <v>0</v>
      </c>
      <c r="F27" s="110" t="n">
        <v>0</v>
      </c>
      <c r="G27" s="110" t="n">
        <v>127</v>
      </c>
      <c r="H27" s="110" t="n">
        <v>109</v>
      </c>
      <c r="I27" s="110" t="n">
        <v>2</v>
      </c>
      <c r="J27" s="110" t="n">
        <v>283</v>
      </c>
      <c r="K27" s="110" t="n">
        <v>639</v>
      </c>
      <c r="L27" s="110" t="n">
        <v>111</v>
      </c>
      <c r="M27" s="110" t="n">
        <v>14</v>
      </c>
      <c r="N27" s="110" t="n">
        <v>163</v>
      </c>
      <c r="O27" s="110" t="n">
        <v>541</v>
      </c>
      <c r="P27" s="110" t="n">
        <v>1989</v>
      </c>
      <c r="Q27" s="110"/>
    </row>
    <row r="28" customFormat="false" ht="15.75" hidden="false" customHeight="true" outlineLevel="0" collapsed="false">
      <c r="C28" s="100" t="s">
        <v>32</v>
      </c>
      <c r="D28" s="110" t="n">
        <v>-4</v>
      </c>
      <c r="E28" s="110" t="n">
        <v>-23</v>
      </c>
      <c r="F28" s="110" t="n">
        <v>111</v>
      </c>
      <c r="G28" s="110" t="n">
        <v>607</v>
      </c>
      <c r="H28" s="110" t="n">
        <v>37</v>
      </c>
      <c r="I28" s="110" t="n">
        <v>115</v>
      </c>
      <c r="J28" s="110" t="n">
        <v>62</v>
      </c>
      <c r="K28" s="110" t="n">
        <v>59</v>
      </c>
      <c r="L28" s="110" t="n">
        <v>169</v>
      </c>
      <c r="M28" s="110" t="n">
        <v>361</v>
      </c>
      <c r="N28" s="110" t="n">
        <v>2753</v>
      </c>
      <c r="O28" s="110" t="n">
        <v>149</v>
      </c>
      <c r="P28" s="110" t="n">
        <v>4396</v>
      </c>
      <c r="Q28" s="110"/>
    </row>
    <row r="29" customFormat="false" ht="15.75" hidden="false" customHeight="true" outlineLevel="0" collapsed="false">
      <c r="C29" s="100" t="s">
        <v>78</v>
      </c>
      <c r="D29" s="110" t="n">
        <v>125</v>
      </c>
      <c r="E29" s="110" t="n">
        <v>192</v>
      </c>
      <c r="F29" s="110" t="n">
        <v>466</v>
      </c>
      <c r="G29" s="110" t="n">
        <v>-1990</v>
      </c>
      <c r="H29" s="110" t="n">
        <v>80</v>
      </c>
      <c r="I29" s="110" t="n">
        <v>-932</v>
      </c>
      <c r="J29" s="110" t="n">
        <v>2276</v>
      </c>
      <c r="K29" s="110" t="n">
        <v>655</v>
      </c>
      <c r="L29" s="110" t="n">
        <v>810</v>
      </c>
      <c r="M29" s="110" t="n">
        <v>1226</v>
      </c>
      <c r="N29" s="110" t="n">
        <v>-1371</v>
      </c>
      <c r="O29" s="110" t="n">
        <v>31</v>
      </c>
      <c r="P29" s="110" t="n">
        <v>1568</v>
      </c>
      <c r="Q29" s="110"/>
    </row>
    <row r="30" customFormat="false" ht="15.75" hidden="false" customHeight="true" outlineLevel="0" collapsed="false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="107" customFormat="true" ht="15.75" hidden="false" customHeight="true" outlineLevel="0" collapsed="false">
      <c r="A31" s="107" t="s">
        <v>137</v>
      </c>
      <c r="D31" s="112" t="n">
        <v>4926</v>
      </c>
      <c r="E31" s="112" t="n">
        <v>-833</v>
      </c>
      <c r="F31" s="112" t="n">
        <v>-1565</v>
      </c>
      <c r="G31" s="112" t="n">
        <v>1900</v>
      </c>
      <c r="H31" s="112" t="n">
        <v>-4645</v>
      </c>
      <c r="I31" s="112" t="n">
        <v>-4284</v>
      </c>
      <c r="J31" s="112" t="n">
        <v>-2800</v>
      </c>
      <c r="K31" s="112" t="n">
        <v>-1372</v>
      </c>
      <c r="L31" s="112" t="n">
        <v>-3636</v>
      </c>
      <c r="M31" s="112" t="n">
        <v>-4780</v>
      </c>
      <c r="N31" s="112" t="n">
        <v>-7479</v>
      </c>
      <c r="O31" s="112" t="n">
        <v>-1781</v>
      </c>
      <c r="P31" s="112" t="n">
        <v>-26349</v>
      </c>
      <c r="Q31" s="110"/>
    </row>
    <row r="32" customFormat="false" ht="15.75" hidden="false" customHeight="true" outlineLevel="0" collapsed="false"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</row>
    <row r="33" s="107" customFormat="true" ht="15.75" hidden="false" customHeight="true" outlineLevel="0" collapsed="false">
      <c r="A33" s="107" t="s">
        <v>36</v>
      </c>
      <c r="D33" s="108" t="n">
        <v>-5284</v>
      </c>
      <c r="E33" s="108" t="n">
        <v>10114</v>
      </c>
      <c r="F33" s="108" t="n">
        <v>2468</v>
      </c>
      <c r="G33" s="108" t="n">
        <v>2865</v>
      </c>
      <c r="H33" s="108" t="n">
        <v>9355</v>
      </c>
      <c r="I33" s="108" t="n">
        <v>6999</v>
      </c>
      <c r="J33" s="108" t="n">
        <v>9255</v>
      </c>
      <c r="K33" s="108" t="n">
        <v>-8598</v>
      </c>
      <c r="L33" s="108" t="n">
        <v>110</v>
      </c>
      <c r="M33" s="108" t="n">
        <v>-2596</v>
      </c>
      <c r="N33" s="108" t="n">
        <v>9286</v>
      </c>
      <c r="O33" s="108" t="n">
        <v>7274</v>
      </c>
      <c r="P33" s="108" t="n">
        <v>41248</v>
      </c>
      <c r="Q33" s="110"/>
      <c r="R33" s="161"/>
      <c r="S33" s="161"/>
    </row>
    <row r="34" customFormat="false" ht="15.75" hidden="false" customHeight="true" outlineLevel="0" collapsed="false">
      <c r="B34" s="100" t="s">
        <v>37</v>
      </c>
      <c r="D34" s="109" t="n">
        <v>-1282</v>
      </c>
      <c r="E34" s="109" t="n">
        <v>5633</v>
      </c>
      <c r="F34" s="109" t="n">
        <v>-829</v>
      </c>
      <c r="G34" s="109" t="n">
        <v>2184</v>
      </c>
      <c r="H34" s="109" t="n">
        <v>-585</v>
      </c>
      <c r="I34" s="109" t="n">
        <v>-1672</v>
      </c>
      <c r="J34" s="109" t="n">
        <v>-645</v>
      </c>
      <c r="K34" s="109" t="n">
        <v>289</v>
      </c>
      <c r="L34" s="109" t="n">
        <v>1137</v>
      </c>
      <c r="M34" s="109" t="n">
        <v>191</v>
      </c>
      <c r="N34" s="109" t="n">
        <v>2965</v>
      </c>
      <c r="O34" s="109" t="n">
        <v>-506</v>
      </c>
      <c r="P34" s="109" t="n">
        <v>6880</v>
      </c>
      <c r="Q34" s="110"/>
    </row>
    <row r="35" customFormat="false" ht="15.75" hidden="false" customHeight="true" outlineLevel="0" collapsed="false">
      <c r="C35" s="100" t="s">
        <v>38</v>
      </c>
      <c r="D35" s="110" t="n">
        <v>315</v>
      </c>
      <c r="E35" s="110" t="n">
        <v>6166</v>
      </c>
      <c r="F35" s="110" t="n">
        <v>533</v>
      </c>
      <c r="G35" s="110" t="n">
        <v>3286</v>
      </c>
      <c r="H35" s="110" t="n">
        <v>450</v>
      </c>
      <c r="I35" s="110" t="n">
        <v>878</v>
      </c>
      <c r="J35" s="110" t="n">
        <v>761</v>
      </c>
      <c r="K35" s="110" t="n">
        <v>829</v>
      </c>
      <c r="L35" s="110" t="n">
        <v>1787</v>
      </c>
      <c r="M35" s="110" t="n">
        <v>1557</v>
      </c>
      <c r="N35" s="110" t="n">
        <v>3999</v>
      </c>
      <c r="O35" s="110" t="n">
        <v>2525</v>
      </c>
      <c r="P35" s="110" t="n">
        <v>23086</v>
      </c>
      <c r="Q35" s="110"/>
    </row>
    <row r="36" customFormat="false" ht="15.75" hidden="false" customHeight="true" outlineLevel="0" collapsed="false">
      <c r="C36" s="100" t="s">
        <v>39</v>
      </c>
      <c r="D36" s="110" t="n">
        <v>1597</v>
      </c>
      <c r="E36" s="110" t="n">
        <v>533</v>
      </c>
      <c r="F36" s="110" t="n">
        <v>1362</v>
      </c>
      <c r="G36" s="110" t="n">
        <v>1102</v>
      </c>
      <c r="H36" s="110" t="n">
        <v>1035</v>
      </c>
      <c r="I36" s="110" t="n">
        <v>2550</v>
      </c>
      <c r="J36" s="110" t="n">
        <v>1406</v>
      </c>
      <c r="K36" s="110" t="n">
        <v>540</v>
      </c>
      <c r="L36" s="110" t="n">
        <v>650</v>
      </c>
      <c r="M36" s="110" t="n">
        <v>1366</v>
      </c>
      <c r="N36" s="110" t="n">
        <v>1034</v>
      </c>
      <c r="O36" s="110" t="n">
        <v>3031</v>
      </c>
      <c r="P36" s="110" t="n">
        <v>16206</v>
      </c>
      <c r="Q36" s="110"/>
    </row>
    <row r="37" customFormat="false" ht="15.75" hidden="false" customHeight="true" outlineLevel="0" collapsed="false"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</row>
    <row r="38" customFormat="false" ht="15.75" hidden="false" customHeight="true" outlineLevel="0" collapsed="false">
      <c r="B38" s="100" t="s">
        <v>40</v>
      </c>
      <c r="D38" s="109" t="n">
        <v>-4002</v>
      </c>
      <c r="E38" s="109" t="n">
        <v>4481</v>
      </c>
      <c r="F38" s="109" t="n">
        <v>3297</v>
      </c>
      <c r="G38" s="109" t="n">
        <v>681</v>
      </c>
      <c r="H38" s="109" t="n">
        <v>9940</v>
      </c>
      <c r="I38" s="109" t="n">
        <v>8671</v>
      </c>
      <c r="J38" s="109" t="n">
        <v>9900</v>
      </c>
      <c r="K38" s="109" t="n">
        <v>-8887</v>
      </c>
      <c r="L38" s="109" t="n">
        <v>-1027</v>
      </c>
      <c r="M38" s="109" t="n">
        <v>-2787</v>
      </c>
      <c r="N38" s="109" t="n">
        <v>6321</v>
      </c>
      <c r="O38" s="109" t="n">
        <v>7780</v>
      </c>
      <c r="P38" s="109" t="n">
        <v>34368</v>
      </c>
      <c r="Q38" s="110"/>
    </row>
    <row r="39" customFormat="false" ht="15.75" hidden="false" customHeight="true" outlineLevel="0" collapsed="false">
      <c r="C39" s="100" t="s">
        <v>41</v>
      </c>
      <c r="D39" s="110" t="n">
        <v>-3756</v>
      </c>
      <c r="E39" s="110" t="n">
        <v>10390</v>
      </c>
      <c r="F39" s="110" t="n">
        <v>4191</v>
      </c>
      <c r="G39" s="110" t="n">
        <v>14740</v>
      </c>
      <c r="H39" s="110" t="n">
        <v>10043</v>
      </c>
      <c r="I39" s="110" t="n">
        <v>9249</v>
      </c>
      <c r="J39" s="110" t="n">
        <v>10516</v>
      </c>
      <c r="K39" s="110" t="n">
        <v>-3772</v>
      </c>
      <c r="L39" s="110" t="n">
        <v>1243</v>
      </c>
      <c r="M39" s="110" t="n">
        <v>-2467</v>
      </c>
      <c r="N39" s="110" t="n">
        <v>6353</v>
      </c>
      <c r="O39" s="110" t="n">
        <v>7992</v>
      </c>
      <c r="P39" s="110" t="n">
        <v>64722</v>
      </c>
      <c r="Q39" s="110"/>
    </row>
    <row r="40" customFormat="false" ht="15.75" hidden="false" customHeight="true" outlineLevel="0" collapsed="false">
      <c r="C40" s="100" t="s">
        <v>39</v>
      </c>
      <c r="D40" s="110" t="n">
        <v>246</v>
      </c>
      <c r="E40" s="110" t="n">
        <v>5909</v>
      </c>
      <c r="F40" s="110" t="n">
        <v>894</v>
      </c>
      <c r="G40" s="110" t="n">
        <v>14059</v>
      </c>
      <c r="H40" s="110" t="n">
        <v>103</v>
      </c>
      <c r="I40" s="110" t="n">
        <v>578</v>
      </c>
      <c r="J40" s="110" t="n">
        <v>616</v>
      </c>
      <c r="K40" s="110" t="n">
        <v>5115</v>
      </c>
      <c r="L40" s="110" t="n">
        <v>2270</v>
      </c>
      <c r="M40" s="110" t="n">
        <v>320</v>
      </c>
      <c r="N40" s="110" t="n">
        <v>32</v>
      </c>
      <c r="O40" s="110" t="n">
        <v>212</v>
      </c>
      <c r="P40" s="110" t="n">
        <v>30354</v>
      </c>
      <c r="Q40" s="110"/>
    </row>
    <row r="41" customFormat="false" ht="15.75" hidden="false" customHeight="true" outlineLevel="0" collapsed="false"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="107" customFormat="true" ht="15.75" hidden="false" customHeight="true" outlineLevel="0" collapsed="false">
      <c r="A42" s="107" t="s">
        <v>163</v>
      </c>
      <c r="D42" s="108" t="n">
        <v>404</v>
      </c>
      <c r="E42" s="108" t="n">
        <v>9308</v>
      </c>
      <c r="F42" s="108" t="n">
        <v>3323</v>
      </c>
      <c r="G42" s="108" t="n">
        <v>2618</v>
      </c>
      <c r="H42" s="108" t="n">
        <v>5009</v>
      </c>
      <c r="I42" s="108" t="n">
        <v>3212</v>
      </c>
      <c r="J42" s="108" t="n">
        <v>4901</v>
      </c>
      <c r="K42" s="108" t="n">
        <v>-9743</v>
      </c>
      <c r="L42" s="108" t="n">
        <v>415</v>
      </c>
      <c r="M42" s="108" t="n">
        <v>-7774</v>
      </c>
      <c r="N42" s="108" t="n">
        <v>4409</v>
      </c>
      <c r="O42" s="108" t="n">
        <v>2060</v>
      </c>
      <c r="P42" s="108" t="n">
        <v>18142</v>
      </c>
      <c r="Q42" s="112"/>
    </row>
    <row r="43" customFormat="false" ht="15" hidden="false" customHeight="false" outlineLevel="0" collapsed="false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</row>
    <row r="44" customFormat="false" ht="15" hidden="false" customHeight="false" outlineLevel="0" collapsed="false"/>
    <row r="46" customFormat="false" ht="14.25" hidden="false" customHeight="false" outlineLevel="0" collapsed="false">
      <c r="A46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TREASUR&amp;"Arial,Regular"Y
&amp;"Arial,Italic"Statistical Data Analysis Division</oddHeader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P14" activeCellId="0" sqref="P14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58"/>
    <col collapsed="false" customWidth="true" hidden="false" outlineLevel="0" max="2" min="2" style="100" width="1.29"/>
    <col collapsed="false" customWidth="true" hidden="false" outlineLevel="0" max="3" min="3" style="100" width="24"/>
    <col collapsed="false" customWidth="true" hidden="false" outlineLevel="0" max="11" min="4" style="100" width="8"/>
    <col collapsed="false" customWidth="true" hidden="false" outlineLevel="0" max="12" min="12" style="100" width="8.71"/>
    <col collapsed="false" customWidth="true" hidden="false" outlineLevel="0" max="15" min="13" style="100" width="8"/>
    <col collapsed="false" customWidth="false" hidden="false" outlineLevel="0" max="1024" min="16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165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1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true" outlineLevel="0" collapsed="false"/>
    <row r="7" s="107" customFormat="true" ht="15" hidden="false" customHeight="true" outlineLevel="0" collapsed="false">
      <c r="A7" s="107" t="s">
        <v>12</v>
      </c>
      <c r="D7" s="108" t="n">
        <v>15985</v>
      </c>
      <c r="E7" s="108" t="n">
        <v>10592</v>
      </c>
      <c r="F7" s="108" t="n">
        <v>12962</v>
      </c>
      <c r="G7" s="108" t="n">
        <v>19310</v>
      </c>
      <c r="H7" s="108" t="n">
        <v>14316</v>
      </c>
      <c r="I7" s="108" t="n">
        <v>12720</v>
      </c>
      <c r="J7" s="108" t="n">
        <v>16647</v>
      </c>
      <c r="K7" s="108" t="n">
        <v>14397</v>
      </c>
      <c r="L7" s="108" t="n">
        <v>13181</v>
      </c>
      <c r="M7" s="108" t="n">
        <v>19648</v>
      </c>
      <c r="N7" s="108" t="n">
        <v>14605</v>
      </c>
      <c r="O7" s="108" t="n">
        <v>16539</v>
      </c>
      <c r="P7" s="108" t="n">
        <v>180902</v>
      </c>
    </row>
    <row r="8" customFormat="false" ht="15" hidden="false" customHeight="true" outlineLevel="0" collapsed="false">
      <c r="B8" s="100" t="s">
        <v>13</v>
      </c>
      <c r="D8" s="109" t="n">
        <v>13575</v>
      </c>
      <c r="E8" s="109" t="n">
        <v>9230</v>
      </c>
      <c r="F8" s="109" t="n">
        <v>11400</v>
      </c>
      <c r="G8" s="109" t="n">
        <v>16765</v>
      </c>
      <c r="H8" s="109" t="n">
        <v>12930</v>
      </c>
      <c r="I8" s="109" t="n">
        <v>10777</v>
      </c>
      <c r="J8" s="109" t="n">
        <v>14880</v>
      </c>
      <c r="K8" s="109" t="n">
        <v>12302</v>
      </c>
      <c r="L8" s="109" t="n">
        <v>9613</v>
      </c>
      <c r="M8" s="109" t="n">
        <v>15668</v>
      </c>
      <c r="N8" s="109" t="n">
        <v>13184</v>
      </c>
      <c r="O8" s="109" t="n">
        <v>11376</v>
      </c>
      <c r="P8" s="109" t="n">
        <v>151700</v>
      </c>
    </row>
    <row r="9" customFormat="false" ht="15" hidden="false" customHeight="true" outlineLevel="0" collapsed="false">
      <c r="C9" s="100" t="s">
        <v>14</v>
      </c>
      <c r="D9" s="110" t="n">
        <v>10265</v>
      </c>
      <c r="E9" s="110" t="n">
        <v>5906</v>
      </c>
      <c r="F9" s="110" t="n">
        <v>6756</v>
      </c>
      <c r="G9" s="110" t="n">
        <v>13239</v>
      </c>
      <c r="H9" s="110" t="n">
        <v>8993</v>
      </c>
      <c r="I9" s="110" t="n">
        <v>6272</v>
      </c>
      <c r="J9" s="110" t="n">
        <v>11132</v>
      </c>
      <c r="K9" s="110" t="n">
        <v>8299</v>
      </c>
      <c r="L9" s="110" t="n">
        <v>5763</v>
      </c>
      <c r="M9" s="110" t="n">
        <v>11721</v>
      </c>
      <c r="N9" s="110" t="n">
        <v>8928</v>
      </c>
      <c r="O9" s="110" t="n">
        <v>6711</v>
      </c>
      <c r="P9" s="110" t="n">
        <v>103985</v>
      </c>
    </row>
    <row r="10" customFormat="false" ht="15" hidden="false" customHeight="true" outlineLevel="0" collapsed="false">
      <c r="C10" s="100" t="s">
        <v>18</v>
      </c>
      <c r="D10" s="110" t="n">
        <v>3153</v>
      </c>
      <c r="E10" s="110" t="n">
        <v>3164</v>
      </c>
      <c r="F10" s="110" t="n">
        <v>4471</v>
      </c>
      <c r="G10" s="110" t="n">
        <v>3366</v>
      </c>
      <c r="H10" s="110" t="n">
        <v>3787</v>
      </c>
      <c r="I10" s="110" t="n">
        <v>4352</v>
      </c>
      <c r="J10" s="110" t="n">
        <v>3596</v>
      </c>
      <c r="K10" s="110" t="n">
        <v>3846</v>
      </c>
      <c r="L10" s="110" t="n">
        <v>3707</v>
      </c>
      <c r="M10" s="110" t="n">
        <v>3739</v>
      </c>
      <c r="N10" s="110" t="n">
        <v>4155</v>
      </c>
      <c r="O10" s="110" t="n">
        <v>4612</v>
      </c>
      <c r="P10" s="110" t="n">
        <v>45948</v>
      </c>
    </row>
    <row r="11" customFormat="false" ht="15" hidden="false" customHeight="true" outlineLevel="0" collapsed="false">
      <c r="C11" s="100" t="s">
        <v>87</v>
      </c>
      <c r="D11" s="110" t="n">
        <v>157</v>
      </c>
      <c r="E11" s="110" t="n">
        <v>160</v>
      </c>
      <c r="F11" s="110" t="n">
        <v>173</v>
      </c>
      <c r="G11" s="110" t="n">
        <v>160</v>
      </c>
      <c r="H11" s="110" t="n">
        <v>150</v>
      </c>
      <c r="I11" s="110" t="n">
        <v>153</v>
      </c>
      <c r="J11" s="110" t="n">
        <v>152</v>
      </c>
      <c r="K11" s="110" t="n">
        <v>157</v>
      </c>
      <c r="L11" s="110" t="n">
        <v>143</v>
      </c>
      <c r="M11" s="110" t="n">
        <v>208</v>
      </c>
      <c r="N11" s="110" t="n">
        <v>101</v>
      </c>
      <c r="O11" s="110" t="n">
        <v>53</v>
      </c>
      <c r="P11" s="110" t="n">
        <v>1767</v>
      </c>
    </row>
    <row r="12" customFormat="false" ht="1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customFormat="false" ht="15" hidden="false" customHeight="true" outlineLevel="0" collapsed="false">
      <c r="B13" s="100" t="s">
        <v>20</v>
      </c>
      <c r="D13" s="109" t="n">
        <f aca="false">SUM(D14:D18)</f>
        <v>2397</v>
      </c>
      <c r="E13" s="109" t="n">
        <f aca="false">SUM(E14:E18)</f>
        <v>1257</v>
      </c>
      <c r="F13" s="109" t="n">
        <f aca="false">SUM(F14:F18)</f>
        <v>1285</v>
      </c>
      <c r="G13" s="109" t="n">
        <f aca="false">SUM(G14:G18)</f>
        <v>2268</v>
      </c>
      <c r="H13" s="109" t="n">
        <f aca="false">SUM(H14:H18)</f>
        <v>1167</v>
      </c>
      <c r="I13" s="109" t="n">
        <f aca="false">SUM(I14:I18)</f>
        <v>1700</v>
      </c>
      <c r="J13" s="109" t="n">
        <f aca="false">SUM(J14:J18)</f>
        <v>1699</v>
      </c>
      <c r="K13" s="109" t="n">
        <f aca="false">SUM(K14:K18)</f>
        <v>2053</v>
      </c>
      <c r="L13" s="109" t="n">
        <f aca="false">SUM(L14:L18)</f>
        <v>3528</v>
      </c>
      <c r="M13" s="109" t="n">
        <f aca="false">SUM(M14:M18)</f>
        <v>3961</v>
      </c>
      <c r="N13" s="109" t="n">
        <f aca="false">SUM(N14:N18)</f>
        <v>1412</v>
      </c>
      <c r="O13" s="109" t="n">
        <f aca="false">SUM(O14:O18)</f>
        <v>4095</v>
      </c>
      <c r="P13" s="109" t="n">
        <f aca="false">SUM(P14:P18)</f>
        <v>26822</v>
      </c>
    </row>
    <row r="14" customFormat="false" ht="15" hidden="false" customHeight="true" outlineLevel="0" collapsed="false">
      <c r="C14" s="100" t="s">
        <v>21</v>
      </c>
      <c r="D14" s="110" t="n">
        <v>1534</v>
      </c>
      <c r="E14" s="110" t="n">
        <v>775</v>
      </c>
      <c r="F14" s="110" t="n">
        <v>607</v>
      </c>
      <c r="G14" s="110" t="n">
        <v>1277</v>
      </c>
      <c r="H14" s="110" t="n">
        <v>536</v>
      </c>
      <c r="I14" s="110" t="n">
        <v>806</v>
      </c>
      <c r="J14" s="110" t="n">
        <v>1166</v>
      </c>
      <c r="K14" s="110" t="n">
        <v>928</v>
      </c>
      <c r="L14" s="110" t="n">
        <v>1505</v>
      </c>
      <c r="M14" s="110" t="n">
        <v>1761</v>
      </c>
      <c r="N14" s="110" t="n">
        <v>661</v>
      </c>
      <c r="O14" s="110" t="n">
        <v>2658</v>
      </c>
      <c r="P14" s="110" t="n">
        <f aca="false">SUM(D14:O14)</f>
        <v>14214</v>
      </c>
    </row>
    <row r="15" customFormat="false" ht="15" hidden="false" customHeight="true" outlineLevel="0" collapsed="false">
      <c r="C15" s="100" t="s">
        <v>150</v>
      </c>
      <c r="D15" s="110" t="n">
        <v>681</v>
      </c>
      <c r="E15" s="110" t="n">
        <v>236</v>
      </c>
      <c r="F15" s="110" t="n">
        <v>489</v>
      </c>
      <c r="G15" s="110" t="n">
        <v>505</v>
      </c>
      <c r="H15" s="110" t="n">
        <v>418</v>
      </c>
      <c r="I15" s="110" t="n">
        <v>764</v>
      </c>
      <c r="J15" s="110" t="n">
        <v>305</v>
      </c>
      <c r="K15" s="110" t="n">
        <v>348</v>
      </c>
      <c r="L15" s="110" t="n">
        <v>295</v>
      </c>
      <c r="M15" s="110" t="n">
        <v>572</v>
      </c>
      <c r="N15" s="110" t="n">
        <v>573</v>
      </c>
      <c r="O15" s="110" t="n">
        <v>540</v>
      </c>
      <c r="P15" s="110" t="n">
        <f aca="false">SUM(D15:O15)</f>
        <v>5726</v>
      </c>
    </row>
    <row r="16" customFormat="false" ht="15" hidden="false" customHeight="true" outlineLevel="0" collapsed="false">
      <c r="C16" s="100" t="s">
        <v>160</v>
      </c>
      <c r="D16" s="110" t="n">
        <v>0</v>
      </c>
      <c r="E16" s="110" t="n">
        <v>0</v>
      </c>
      <c r="F16" s="110" t="n">
        <v>0</v>
      </c>
      <c r="G16" s="110" t="n">
        <v>0</v>
      </c>
      <c r="H16" s="110" t="n">
        <v>0</v>
      </c>
      <c r="I16" s="110" t="n">
        <v>0</v>
      </c>
      <c r="J16" s="110" t="n">
        <v>0</v>
      </c>
      <c r="K16" s="110" t="n">
        <v>0</v>
      </c>
      <c r="L16" s="110" t="n">
        <v>373</v>
      </c>
      <c r="M16" s="110" t="n">
        <v>1391</v>
      </c>
      <c r="N16" s="110" t="n">
        <v>0</v>
      </c>
      <c r="O16" s="110" t="n">
        <v>280</v>
      </c>
      <c r="P16" s="110" t="n">
        <f aca="false">SUM(D16:O16)</f>
        <v>2044</v>
      </c>
    </row>
    <row r="17" customFormat="false" ht="15" hidden="false" customHeight="true" outlineLevel="0" collapsed="false">
      <c r="C17" s="100" t="s">
        <v>23</v>
      </c>
      <c r="D17" s="110" t="n">
        <v>112</v>
      </c>
      <c r="E17" s="110" t="n">
        <v>208</v>
      </c>
      <c r="F17" s="110" t="n">
        <v>178</v>
      </c>
      <c r="G17" s="110" t="n">
        <v>469</v>
      </c>
      <c r="H17" s="110" t="n">
        <v>207</v>
      </c>
      <c r="I17" s="110" t="n">
        <v>128</v>
      </c>
      <c r="J17" s="110" t="n">
        <v>228</v>
      </c>
      <c r="K17" s="110" t="n">
        <v>771</v>
      </c>
      <c r="L17" s="110" t="n">
        <v>877</v>
      </c>
      <c r="M17" s="110" t="n">
        <v>236</v>
      </c>
      <c r="N17" s="110" t="n">
        <v>155</v>
      </c>
      <c r="O17" s="110" t="n">
        <v>616</v>
      </c>
      <c r="P17" s="110" t="n">
        <f aca="false">SUM(D17:O17)</f>
        <v>4185</v>
      </c>
    </row>
    <row r="18" customFormat="false" ht="15" hidden="false" customHeight="true" outlineLevel="0" collapsed="false">
      <c r="C18" s="100" t="s">
        <v>105</v>
      </c>
      <c r="D18" s="110" t="n">
        <v>70</v>
      </c>
      <c r="E18" s="110" t="n">
        <v>38</v>
      </c>
      <c r="F18" s="110" t="n">
        <v>11</v>
      </c>
      <c r="G18" s="110" t="n">
        <v>17</v>
      </c>
      <c r="H18" s="110" t="n">
        <v>6</v>
      </c>
      <c r="I18" s="110" t="n">
        <v>2</v>
      </c>
      <c r="J18" s="110" t="n">
        <v>0</v>
      </c>
      <c r="K18" s="110" t="n">
        <v>6</v>
      </c>
      <c r="L18" s="110" t="n">
        <v>478</v>
      </c>
      <c r="M18" s="110" t="n">
        <v>1</v>
      </c>
      <c r="N18" s="110" t="n">
        <v>23</v>
      </c>
      <c r="O18" s="110" t="n">
        <v>1</v>
      </c>
      <c r="P18" s="110" t="n">
        <f aca="false">SUM(D18:O18)</f>
        <v>653</v>
      </c>
    </row>
    <row r="19" customFormat="false" ht="15" hidden="false" customHeight="true" outlineLevel="0" collapsed="false"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</row>
    <row r="20" customFormat="false" ht="15" hidden="false" customHeight="true" outlineLevel="0" collapsed="false">
      <c r="B20" s="100" t="s">
        <v>26</v>
      </c>
      <c r="D20" s="110" t="n">
        <v>13</v>
      </c>
      <c r="E20" s="110" t="n">
        <v>105</v>
      </c>
      <c r="F20" s="110" t="n">
        <v>277</v>
      </c>
      <c r="G20" s="110" t="n">
        <v>277</v>
      </c>
      <c r="H20" s="110" t="n">
        <v>219</v>
      </c>
      <c r="I20" s="110" t="n">
        <v>243</v>
      </c>
      <c r="J20" s="110" t="n">
        <v>68</v>
      </c>
      <c r="K20" s="110" t="n">
        <v>42</v>
      </c>
      <c r="L20" s="110" t="n">
        <v>40</v>
      </c>
      <c r="M20" s="110" t="n">
        <v>19</v>
      </c>
      <c r="N20" s="110" t="n">
        <v>9</v>
      </c>
      <c r="O20" s="110" t="n">
        <v>1068</v>
      </c>
      <c r="P20" s="110" t="n">
        <v>2380</v>
      </c>
    </row>
    <row r="21" customFormat="false" ht="15" hidden="false" customHeight="true" outlineLevel="0" collapsed="false"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</row>
    <row r="22" s="107" customFormat="true" ht="15" hidden="false" customHeight="true" outlineLevel="0" collapsed="false">
      <c r="A22" s="107" t="s">
        <v>27</v>
      </c>
      <c r="D22" s="108" t="n">
        <v>20681</v>
      </c>
      <c r="E22" s="108" t="n">
        <v>15082</v>
      </c>
      <c r="F22" s="108" t="n">
        <v>13638</v>
      </c>
      <c r="G22" s="108" t="n">
        <v>15973</v>
      </c>
      <c r="H22" s="108" t="n">
        <v>19951</v>
      </c>
      <c r="I22" s="108" t="n">
        <v>19554</v>
      </c>
      <c r="J22" s="108" t="n">
        <v>21785</v>
      </c>
      <c r="K22" s="108" t="n">
        <v>18141</v>
      </c>
      <c r="L22" s="108" t="n">
        <v>15444</v>
      </c>
      <c r="M22" s="108" t="n">
        <v>21343</v>
      </c>
      <c r="N22" s="108" t="n">
        <v>17509</v>
      </c>
      <c r="O22" s="108" t="n">
        <v>18995</v>
      </c>
      <c r="P22" s="108" t="n">
        <v>218096</v>
      </c>
    </row>
    <row r="23" customFormat="false" ht="15" hidden="false" customHeight="true" outlineLevel="0" collapsed="false">
      <c r="B23" s="100" t="s">
        <v>15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</row>
    <row r="24" customFormat="false" ht="15" hidden="false" customHeight="true" outlineLevel="0" collapsed="false">
      <c r="C24" s="100" t="s">
        <v>29</v>
      </c>
      <c r="D24" s="110" t="n">
        <v>6506</v>
      </c>
      <c r="E24" s="110" t="n">
        <v>4073</v>
      </c>
      <c r="F24" s="110" t="n">
        <v>4920</v>
      </c>
      <c r="G24" s="110" t="n">
        <v>7708</v>
      </c>
      <c r="H24" s="110" t="n">
        <v>5447</v>
      </c>
      <c r="I24" s="110" t="n">
        <v>5696</v>
      </c>
      <c r="J24" s="110" t="n">
        <v>5923</v>
      </c>
      <c r="K24" s="110" t="n">
        <v>5911</v>
      </c>
      <c r="L24" s="110" t="n">
        <v>5167</v>
      </c>
      <c r="M24" s="110" t="n">
        <v>8187</v>
      </c>
      <c r="N24" s="110" t="n">
        <v>6469</v>
      </c>
      <c r="O24" s="110" t="n">
        <v>5107</v>
      </c>
      <c r="P24" s="110" t="n">
        <v>71114</v>
      </c>
    </row>
    <row r="25" customFormat="false" ht="15" hidden="false" customHeight="true" outlineLevel="0" collapsed="false">
      <c r="C25" s="100" t="s">
        <v>77</v>
      </c>
      <c r="D25" s="110" t="n">
        <v>297</v>
      </c>
      <c r="E25" s="110" t="n">
        <v>83</v>
      </c>
      <c r="F25" s="110" t="n">
        <v>58</v>
      </c>
      <c r="G25" s="110" t="n">
        <v>917</v>
      </c>
      <c r="H25" s="110" t="n">
        <v>998</v>
      </c>
      <c r="I25" s="110" t="n">
        <v>5202</v>
      </c>
      <c r="J25" s="110" t="n">
        <v>3696</v>
      </c>
      <c r="K25" s="110" t="n">
        <v>27</v>
      </c>
      <c r="L25" s="110" t="n">
        <v>512</v>
      </c>
      <c r="M25" s="110" t="n">
        <v>191</v>
      </c>
      <c r="N25" s="110" t="n">
        <v>160</v>
      </c>
      <c r="O25" s="110" t="n">
        <v>1108</v>
      </c>
      <c r="P25" s="110" t="n">
        <v>13249</v>
      </c>
    </row>
    <row r="26" customFormat="false" ht="15" hidden="false" customHeight="true" outlineLevel="0" collapsed="false">
      <c r="C26" s="100" t="s">
        <v>28</v>
      </c>
      <c r="D26" s="110" t="n">
        <v>39</v>
      </c>
      <c r="E26" s="110" t="n">
        <v>1186</v>
      </c>
      <c r="F26" s="110" t="n">
        <v>593</v>
      </c>
      <c r="G26" s="110" t="n">
        <v>591</v>
      </c>
      <c r="H26" s="110" t="n">
        <v>592</v>
      </c>
      <c r="I26" s="110" t="n">
        <v>592</v>
      </c>
      <c r="J26" s="110" t="n">
        <v>592</v>
      </c>
      <c r="K26" s="110" t="n">
        <v>592</v>
      </c>
      <c r="L26" s="110" t="n">
        <v>591</v>
      </c>
      <c r="M26" s="110" t="n">
        <v>592</v>
      </c>
      <c r="N26" s="110" t="n">
        <v>592</v>
      </c>
      <c r="O26" s="110" t="n">
        <v>1037</v>
      </c>
      <c r="P26" s="110" t="n">
        <v>7589</v>
      </c>
    </row>
    <row r="27" customFormat="false" ht="15" hidden="false" customHeight="true" outlineLevel="0" collapsed="false">
      <c r="C27" s="100" t="s">
        <v>30</v>
      </c>
      <c r="D27" s="110" t="n">
        <v>0</v>
      </c>
      <c r="E27" s="110" t="n">
        <v>65</v>
      </c>
      <c r="F27" s="110" t="n">
        <v>355</v>
      </c>
      <c r="G27" s="110" t="n">
        <v>0</v>
      </c>
      <c r="H27" s="110" t="n">
        <v>20</v>
      </c>
      <c r="I27" s="110" t="n">
        <v>520</v>
      </c>
      <c r="J27" s="110" t="n">
        <v>1</v>
      </c>
      <c r="K27" s="110" t="n">
        <v>-1</v>
      </c>
      <c r="L27" s="110" t="n">
        <v>42</v>
      </c>
      <c r="M27" s="110" t="n">
        <v>266</v>
      </c>
      <c r="N27" s="110" t="n">
        <v>9</v>
      </c>
      <c r="O27" s="110" t="n">
        <v>886</v>
      </c>
      <c r="P27" s="110" t="n">
        <v>2163</v>
      </c>
    </row>
    <row r="28" customFormat="false" ht="15" hidden="false" customHeight="true" outlineLevel="0" collapsed="false">
      <c r="C28" s="100" t="s">
        <v>32</v>
      </c>
      <c r="D28" s="110" t="n">
        <v>491</v>
      </c>
      <c r="E28" s="110" t="n">
        <v>0</v>
      </c>
      <c r="F28" s="110" t="n">
        <v>553</v>
      </c>
      <c r="G28" s="110" t="n">
        <v>414</v>
      </c>
      <c r="H28" s="110" t="n">
        <v>85</v>
      </c>
      <c r="I28" s="110" t="n">
        <v>1065</v>
      </c>
      <c r="J28" s="110" t="n">
        <v>52</v>
      </c>
      <c r="K28" s="110" t="n">
        <v>3</v>
      </c>
      <c r="L28" s="110" t="n">
        <v>13</v>
      </c>
      <c r="M28" s="110" t="n">
        <v>102</v>
      </c>
      <c r="N28" s="110" t="n">
        <v>593</v>
      </c>
      <c r="O28" s="110" t="n">
        <v>1043</v>
      </c>
      <c r="P28" s="110" t="n">
        <v>4414</v>
      </c>
    </row>
    <row r="29" customFormat="false" ht="15" hidden="false" customHeight="true" outlineLevel="0" collapsed="false">
      <c r="C29" s="100" t="s">
        <v>78</v>
      </c>
      <c r="D29" s="110" t="n">
        <v>2325</v>
      </c>
      <c r="E29" s="110" t="n">
        <v>-179</v>
      </c>
      <c r="F29" s="110" t="n">
        <v>65</v>
      </c>
      <c r="G29" s="110" t="n">
        <v>231</v>
      </c>
      <c r="H29" s="110" t="n">
        <v>210</v>
      </c>
      <c r="I29" s="110" t="n">
        <v>-4757</v>
      </c>
      <c r="J29" s="110" t="n">
        <v>312</v>
      </c>
      <c r="K29" s="110" t="n">
        <v>212</v>
      </c>
      <c r="L29" s="110" t="n">
        <v>299</v>
      </c>
      <c r="M29" s="110" t="n">
        <v>267</v>
      </c>
      <c r="N29" s="110" t="n">
        <v>-533</v>
      </c>
      <c r="O29" s="110" t="n">
        <v>-98</v>
      </c>
      <c r="P29" s="110" t="n">
        <v>-1646</v>
      </c>
    </row>
    <row r="30" customFormat="false" ht="15" hidden="false" customHeight="true" outlineLevel="0" collapsed="false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="107" customFormat="true" ht="15" hidden="false" customHeight="true" outlineLevel="0" collapsed="false">
      <c r="A31" s="107" t="s">
        <v>137</v>
      </c>
      <c r="D31" s="112" t="n">
        <v>-4696</v>
      </c>
      <c r="E31" s="112" t="n">
        <v>-4490</v>
      </c>
      <c r="F31" s="112" t="n">
        <v>-676</v>
      </c>
      <c r="G31" s="112" t="n">
        <v>3337</v>
      </c>
      <c r="H31" s="112" t="n">
        <v>-5635</v>
      </c>
      <c r="I31" s="112" t="n">
        <v>-6834</v>
      </c>
      <c r="J31" s="112" t="n">
        <v>-5138</v>
      </c>
      <c r="K31" s="112" t="n">
        <v>-3744</v>
      </c>
      <c r="L31" s="112" t="n">
        <v>-2263</v>
      </c>
      <c r="M31" s="112" t="n">
        <v>-1695</v>
      </c>
      <c r="N31" s="112" t="n">
        <v>-2904</v>
      </c>
      <c r="O31" s="112" t="n">
        <v>-2456</v>
      </c>
      <c r="P31" s="112" t="n">
        <v>-37194</v>
      </c>
    </row>
    <row r="32" customFormat="false" ht="15" hidden="false" customHeight="true" outlineLevel="0" collapsed="false"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</row>
    <row r="33" s="107" customFormat="true" ht="15" hidden="false" customHeight="true" outlineLevel="0" collapsed="false">
      <c r="A33" s="107" t="s">
        <v>36</v>
      </c>
      <c r="D33" s="108" t="n">
        <v>12006</v>
      </c>
      <c r="E33" s="108" t="n">
        <v>-4113</v>
      </c>
      <c r="F33" s="108" t="n">
        <v>3009</v>
      </c>
      <c r="G33" s="108" t="n">
        <v>3471</v>
      </c>
      <c r="H33" s="108" t="n">
        <v>-1618</v>
      </c>
      <c r="I33" s="108" t="n">
        <v>164</v>
      </c>
      <c r="J33" s="108" t="n">
        <v>7789</v>
      </c>
      <c r="K33" s="108" t="n">
        <v>5194</v>
      </c>
      <c r="L33" s="108" t="n">
        <v>-9019</v>
      </c>
      <c r="M33" s="108" t="n">
        <v>209</v>
      </c>
      <c r="N33" s="108" t="n">
        <v>3380</v>
      </c>
      <c r="O33" s="108" t="n">
        <v>-1202</v>
      </c>
      <c r="P33" s="108" t="n">
        <v>19270</v>
      </c>
      <c r="Q33" s="161"/>
      <c r="R33" s="161"/>
      <c r="S33" s="161"/>
    </row>
    <row r="34" customFormat="false" ht="15" hidden="false" customHeight="true" outlineLevel="0" collapsed="false">
      <c r="B34" s="100" t="s">
        <v>37</v>
      </c>
      <c r="D34" s="109" t="n">
        <v>184</v>
      </c>
      <c r="E34" s="109" t="n">
        <v>-346</v>
      </c>
      <c r="F34" s="109" t="n">
        <v>48</v>
      </c>
      <c r="G34" s="109" t="n">
        <v>-1655</v>
      </c>
      <c r="H34" s="109" t="n">
        <v>-146</v>
      </c>
      <c r="I34" s="109" t="n">
        <v>-1912</v>
      </c>
      <c r="J34" s="109" t="n">
        <v>3319</v>
      </c>
      <c r="K34" s="109" t="n">
        <v>-419</v>
      </c>
      <c r="L34" s="109" t="n">
        <v>-600</v>
      </c>
      <c r="M34" s="109" t="n">
        <v>736</v>
      </c>
      <c r="N34" s="109" t="n">
        <v>-1183</v>
      </c>
      <c r="O34" s="109" t="n">
        <v>6100</v>
      </c>
      <c r="P34" s="109" t="n">
        <v>4126</v>
      </c>
    </row>
    <row r="35" customFormat="false" ht="15" hidden="false" customHeight="true" outlineLevel="0" collapsed="false">
      <c r="C35" s="100" t="s">
        <v>38</v>
      </c>
      <c r="D35" s="110" t="n">
        <v>4069</v>
      </c>
      <c r="E35" s="110" t="n">
        <v>133</v>
      </c>
      <c r="F35" s="110" t="n">
        <v>654</v>
      </c>
      <c r="G35" s="110" t="n">
        <v>351</v>
      </c>
      <c r="H35" s="110" t="n">
        <v>457</v>
      </c>
      <c r="I35" s="110" t="n">
        <v>221</v>
      </c>
      <c r="J35" s="110" t="n">
        <v>4142</v>
      </c>
      <c r="K35" s="110" t="n">
        <v>427</v>
      </c>
      <c r="L35" s="110" t="n">
        <v>2016</v>
      </c>
      <c r="M35" s="110" t="n">
        <v>1530</v>
      </c>
      <c r="N35" s="110" t="n">
        <v>295</v>
      </c>
      <c r="O35" s="110" t="n">
        <v>10111</v>
      </c>
      <c r="P35" s="110" t="n">
        <v>24406</v>
      </c>
    </row>
    <row r="36" customFormat="false" ht="15" hidden="false" customHeight="true" outlineLevel="0" collapsed="false">
      <c r="C36" s="100" t="s">
        <v>39</v>
      </c>
      <c r="D36" s="110" t="n">
        <v>3885</v>
      </c>
      <c r="E36" s="110" t="n">
        <v>479</v>
      </c>
      <c r="F36" s="110" t="n">
        <v>606</v>
      </c>
      <c r="G36" s="110" t="n">
        <v>2006</v>
      </c>
      <c r="H36" s="110" t="n">
        <v>603</v>
      </c>
      <c r="I36" s="110" t="n">
        <v>2133</v>
      </c>
      <c r="J36" s="110" t="n">
        <v>823</v>
      </c>
      <c r="K36" s="110" t="n">
        <v>846</v>
      </c>
      <c r="L36" s="110" t="n">
        <v>2616</v>
      </c>
      <c r="M36" s="110" t="n">
        <v>794</v>
      </c>
      <c r="N36" s="110" t="n">
        <v>1478</v>
      </c>
      <c r="O36" s="110" t="n">
        <v>4011</v>
      </c>
      <c r="P36" s="110" t="n">
        <v>20280</v>
      </c>
    </row>
    <row r="37" customFormat="false" ht="15" hidden="false" customHeight="true" outlineLevel="0" collapsed="false"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</row>
    <row r="38" customFormat="false" ht="15" hidden="false" customHeight="true" outlineLevel="0" collapsed="false">
      <c r="B38" s="100" t="s">
        <v>40</v>
      </c>
      <c r="D38" s="109" t="n">
        <v>11822</v>
      </c>
      <c r="E38" s="109" t="n">
        <v>-3767</v>
      </c>
      <c r="F38" s="109" t="n">
        <v>2961</v>
      </c>
      <c r="G38" s="109" t="n">
        <v>5126</v>
      </c>
      <c r="H38" s="109" t="n">
        <v>-1472</v>
      </c>
      <c r="I38" s="109" t="n">
        <v>2076</v>
      </c>
      <c r="J38" s="109" t="n">
        <v>4470</v>
      </c>
      <c r="K38" s="109" t="n">
        <v>5613</v>
      </c>
      <c r="L38" s="109" t="n">
        <v>-8419</v>
      </c>
      <c r="M38" s="109" t="n">
        <v>-527</v>
      </c>
      <c r="N38" s="109" t="n">
        <v>4563</v>
      </c>
      <c r="O38" s="109" t="n">
        <v>-7302</v>
      </c>
      <c r="P38" s="109" t="n">
        <v>15144</v>
      </c>
    </row>
    <row r="39" customFormat="false" ht="15" hidden="false" customHeight="true" outlineLevel="0" collapsed="false">
      <c r="C39" s="100" t="s">
        <v>41</v>
      </c>
      <c r="D39" s="110" t="n">
        <v>12378</v>
      </c>
      <c r="E39" s="110" t="n">
        <v>1482</v>
      </c>
      <c r="F39" s="110" t="n">
        <v>3057</v>
      </c>
      <c r="G39" s="110" t="n">
        <v>5243</v>
      </c>
      <c r="H39" s="110" t="n">
        <v>384</v>
      </c>
      <c r="I39" s="110" t="n">
        <v>2811</v>
      </c>
      <c r="J39" s="110" t="n">
        <v>6869</v>
      </c>
      <c r="K39" s="110" t="n">
        <v>5800</v>
      </c>
      <c r="L39" s="110" t="n">
        <v>-7955</v>
      </c>
      <c r="M39" s="110" t="n">
        <v>1657</v>
      </c>
      <c r="N39" s="110" t="n">
        <v>4589</v>
      </c>
      <c r="O39" s="110" t="n">
        <v>-6219</v>
      </c>
      <c r="P39" s="110" t="n">
        <v>30096</v>
      </c>
    </row>
    <row r="40" customFormat="false" ht="15" hidden="false" customHeight="true" outlineLevel="0" collapsed="false">
      <c r="C40" s="100" t="s">
        <v>39</v>
      </c>
      <c r="D40" s="110" t="n">
        <v>556</v>
      </c>
      <c r="E40" s="110" t="n">
        <v>5249</v>
      </c>
      <c r="F40" s="110" t="n">
        <v>96</v>
      </c>
      <c r="G40" s="110" t="n">
        <v>117</v>
      </c>
      <c r="H40" s="110" t="n">
        <v>1856</v>
      </c>
      <c r="I40" s="110" t="n">
        <v>735</v>
      </c>
      <c r="J40" s="110" t="n">
        <v>2399</v>
      </c>
      <c r="K40" s="110" t="n">
        <v>187</v>
      </c>
      <c r="L40" s="110" t="n">
        <v>464</v>
      </c>
      <c r="M40" s="110" t="n">
        <v>2184</v>
      </c>
      <c r="N40" s="110" t="n">
        <v>26</v>
      </c>
      <c r="O40" s="110" t="n">
        <v>1083</v>
      </c>
      <c r="P40" s="110" t="n">
        <v>14952</v>
      </c>
    </row>
    <row r="41" customFormat="false" ht="15" hidden="false" customHeight="true" outlineLevel="0" collapsed="false"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="107" customFormat="true" ht="15" hidden="false" customHeight="true" outlineLevel="0" collapsed="false">
      <c r="A42" s="107" t="s">
        <v>163</v>
      </c>
      <c r="D42" s="108" t="n">
        <v>7431</v>
      </c>
      <c r="E42" s="108" t="n">
        <v>-7666</v>
      </c>
      <c r="F42" s="108" t="n">
        <v>5459</v>
      </c>
      <c r="G42" s="108" t="n">
        <v>6284</v>
      </c>
      <c r="H42" s="108" t="n">
        <v>-8315</v>
      </c>
      <c r="I42" s="108" t="n">
        <v>-5990</v>
      </c>
      <c r="J42" s="108" t="n">
        <v>3622</v>
      </c>
      <c r="K42" s="108" t="n">
        <v>2056</v>
      </c>
      <c r="L42" s="108" t="n">
        <v>-10613</v>
      </c>
      <c r="M42" s="108" t="n">
        <v>-2485</v>
      </c>
      <c r="N42" s="108" t="n">
        <v>493</v>
      </c>
      <c r="O42" s="108" t="n">
        <v>-3341</v>
      </c>
      <c r="P42" s="108" t="n">
        <v>-13065</v>
      </c>
      <c r="Q42" s="112"/>
    </row>
    <row r="43" customFormat="false" ht="15" hidden="false" customHeight="false" outlineLevel="0" collapsed="false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</row>
    <row r="44" customFormat="false" ht="15" hidden="false" customHeight="false" outlineLevel="0" collapsed="false"/>
    <row r="47" customFormat="false" ht="14.25" hidden="false" customHeight="false" outlineLevel="0" collapsed="false">
      <c r="A47" s="31" t="s">
        <v>139</v>
      </c>
    </row>
    <row r="48" customFormat="false" ht="14.25" hidden="false" customHeight="false" outlineLevel="0" collapsed="false">
      <c r="A48" s="31" t="s">
        <v>151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R17" activeCellId="0" sqref="R17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58"/>
    <col collapsed="false" customWidth="true" hidden="false" outlineLevel="0" max="2" min="2" style="100" width="1.29"/>
    <col collapsed="false" customWidth="true" hidden="false" outlineLevel="0" max="3" min="3" style="100" width="24"/>
    <col collapsed="false" customWidth="true" hidden="false" outlineLevel="0" max="15" min="4" style="100" width="8"/>
    <col collapsed="false" customWidth="false" hidden="false" outlineLevel="0" max="1024" min="16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166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19.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true" outlineLevel="0" collapsed="false"/>
    <row r="7" s="107" customFormat="true" ht="15" hidden="false" customHeight="true" outlineLevel="0" collapsed="false">
      <c r="A7" s="107" t="s">
        <v>12</v>
      </c>
      <c r="D7" s="108" t="n">
        <v>11036</v>
      </c>
      <c r="E7" s="108" t="n">
        <v>8225</v>
      </c>
      <c r="F7" s="108" t="n">
        <v>8845</v>
      </c>
      <c r="G7" s="108" t="n">
        <v>16873</v>
      </c>
      <c r="H7" s="108" t="n">
        <v>11428</v>
      </c>
      <c r="I7" s="108" t="n">
        <v>10831</v>
      </c>
      <c r="J7" s="108" t="n">
        <v>15033</v>
      </c>
      <c r="K7" s="108" t="n">
        <v>14987</v>
      </c>
      <c r="L7" s="108" t="n">
        <v>13076</v>
      </c>
      <c r="M7" s="108" t="n">
        <v>15666</v>
      </c>
      <c r="N7" s="108" t="n">
        <v>12200</v>
      </c>
      <c r="O7" s="108" t="n">
        <v>14210</v>
      </c>
      <c r="P7" s="108" t="n">
        <v>152410</v>
      </c>
      <c r="Q7" s="112"/>
    </row>
    <row r="8" customFormat="false" ht="15" hidden="false" customHeight="true" outlineLevel="0" collapsed="false">
      <c r="B8" s="100" t="s">
        <v>13</v>
      </c>
      <c r="D8" s="109" t="n">
        <v>9564</v>
      </c>
      <c r="E8" s="109" t="n">
        <v>6827</v>
      </c>
      <c r="F8" s="109" t="n">
        <v>7510</v>
      </c>
      <c r="G8" s="109" t="n">
        <v>13922</v>
      </c>
      <c r="H8" s="109" t="n">
        <v>10588</v>
      </c>
      <c r="I8" s="109" t="n">
        <v>8806</v>
      </c>
      <c r="J8" s="109" t="n">
        <v>12598</v>
      </c>
      <c r="K8" s="109" t="n">
        <v>11018</v>
      </c>
      <c r="L8" s="109" t="n">
        <v>9029</v>
      </c>
      <c r="M8" s="109" t="n">
        <v>12264</v>
      </c>
      <c r="N8" s="109" t="n">
        <v>10228</v>
      </c>
      <c r="O8" s="109" t="n">
        <v>10108</v>
      </c>
      <c r="P8" s="109" t="n">
        <v>122462</v>
      </c>
      <c r="Q8" s="112"/>
    </row>
    <row r="9" customFormat="false" ht="15" hidden="false" customHeight="true" outlineLevel="0" collapsed="false">
      <c r="C9" s="100" t="s">
        <v>14</v>
      </c>
      <c r="D9" s="110" t="n">
        <v>7182</v>
      </c>
      <c r="E9" s="110" t="n">
        <v>4404</v>
      </c>
      <c r="F9" s="110" t="n">
        <v>4527</v>
      </c>
      <c r="G9" s="110" t="n">
        <v>10623</v>
      </c>
      <c r="H9" s="110" t="n">
        <v>7244</v>
      </c>
      <c r="I9" s="110" t="n">
        <v>5237</v>
      </c>
      <c r="J9" s="110" t="n">
        <v>8720</v>
      </c>
      <c r="K9" s="110" t="n">
        <v>7226</v>
      </c>
      <c r="L9" s="110" t="n">
        <v>4743</v>
      </c>
      <c r="M9" s="110" t="n">
        <v>8865</v>
      </c>
      <c r="N9" s="110" t="n">
        <v>7305</v>
      </c>
      <c r="O9" s="110" t="n">
        <v>5925</v>
      </c>
      <c r="P9" s="110" t="n">
        <v>82001</v>
      </c>
      <c r="Q9" s="112"/>
    </row>
    <row r="10" customFormat="false" ht="15" hidden="false" customHeight="true" outlineLevel="0" collapsed="false">
      <c r="C10" s="100" t="s">
        <v>18</v>
      </c>
      <c r="D10" s="110" t="n">
        <v>2243</v>
      </c>
      <c r="E10" s="110" t="n">
        <v>2281</v>
      </c>
      <c r="F10" s="110" t="n">
        <v>2839</v>
      </c>
      <c r="G10" s="110" t="n">
        <v>3121</v>
      </c>
      <c r="H10" s="110" t="n">
        <v>3103</v>
      </c>
      <c r="I10" s="110" t="n">
        <v>3367</v>
      </c>
      <c r="J10" s="110" t="n">
        <v>3597</v>
      </c>
      <c r="K10" s="110" t="n">
        <v>3605</v>
      </c>
      <c r="L10" s="110" t="n">
        <v>4114</v>
      </c>
      <c r="M10" s="110" t="n">
        <v>3221</v>
      </c>
      <c r="N10" s="110" t="n">
        <v>2787</v>
      </c>
      <c r="O10" s="110" t="n">
        <v>4097</v>
      </c>
      <c r="P10" s="110" t="n">
        <v>38375</v>
      </c>
      <c r="Q10" s="112"/>
    </row>
    <row r="11" customFormat="false" ht="15" hidden="false" customHeight="true" outlineLevel="0" collapsed="false">
      <c r="C11" s="100" t="s">
        <v>87</v>
      </c>
      <c r="D11" s="110" t="n">
        <v>139</v>
      </c>
      <c r="E11" s="110" t="n">
        <v>142</v>
      </c>
      <c r="F11" s="110" t="n">
        <v>144</v>
      </c>
      <c r="G11" s="110" t="n">
        <v>178</v>
      </c>
      <c r="H11" s="110" t="n">
        <v>241</v>
      </c>
      <c r="I11" s="110" t="n">
        <v>202</v>
      </c>
      <c r="J11" s="110" t="n">
        <v>281</v>
      </c>
      <c r="K11" s="110" t="n">
        <v>187</v>
      </c>
      <c r="L11" s="110" t="n">
        <v>172</v>
      </c>
      <c r="M11" s="110" t="n">
        <v>178</v>
      </c>
      <c r="N11" s="110" t="n">
        <v>136</v>
      </c>
      <c r="O11" s="110" t="n">
        <v>86</v>
      </c>
      <c r="P11" s="110" t="n">
        <v>2086</v>
      </c>
      <c r="Q11" s="112"/>
    </row>
    <row r="12" customFormat="false" ht="1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2"/>
    </row>
    <row r="13" customFormat="false" ht="15" hidden="false" customHeight="true" outlineLevel="0" collapsed="false">
      <c r="B13" s="100" t="s">
        <v>20</v>
      </c>
      <c r="D13" s="109" t="n">
        <v>1310</v>
      </c>
      <c r="E13" s="109" t="n">
        <v>1140</v>
      </c>
      <c r="F13" s="109" t="n">
        <v>1290</v>
      </c>
      <c r="G13" s="109" t="n">
        <v>2766</v>
      </c>
      <c r="H13" s="109" t="n">
        <v>815</v>
      </c>
      <c r="I13" s="109" t="n">
        <v>1765</v>
      </c>
      <c r="J13" s="109" t="n">
        <v>2395</v>
      </c>
      <c r="K13" s="109" t="n">
        <v>3852</v>
      </c>
      <c r="L13" s="109" t="n">
        <v>3931</v>
      </c>
      <c r="M13" s="109" t="n">
        <v>3329</v>
      </c>
      <c r="N13" s="109" t="n">
        <v>1847</v>
      </c>
      <c r="O13" s="109" t="n">
        <v>3807</v>
      </c>
      <c r="P13" s="109" t="n">
        <v>28247</v>
      </c>
      <c r="Q13" s="112"/>
    </row>
    <row r="14" customFormat="false" ht="15" hidden="false" customHeight="true" outlineLevel="0" collapsed="false">
      <c r="C14" s="100" t="s">
        <v>21</v>
      </c>
      <c r="D14" s="110" t="n">
        <v>846</v>
      </c>
      <c r="E14" s="110" t="n">
        <v>267</v>
      </c>
      <c r="F14" s="110" t="n">
        <v>475</v>
      </c>
      <c r="G14" s="110" t="n">
        <v>1570</v>
      </c>
      <c r="H14" s="110" t="n">
        <v>479</v>
      </c>
      <c r="I14" s="110" t="n">
        <v>1295</v>
      </c>
      <c r="J14" s="110" t="n">
        <v>1841</v>
      </c>
      <c r="K14" s="110" t="n">
        <v>665</v>
      </c>
      <c r="L14" s="110" t="n">
        <v>2470</v>
      </c>
      <c r="M14" s="110" t="n">
        <v>1919</v>
      </c>
      <c r="N14" s="110" t="n">
        <v>1187</v>
      </c>
      <c r="O14" s="110" t="n">
        <v>1176</v>
      </c>
      <c r="P14" s="110" t="n">
        <v>14190</v>
      </c>
      <c r="Q14" s="112"/>
    </row>
    <row r="15" customFormat="false" ht="15" hidden="false" customHeight="true" outlineLevel="0" collapsed="false">
      <c r="C15" s="100" t="s">
        <v>150</v>
      </c>
      <c r="D15" s="110" t="n">
        <v>369</v>
      </c>
      <c r="E15" s="110" t="n">
        <v>573</v>
      </c>
      <c r="F15" s="110" t="n">
        <v>496</v>
      </c>
      <c r="G15" s="110" t="n">
        <v>769</v>
      </c>
      <c r="H15" s="110" t="n">
        <v>229</v>
      </c>
      <c r="I15" s="110" t="n">
        <v>314</v>
      </c>
      <c r="J15" s="110" t="n">
        <v>530</v>
      </c>
      <c r="K15" s="110" t="n">
        <v>509</v>
      </c>
      <c r="L15" s="110" t="n">
        <v>482</v>
      </c>
      <c r="M15" s="110" t="n">
        <v>375</v>
      </c>
      <c r="N15" s="110" t="n">
        <v>468</v>
      </c>
      <c r="O15" s="110" t="n">
        <v>0</v>
      </c>
      <c r="P15" s="110" t="n">
        <v>5114</v>
      </c>
      <c r="Q15" s="112"/>
    </row>
    <row r="16" customFormat="false" ht="15" hidden="false" customHeight="true" outlineLevel="0" collapsed="false">
      <c r="C16" s="100" t="s">
        <v>160</v>
      </c>
      <c r="D16" s="110" t="n">
        <v>0</v>
      </c>
      <c r="E16" s="110" t="n">
        <v>0</v>
      </c>
      <c r="F16" s="110" t="n">
        <v>0</v>
      </c>
      <c r="G16" s="110" t="n">
        <v>0</v>
      </c>
      <c r="H16" s="110" t="n">
        <v>0</v>
      </c>
      <c r="I16" s="110" t="n">
        <v>19</v>
      </c>
      <c r="J16" s="110" t="n">
        <v>0</v>
      </c>
      <c r="K16" s="110" t="n">
        <v>2353</v>
      </c>
      <c r="L16" s="110" t="n">
        <v>470</v>
      </c>
      <c r="M16" s="110" t="n">
        <v>0</v>
      </c>
      <c r="N16" s="110" t="n">
        <v>0</v>
      </c>
      <c r="O16" s="110" t="n">
        <v>1925</v>
      </c>
      <c r="P16" s="110" t="n">
        <v>4767</v>
      </c>
      <c r="Q16" s="112"/>
    </row>
    <row r="17" customFormat="false" ht="15" hidden="false" customHeight="true" outlineLevel="0" collapsed="false">
      <c r="C17" s="100" t="s">
        <v>167</v>
      </c>
      <c r="D17" s="110" t="n">
        <v>95</v>
      </c>
      <c r="E17" s="110" t="n">
        <v>300</v>
      </c>
      <c r="F17" s="110" t="n">
        <v>319</v>
      </c>
      <c r="G17" s="110" t="n">
        <v>427</v>
      </c>
      <c r="H17" s="110" t="n">
        <v>107</v>
      </c>
      <c r="I17" s="110" t="n">
        <v>137</v>
      </c>
      <c r="J17" s="110" t="n">
        <v>24</v>
      </c>
      <c r="K17" s="110" t="n">
        <v>325</v>
      </c>
      <c r="L17" s="110" t="n">
        <v>509</v>
      </c>
      <c r="M17" s="110" t="n">
        <v>1035</v>
      </c>
      <c r="N17" s="110" t="n">
        <v>192</v>
      </c>
      <c r="O17" s="110" t="n">
        <v>706</v>
      </c>
      <c r="P17" s="110" t="n">
        <v>4176</v>
      </c>
      <c r="Q17" s="112"/>
    </row>
    <row r="18" customFormat="false" ht="15" hidden="false" customHeight="true" outlineLevel="0" collapsed="false"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2"/>
    </row>
    <row r="19" customFormat="false" ht="15" hidden="false" customHeight="true" outlineLevel="0" collapsed="false">
      <c r="B19" s="100" t="s">
        <v>26</v>
      </c>
      <c r="D19" s="110" t="n">
        <v>162</v>
      </c>
      <c r="E19" s="110" t="n">
        <v>258</v>
      </c>
      <c r="F19" s="110" t="n">
        <v>45</v>
      </c>
      <c r="G19" s="110" t="n">
        <v>185</v>
      </c>
      <c r="H19" s="110" t="n">
        <v>25</v>
      </c>
      <c r="I19" s="110" t="n">
        <v>260</v>
      </c>
      <c r="J19" s="110" t="n">
        <v>40</v>
      </c>
      <c r="K19" s="110" t="n">
        <v>117</v>
      </c>
      <c r="L19" s="110" t="n">
        <v>116</v>
      </c>
      <c r="M19" s="110" t="n">
        <v>73</v>
      </c>
      <c r="N19" s="110" t="n">
        <v>125</v>
      </c>
      <c r="O19" s="110" t="n">
        <v>295</v>
      </c>
      <c r="P19" s="110" t="n">
        <v>1701</v>
      </c>
      <c r="Q19" s="112"/>
    </row>
    <row r="20" customFormat="false" ht="15" hidden="false" customHeight="true" outlineLevel="0" collapsed="false"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2"/>
    </row>
    <row r="21" s="107" customFormat="true" ht="15" hidden="false" customHeight="true" outlineLevel="0" collapsed="false">
      <c r="A21" s="107" t="s">
        <v>27</v>
      </c>
      <c r="D21" s="108" t="n">
        <v>13384</v>
      </c>
      <c r="E21" s="108" t="n">
        <v>11855</v>
      </c>
      <c r="F21" s="108" t="n">
        <v>12526</v>
      </c>
      <c r="G21" s="108" t="n">
        <v>15600</v>
      </c>
      <c r="H21" s="108" t="n">
        <v>13394</v>
      </c>
      <c r="I21" s="108" t="n">
        <v>12074</v>
      </c>
      <c r="J21" s="108" t="n">
        <v>13991</v>
      </c>
      <c r="K21" s="108" t="n">
        <v>12457</v>
      </c>
      <c r="L21" s="108" t="n">
        <v>11766</v>
      </c>
      <c r="M21" s="108" t="n">
        <v>15471</v>
      </c>
      <c r="N21" s="108" t="n">
        <v>17250</v>
      </c>
      <c r="O21" s="108" t="n">
        <v>22210</v>
      </c>
      <c r="P21" s="108" t="n">
        <v>171978</v>
      </c>
      <c r="Q21" s="112"/>
    </row>
    <row r="22" customFormat="false" ht="15" hidden="false" customHeight="true" outlineLevel="0" collapsed="false">
      <c r="B22" s="100" t="s">
        <v>15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12"/>
    </row>
    <row r="23" customFormat="false" ht="15" hidden="false" customHeight="true" outlineLevel="0" collapsed="false">
      <c r="C23" s="100" t="s">
        <v>29</v>
      </c>
      <c r="D23" s="110" t="n">
        <v>4247</v>
      </c>
      <c r="E23" s="110" t="n">
        <v>3843</v>
      </c>
      <c r="F23" s="110" t="n">
        <v>4522</v>
      </c>
      <c r="G23" s="110" t="n">
        <v>4857</v>
      </c>
      <c r="H23" s="110" t="n">
        <v>4683</v>
      </c>
      <c r="I23" s="110" t="n">
        <v>2788</v>
      </c>
      <c r="J23" s="110" t="n">
        <v>4234</v>
      </c>
      <c r="K23" s="110" t="n">
        <v>4937</v>
      </c>
      <c r="L23" s="110" t="n">
        <v>4071</v>
      </c>
      <c r="M23" s="110" t="n">
        <v>5473</v>
      </c>
      <c r="N23" s="110" t="n">
        <v>5064</v>
      </c>
      <c r="O23" s="110" t="n">
        <v>5995</v>
      </c>
      <c r="P23" s="110" t="n">
        <v>54714</v>
      </c>
      <c r="Q23" s="112"/>
    </row>
    <row r="24" customFormat="false" ht="15" hidden="false" customHeight="true" outlineLevel="0" collapsed="false">
      <c r="C24" s="100" t="s">
        <v>77</v>
      </c>
      <c r="D24" s="110" t="n">
        <v>129</v>
      </c>
      <c r="E24" s="110" t="n">
        <v>0</v>
      </c>
      <c r="F24" s="110" t="n">
        <v>138</v>
      </c>
      <c r="G24" s="110" t="n">
        <v>150</v>
      </c>
      <c r="H24" s="110" t="n">
        <v>417</v>
      </c>
      <c r="I24" s="110" t="n">
        <v>828</v>
      </c>
      <c r="J24" s="110" t="n">
        <v>1365</v>
      </c>
      <c r="K24" s="110" t="n">
        <v>77</v>
      </c>
      <c r="L24" s="110" t="n">
        <v>666</v>
      </c>
      <c r="M24" s="110" t="n">
        <v>41</v>
      </c>
      <c r="N24" s="110" t="n">
        <v>887</v>
      </c>
      <c r="O24" s="110" t="n">
        <v>877</v>
      </c>
      <c r="P24" s="110" t="n">
        <v>5575</v>
      </c>
      <c r="Q24" s="112"/>
    </row>
    <row r="25" customFormat="false" ht="15" hidden="false" customHeight="true" outlineLevel="0" collapsed="false">
      <c r="C25" s="100" t="s">
        <v>28</v>
      </c>
      <c r="D25" s="110" t="n">
        <v>458</v>
      </c>
      <c r="E25" s="110" t="n">
        <v>319</v>
      </c>
      <c r="F25" s="110" t="n">
        <v>449</v>
      </c>
      <c r="G25" s="110" t="n">
        <v>844</v>
      </c>
      <c r="H25" s="110" t="n">
        <v>429</v>
      </c>
      <c r="I25" s="110" t="n">
        <v>441</v>
      </c>
      <c r="J25" s="110" t="n">
        <v>465</v>
      </c>
      <c r="K25" s="110" t="n">
        <v>432</v>
      </c>
      <c r="L25" s="110" t="n">
        <v>0</v>
      </c>
      <c r="M25" s="110" t="n">
        <v>467</v>
      </c>
      <c r="N25" s="110" t="n">
        <v>443</v>
      </c>
      <c r="O25" s="110" t="n">
        <v>487</v>
      </c>
      <c r="P25" s="110" t="n">
        <v>5234</v>
      </c>
      <c r="Q25" s="112"/>
    </row>
    <row r="26" customFormat="false" ht="15" hidden="false" customHeight="true" outlineLevel="0" collapsed="false">
      <c r="C26" s="100" t="s">
        <v>30</v>
      </c>
      <c r="D26" s="110" t="n">
        <v>0</v>
      </c>
      <c r="E26" s="110" t="n">
        <v>0</v>
      </c>
      <c r="F26" s="110" t="n">
        <v>0</v>
      </c>
      <c r="G26" s="110" t="n">
        <v>0</v>
      </c>
      <c r="H26" s="110" t="n">
        <v>0</v>
      </c>
      <c r="I26" s="110" t="n">
        <v>0</v>
      </c>
      <c r="J26" s="110" t="n">
        <v>263</v>
      </c>
      <c r="K26" s="110" t="n">
        <v>68</v>
      </c>
      <c r="L26" s="110" t="n">
        <v>0</v>
      </c>
      <c r="M26" s="110" t="n">
        <v>0</v>
      </c>
      <c r="N26" s="110" t="n">
        <v>21</v>
      </c>
      <c r="O26" s="110" t="n">
        <v>583</v>
      </c>
      <c r="P26" s="110" t="n">
        <v>935</v>
      </c>
      <c r="Q26" s="112"/>
    </row>
    <row r="27" customFormat="false" ht="15" hidden="false" customHeight="true" outlineLevel="0" collapsed="false">
      <c r="C27" s="100" t="s">
        <v>32</v>
      </c>
      <c r="D27" s="110" t="n">
        <v>345</v>
      </c>
      <c r="E27" s="110" t="n">
        <v>0</v>
      </c>
      <c r="F27" s="110" t="n">
        <v>140</v>
      </c>
      <c r="G27" s="110" t="n">
        <v>8</v>
      </c>
      <c r="H27" s="110" t="n">
        <v>510</v>
      </c>
      <c r="I27" s="110" t="n">
        <v>-507</v>
      </c>
      <c r="J27" s="110" t="n">
        <v>319</v>
      </c>
      <c r="K27" s="110" t="n">
        <v>372</v>
      </c>
      <c r="L27" s="110" t="n">
        <v>415</v>
      </c>
      <c r="M27" s="110" t="n">
        <v>80</v>
      </c>
      <c r="N27" s="110" t="n">
        <v>282</v>
      </c>
      <c r="O27" s="110" t="n">
        <v>143</v>
      </c>
      <c r="P27" s="110" t="n">
        <v>2107</v>
      </c>
      <c r="Q27" s="112"/>
    </row>
    <row r="28" customFormat="false" ht="15" hidden="false" customHeight="true" outlineLevel="0" collapsed="false">
      <c r="C28" s="100" t="s">
        <v>78</v>
      </c>
      <c r="D28" s="110" t="n">
        <v>186</v>
      </c>
      <c r="E28" s="110" t="n">
        <v>633</v>
      </c>
      <c r="F28" s="110" t="n">
        <v>-89</v>
      </c>
      <c r="G28" s="110" t="n">
        <v>601</v>
      </c>
      <c r="H28" s="110" t="n">
        <v>122</v>
      </c>
      <c r="I28" s="110" t="n">
        <v>512</v>
      </c>
      <c r="J28" s="110" t="n">
        <v>413</v>
      </c>
      <c r="K28" s="110" t="n">
        <v>41</v>
      </c>
      <c r="L28" s="110" t="n">
        <v>-152</v>
      </c>
      <c r="M28" s="110" t="n">
        <v>1079</v>
      </c>
      <c r="N28" s="110" t="n">
        <v>29</v>
      </c>
      <c r="O28" s="110" t="n">
        <v>707</v>
      </c>
      <c r="P28" s="110" t="n">
        <v>4082</v>
      </c>
      <c r="Q28" s="112"/>
    </row>
    <row r="29" customFormat="false" ht="15" hidden="false" customHeight="true" outlineLevel="0" collapsed="false"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2"/>
    </row>
    <row r="30" s="107" customFormat="true" ht="15" hidden="false" customHeight="true" outlineLevel="0" collapsed="false">
      <c r="A30" s="107" t="s">
        <v>137</v>
      </c>
      <c r="D30" s="112" t="n">
        <v>-2348</v>
      </c>
      <c r="E30" s="112" t="n">
        <v>-3630</v>
      </c>
      <c r="F30" s="112" t="n">
        <v>-3681</v>
      </c>
      <c r="G30" s="112" t="n">
        <v>1273</v>
      </c>
      <c r="H30" s="112" t="n">
        <v>-1966</v>
      </c>
      <c r="I30" s="112" t="n">
        <v>-1243</v>
      </c>
      <c r="J30" s="112" t="n">
        <v>1042</v>
      </c>
      <c r="K30" s="112" t="n">
        <v>2530</v>
      </c>
      <c r="L30" s="112" t="n">
        <v>1310</v>
      </c>
      <c r="M30" s="112" t="n">
        <v>195</v>
      </c>
      <c r="N30" s="112" t="n">
        <v>-5050</v>
      </c>
      <c r="O30" s="112" t="n">
        <v>-8000</v>
      </c>
      <c r="P30" s="112" t="n">
        <v>-19568</v>
      </c>
      <c r="Q30" s="112"/>
    </row>
    <row r="31" customFormat="false" ht="15" hidden="false" customHeight="true" outlineLevel="0" collapsed="false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2"/>
    </row>
    <row r="32" s="107" customFormat="true" ht="15" hidden="false" customHeight="true" outlineLevel="0" collapsed="false">
      <c r="A32" s="107" t="s">
        <v>36</v>
      </c>
      <c r="D32" s="108" t="n">
        <v>4540</v>
      </c>
      <c r="E32" s="108" t="n">
        <v>2011</v>
      </c>
      <c r="F32" s="108" t="n">
        <v>6829</v>
      </c>
      <c r="G32" s="108" t="n">
        <v>8724</v>
      </c>
      <c r="H32" s="108" t="n">
        <v>695</v>
      </c>
      <c r="I32" s="108" t="n">
        <v>-4882</v>
      </c>
      <c r="J32" s="108" t="n">
        <v>-5872</v>
      </c>
      <c r="K32" s="108" t="n">
        <v>1378</v>
      </c>
      <c r="L32" s="108" t="n">
        <v>4058</v>
      </c>
      <c r="M32" s="108" t="n">
        <v>3868</v>
      </c>
      <c r="N32" s="108" t="n">
        <v>-3775</v>
      </c>
      <c r="O32" s="108" t="n">
        <v>11086</v>
      </c>
      <c r="P32" s="108" t="n">
        <v>28660</v>
      </c>
      <c r="Q32" s="112"/>
      <c r="R32" s="161"/>
      <c r="S32" s="161"/>
    </row>
    <row r="33" customFormat="false" ht="15" hidden="false" customHeight="true" outlineLevel="0" collapsed="false">
      <c r="B33" s="100" t="s">
        <v>37</v>
      </c>
      <c r="D33" s="109" t="n">
        <v>89</v>
      </c>
      <c r="E33" s="109" t="n">
        <v>292</v>
      </c>
      <c r="F33" s="109" t="n">
        <v>-312</v>
      </c>
      <c r="G33" s="109" t="n">
        <v>374</v>
      </c>
      <c r="H33" s="109" t="n">
        <v>-561</v>
      </c>
      <c r="I33" s="109" t="n">
        <v>-520</v>
      </c>
      <c r="J33" s="109" t="n">
        <v>-218</v>
      </c>
      <c r="K33" s="109" t="n">
        <v>1223</v>
      </c>
      <c r="L33" s="109" t="n">
        <v>-25</v>
      </c>
      <c r="M33" s="109" t="n">
        <v>1277</v>
      </c>
      <c r="N33" s="109" t="n">
        <v>-53</v>
      </c>
      <c r="O33" s="109" t="n">
        <v>6644</v>
      </c>
      <c r="P33" s="109" t="n">
        <v>8210</v>
      </c>
      <c r="Q33" s="112"/>
    </row>
    <row r="34" customFormat="false" ht="15" hidden="false" customHeight="true" outlineLevel="0" collapsed="false">
      <c r="C34" s="100" t="s">
        <v>38</v>
      </c>
      <c r="D34" s="110" t="n">
        <v>232</v>
      </c>
      <c r="E34" s="110" t="n">
        <v>523</v>
      </c>
      <c r="F34" s="110" t="n">
        <v>551</v>
      </c>
      <c r="G34" s="110" t="n">
        <v>1025</v>
      </c>
      <c r="H34" s="110" t="n">
        <v>116</v>
      </c>
      <c r="I34" s="110" t="n">
        <v>1177</v>
      </c>
      <c r="J34" s="110" t="n">
        <v>233</v>
      </c>
      <c r="K34" s="110" t="n">
        <v>1840</v>
      </c>
      <c r="L34" s="110" t="n">
        <v>843</v>
      </c>
      <c r="M34" s="110" t="n">
        <v>2921</v>
      </c>
      <c r="N34" s="110" t="n">
        <v>875</v>
      </c>
      <c r="O34" s="110" t="n">
        <v>9617</v>
      </c>
      <c r="P34" s="110" t="n">
        <v>19953</v>
      </c>
      <c r="Q34" s="112"/>
    </row>
    <row r="35" customFormat="false" ht="15" hidden="false" customHeight="true" outlineLevel="0" collapsed="false">
      <c r="C35" s="100" t="s">
        <v>39</v>
      </c>
      <c r="D35" s="110" t="n">
        <v>143</v>
      </c>
      <c r="E35" s="110" t="n">
        <v>231</v>
      </c>
      <c r="F35" s="110" t="n">
        <v>863</v>
      </c>
      <c r="G35" s="110" t="n">
        <v>651</v>
      </c>
      <c r="H35" s="110" t="n">
        <v>677</v>
      </c>
      <c r="I35" s="110" t="n">
        <v>1697</v>
      </c>
      <c r="J35" s="110" t="n">
        <v>451</v>
      </c>
      <c r="K35" s="110" t="n">
        <v>617</v>
      </c>
      <c r="L35" s="110" t="n">
        <v>868</v>
      </c>
      <c r="M35" s="110" t="n">
        <v>1644</v>
      </c>
      <c r="N35" s="110" t="n">
        <v>928</v>
      </c>
      <c r="O35" s="110" t="n">
        <v>2973</v>
      </c>
      <c r="P35" s="110" t="n">
        <v>11743</v>
      </c>
      <c r="Q35" s="112"/>
    </row>
    <row r="36" customFormat="false" ht="15" hidden="false" customHeight="true" outlineLevel="0" collapsed="false"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2"/>
    </row>
    <row r="37" customFormat="false" ht="15" hidden="false" customHeight="true" outlineLevel="0" collapsed="false">
      <c r="B37" s="100" t="s">
        <v>40</v>
      </c>
      <c r="D37" s="109" t="n">
        <v>4451</v>
      </c>
      <c r="E37" s="109" t="n">
        <v>1719</v>
      </c>
      <c r="F37" s="109" t="n">
        <v>7141</v>
      </c>
      <c r="G37" s="109" t="n">
        <v>8350</v>
      </c>
      <c r="H37" s="109" t="n">
        <v>1256</v>
      </c>
      <c r="I37" s="109" t="n">
        <v>-4362</v>
      </c>
      <c r="J37" s="109" t="n">
        <v>-5654</v>
      </c>
      <c r="K37" s="109" t="n">
        <v>155</v>
      </c>
      <c r="L37" s="109" t="n">
        <v>4083</v>
      </c>
      <c r="M37" s="109" t="n">
        <v>2591</v>
      </c>
      <c r="N37" s="109" t="n">
        <v>-3722</v>
      </c>
      <c r="O37" s="109" t="n">
        <v>4442</v>
      </c>
      <c r="P37" s="109" t="n">
        <v>20450</v>
      </c>
      <c r="Q37" s="112"/>
    </row>
    <row r="38" customFormat="false" ht="15" hidden="false" customHeight="true" outlineLevel="0" collapsed="false">
      <c r="C38" s="100" t="s">
        <v>41</v>
      </c>
      <c r="D38" s="110" t="n">
        <v>5748</v>
      </c>
      <c r="E38" s="110" t="n">
        <v>3109</v>
      </c>
      <c r="F38" s="110" t="n">
        <v>8193</v>
      </c>
      <c r="G38" s="110" t="n">
        <v>9717</v>
      </c>
      <c r="H38" s="110" t="n">
        <v>1548</v>
      </c>
      <c r="I38" s="110" t="n">
        <v>-3783</v>
      </c>
      <c r="J38" s="110" t="n">
        <v>-4233</v>
      </c>
      <c r="K38" s="110" t="n">
        <v>2342</v>
      </c>
      <c r="L38" s="110" t="n">
        <v>6292</v>
      </c>
      <c r="M38" s="110" t="n">
        <v>3325</v>
      </c>
      <c r="N38" s="110" t="n">
        <v>-1039</v>
      </c>
      <c r="O38" s="110" t="n">
        <v>5991</v>
      </c>
      <c r="P38" s="110" t="n">
        <v>37210</v>
      </c>
      <c r="Q38" s="112"/>
    </row>
    <row r="39" customFormat="false" ht="15" hidden="false" customHeight="true" outlineLevel="0" collapsed="false">
      <c r="C39" s="100" t="s">
        <v>39</v>
      </c>
      <c r="D39" s="110" t="n">
        <v>1297</v>
      </c>
      <c r="E39" s="110" t="n">
        <v>1390</v>
      </c>
      <c r="F39" s="110" t="n">
        <v>1052</v>
      </c>
      <c r="G39" s="110" t="n">
        <v>1367</v>
      </c>
      <c r="H39" s="110" t="n">
        <v>292</v>
      </c>
      <c r="I39" s="110" t="n">
        <v>579</v>
      </c>
      <c r="J39" s="110" t="n">
        <v>1421</v>
      </c>
      <c r="K39" s="110" t="n">
        <v>2187</v>
      </c>
      <c r="L39" s="110" t="n">
        <v>2209</v>
      </c>
      <c r="M39" s="110" t="n">
        <v>734</v>
      </c>
      <c r="N39" s="110" t="n">
        <v>2683</v>
      </c>
      <c r="O39" s="110" t="n">
        <v>1549</v>
      </c>
      <c r="P39" s="110" t="n">
        <v>16760</v>
      </c>
      <c r="Q39" s="112"/>
    </row>
    <row r="40" customFormat="false" ht="15" hidden="false" customHeight="true" outlineLevel="0" collapsed="false"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2"/>
    </row>
    <row r="41" s="107" customFormat="true" ht="15" hidden="false" customHeight="true" outlineLevel="0" collapsed="false">
      <c r="A41" s="107" t="s">
        <v>163</v>
      </c>
      <c r="D41" s="108" t="n">
        <v>2880</v>
      </c>
      <c r="E41" s="108" t="n">
        <v>-2115</v>
      </c>
      <c r="F41" s="108" t="n">
        <v>3772</v>
      </c>
      <c r="G41" s="108" t="n">
        <v>10376</v>
      </c>
      <c r="H41" s="108" t="n">
        <v>-1121</v>
      </c>
      <c r="I41" s="108" t="n">
        <v>-5866</v>
      </c>
      <c r="J41" s="108" t="n">
        <v>-4617</v>
      </c>
      <c r="K41" s="108" t="n">
        <v>4127</v>
      </c>
      <c r="L41" s="108" t="n">
        <v>8241</v>
      </c>
      <c r="M41" s="108" t="n">
        <v>2101</v>
      </c>
      <c r="N41" s="108" t="n">
        <v>-8675</v>
      </c>
      <c r="O41" s="108" t="n">
        <v>4079</v>
      </c>
      <c r="P41" s="108" t="n">
        <v>13182</v>
      </c>
      <c r="Q41" s="112"/>
    </row>
    <row r="42" customFormat="false" ht="15.75" hidden="false" customHeight="false" outlineLevel="0" collapsed="false">
      <c r="A42" s="113"/>
      <c r="B42" s="113"/>
      <c r="C42" s="113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12"/>
    </row>
    <row r="43" s="110" customFormat="true" ht="15.75" hidden="false" customHeight="false" outlineLevel="0" collapsed="false">
      <c r="B43" s="100"/>
      <c r="C43" s="100"/>
      <c r="Q43" s="112"/>
    </row>
    <row r="45" customFormat="false" ht="14.25" hidden="false" customHeight="false" outlineLevel="0" collapsed="false"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</row>
    <row r="47" customFormat="false" ht="14.25" hidden="false" customHeight="false" outlineLevel="0" collapsed="false">
      <c r="A47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28" activeCellId="0" sqref="R28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2.29"/>
    <col collapsed="false" customWidth="true" hidden="false" outlineLevel="0" max="18" min="6" style="1" width="11.42"/>
    <col collapsed="false" customWidth="false" hidden="false" outlineLevel="0" max="1024" min="19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customFormat="false" ht="15" hidden="false" customHeight="false" outlineLevel="0" collapsed="false">
      <c r="A2" s="2" t="s">
        <v>86</v>
      </c>
      <c r="B2" s="2"/>
      <c r="C2" s="2"/>
      <c r="D2" s="2"/>
      <c r="E2" s="2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customFormat="false" ht="14.25" hidden="false" customHeight="false" outlineLevel="0" collapsed="false">
      <c r="A4" s="4" t="s">
        <v>3</v>
      </c>
      <c r="B4" s="3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customFormat="false" ht="6" hidden="false" customHeight="true" outlineLevel="0" collapsed="false"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="6" customFormat="true" ht="23.25" hidden="false" customHeight="true" outlineLevel="0" collapsed="false">
      <c r="A6" s="86" t="s">
        <v>4</v>
      </c>
      <c r="B6" s="86"/>
      <c r="C6" s="86"/>
      <c r="D6" s="86"/>
      <c r="E6" s="86"/>
      <c r="F6" s="87" t="s">
        <v>5</v>
      </c>
      <c r="G6" s="87" t="s">
        <v>6</v>
      </c>
      <c r="H6" s="87" t="s">
        <v>7</v>
      </c>
      <c r="I6" s="87" t="s">
        <v>8</v>
      </c>
      <c r="J6" s="87" t="s">
        <v>9</v>
      </c>
      <c r="K6" s="87" t="s">
        <v>10</v>
      </c>
      <c r="L6" s="87" t="s">
        <v>53</v>
      </c>
      <c r="M6" s="87" t="s">
        <v>54</v>
      </c>
      <c r="N6" s="87" t="s">
        <v>55</v>
      </c>
      <c r="O6" s="87" t="s">
        <v>56</v>
      </c>
      <c r="P6" s="87" t="s">
        <v>57</v>
      </c>
      <c r="Q6" s="87" t="s">
        <v>58</v>
      </c>
      <c r="R6" s="88" t="s">
        <v>11</v>
      </c>
    </row>
    <row r="7" customFormat="false" ht="15" hidden="false" customHeight="false" outlineLevel="0" collapsed="false"/>
    <row r="8" customFormat="false" ht="15" hidden="false" customHeight="false" outlineLevel="0" collapsed="false">
      <c r="B8" s="7" t="s">
        <v>12</v>
      </c>
      <c r="C8" s="7"/>
      <c r="D8" s="7"/>
      <c r="E8" s="7"/>
      <c r="F8" s="34" t="n">
        <f aca="false">+F9+F19+F26</f>
        <v>256742</v>
      </c>
      <c r="G8" s="34" t="n">
        <f aca="false">+G9+G19+G26</f>
        <v>202085.35</v>
      </c>
      <c r="H8" s="34" t="n">
        <f aca="false">+H9+H19+H26</f>
        <v>228918</v>
      </c>
      <c r="I8" s="34" t="n">
        <f aca="false">+I9+I19+I26</f>
        <v>308676</v>
      </c>
      <c r="J8" s="34" t="n">
        <f aca="false">+J9+J19+J26</f>
        <v>317236</v>
      </c>
      <c r="K8" s="34" t="n">
        <f aca="false">+K9+K19+K26</f>
        <v>233886</v>
      </c>
      <c r="L8" s="34" t="n">
        <f aca="false">+L9+L19+L26</f>
        <v>264094</v>
      </c>
      <c r="M8" s="34" t="n">
        <f aca="false">+M9+M19+M26</f>
        <v>279745</v>
      </c>
      <c r="N8" s="34" t="n">
        <f aca="false">+N9+N19+N26</f>
        <v>236528</v>
      </c>
      <c r="O8" s="34" t="n">
        <f aca="false">+O9+O19+O26</f>
        <v>261553</v>
      </c>
      <c r="P8" s="34" t="n">
        <f aca="false">+P9+P19+P26</f>
        <v>304749</v>
      </c>
      <c r="Q8" s="34" t="n">
        <f aca="false">+Q9+Q19+Q26</f>
        <v>243286</v>
      </c>
      <c r="R8" s="34" t="n">
        <f aca="false">+R9+R19+R26</f>
        <v>3137498.35</v>
      </c>
      <c r="S8" s="35"/>
    </row>
    <row r="9" customFormat="false" ht="14.25" hidden="false" customHeight="false" outlineLevel="0" collapsed="false">
      <c r="C9" s="1" t="s">
        <v>13</v>
      </c>
      <c r="F9" s="39" t="n">
        <f aca="false">+F10+F14+F17</f>
        <v>235238</v>
      </c>
      <c r="G9" s="39" t="n">
        <f aca="false">+G10+G14+G17</f>
        <v>182500</v>
      </c>
      <c r="H9" s="39" t="n">
        <f aca="false">+H10+H14+H17</f>
        <v>198296</v>
      </c>
      <c r="I9" s="39" t="n">
        <f aca="false">+I10+I14+I17</f>
        <v>288725</v>
      </c>
      <c r="J9" s="39" t="n">
        <f aca="false">+J10+J14+J17</f>
        <v>265560</v>
      </c>
      <c r="K9" s="39" t="n">
        <f aca="false">+K10+K14+K17</f>
        <v>210548</v>
      </c>
      <c r="L9" s="39" t="n">
        <f aca="false">+L10+L14+L17</f>
        <v>236786</v>
      </c>
      <c r="M9" s="39" t="n">
        <f aca="false">+M10+M14+M17</f>
        <v>261764</v>
      </c>
      <c r="N9" s="39" t="n">
        <f aca="false">+N10+N14+N17</f>
        <v>210950</v>
      </c>
      <c r="O9" s="39" t="n">
        <f aca="false">+O10+O14+O17</f>
        <v>237562</v>
      </c>
      <c r="P9" s="39" t="n">
        <f aca="false">+P10+P14+P17</f>
        <v>284192</v>
      </c>
      <c r="Q9" s="39" t="n">
        <f aca="false">+Q10+Q14+Q17</f>
        <v>215530</v>
      </c>
      <c r="R9" s="39" t="n">
        <f aca="false">+R10+R14+R17</f>
        <v>2827651</v>
      </c>
      <c r="S9" s="35"/>
    </row>
    <row r="10" customFormat="false" ht="14.25" hidden="false" customHeight="false" outlineLevel="0" collapsed="false">
      <c r="D10" s="1" t="s">
        <v>14</v>
      </c>
      <c r="F10" s="35" t="n">
        <v>185088</v>
      </c>
      <c r="G10" s="35" t="n">
        <v>135720</v>
      </c>
      <c r="H10" s="35" t="n">
        <v>147411</v>
      </c>
      <c r="I10" s="35" t="n">
        <v>235461</v>
      </c>
      <c r="J10" s="35" t="n">
        <v>204838</v>
      </c>
      <c r="K10" s="35" t="n">
        <v>157829</v>
      </c>
      <c r="L10" s="35" t="n">
        <v>180341</v>
      </c>
      <c r="M10" s="35" t="n">
        <v>205587</v>
      </c>
      <c r="N10" s="35" t="n">
        <v>150475</v>
      </c>
      <c r="O10" s="35" t="n">
        <v>178122</v>
      </c>
      <c r="P10" s="35" t="n">
        <v>232059</v>
      </c>
      <c r="Q10" s="35" t="n">
        <v>162575</v>
      </c>
      <c r="R10" s="35" t="n">
        <f aca="false">+F10+G10+H10+I10+J10+K10+L10+M10+N10+O10+P10+Q10</f>
        <v>2175506</v>
      </c>
    </row>
    <row r="11" customFormat="false" ht="14.25" hidden="false" customHeight="false" outlineLevel="0" collapsed="false">
      <c r="E11" s="6" t="s">
        <v>15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customFormat="false" ht="14.25" hidden="false" customHeight="false" outlineLevel="0" collapsed="false">
      <c r="E12" s="1" t="s">
        <v>16</v>
      </c>
      <c r="F12" s="35" t="n">
        <v>1131</v>
      </c>
      <c r="G12" s="35" t="n">
        <v>1160</v>
      </c>
      <c r="H12" s="35" t="n">
        <v>1336</v>
      </c>
      <c r="I12" s="35" t="n">
        <v>2565</v>
      </c>
      <c r="J12" s="35" t="n">
        <v>487</v>
      </c>
      <c r="K12" s="35" t="n">
        <v>1201</v>
      </c>
      <c r="L12" s="35" t="n">
        <v>592</v>
      </c>
      <c r="M12" s="35" t="n">
        <v>611</v>
      </c>
      <c r="N12" s="35" t="n">
        <v>1170</v>
      </c>
      <c r="O12" s="35" t="n">
        <v>409</v>
      </c>
      <c r="P12" s="35" t="n">
        <v>725</v>
      </c>
      <c r="Q12" s="35" t="n">
        <v>415</v>
      </c>
      <c r="R12" s="35" t="n">
        <f aca="false">+F12+G12+H12+I12+J12+K12+L12+M12+N12+O12+P12+Q12</f>
        <v>11802</v>
      </c>
    </row>
    <row r="13" customFormat="false" ht="14.25" hidden="false" customHeight="false" outlineLevel="0" collapsed="false">
      <c r="E13" s="1" t="s">
        <v>17</v>
      </c>
      <c r="F13" s="35" t="n">
        <v>0</v>
      </c>
      <c r="G13" s="35" t="n">
        <v>0</v>
      </c>
      <c r="H13" s="35" t="n">
        <v>75</v>
      </c>
      <c r="I13" s="35" t="n">
        <v>0</v>
      </c>
      <c r="J13" s="35" t="n">
        <v>1539</v>
      </c>
      <c r="K13" s="35" t="n">
        <v>1045</v>
      </c>
      <c r="L13" s="35" t="n">
        <v>0</v>
      </c>
      <c r="M13" s="35" t="n">
        <v>5</v>
      </c>
      <c r="N13" s="35" t="n">
        <v>1841</v>
      </c>
      <c r="O13" s="35" t="n">
        <v>176</v>
      </c>
      <c r="P13" s="35" t="n">
        <v>627</v>
      </c>
      <c r="Q13" s="35" t="n">
        <v>163</v>
      </c>
      <c r="R13" s="35" t="n">
        <f aca="false">+F13+G13+H13+I13+J13+K13+L13+M13+N13+O13+P13+Q13</f>
        <v>5471</v>
      </c>
    </row>
    <row r="14" customFormat="false" ht="14.25" hidden="false" customHeight="false" outlineLevel="0" collapsed="false">
      <c r="D14" s="1" t="s">
        <v>18</v>
      </c>
      <c r="F14" s="35" t="n">
        <v>48376</v>
      </c>
      <c r="G14" s="35" t="n">
        <v>44200</v>
      </c>
      <c r="H14" s="35" t="n">
        <v>49294</v>
      </c>
      <c r="I14" s="35" t="n">
        <v>51674</v>
      </c>
      <c r="J14" s="35" t="n">
        <v>58168</v>
      </c>
      <c r="K14" s="35" t="n">
        <v>51298</v>
      </c>
      <c r="L14" s="35" t="n">
        <v>54644</v>
      </c>
      <c r="M14" s="35" t="n">
        <v>53593</v>
      </c>
      <c r="N14" s="35" t="n">
        <v>58802</v>
      </c>
      <c r="O14" s="35" t="n">
        <v>57652</v>
      </c>
      <c r="P14" s="35" t="n">
        <v>50414</v>
      </c>
      <c r="Q14" s="35" t="n">
        <v>52195</v>
      </c>
      <c r="R14" s="35" t="n">
        <f aca="false">+F14+G14+H14+I14+J14+K14+L14+M14+N14+O14+P14+Q14</f>
        <v>630310</v>
      </c>
    </row>
    <row r="15" customFormat="false" ht="14.25" hidden="false" customHeight="false" outlineLevel="0" collapsed="false">
      <c r="E15" s="6" t="s">
        <v>15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customFormat="false" ht="14.25" hidden="false" customHeight="false" outlineLevel="0" collapsed="false">
      <c r="E16" s="1" t="s">
        <v>17</v>
      </c>
      <c r="F16" s="35" t="n">
        <v>150</v>
      </c>
      <c r="G16" s="35" t="n">
        <v>123</v>
      </c>
      <c r="H16" s="35" t="n">
        <v>12</v>
      </c>
      <c r="I16" s="35" t="n">
        <v>343</v>
      </c>
      <c r="J16" s="35" t="n">
        <v>263</v>
      </c>
      <c r="K16" s="35" t="n">
        <v>150</v>
      </c>
      <c r="L16" s="35" t="n">
        <v>11</v>
      </c>
      <c r="M16" s="35" t="n">
        <v>3527</v>
      </c>
      <c r="N16" s="35" t="n">
        <v>2731</v>
      </c>
      <c r="O16" s="35" t="n">
        <v>266</v>
      </c>
      <c r="P16" s="35" t="n">
        <v>361</v>
      </c>
      <c r="Q16" s="35" t="n">
        <v>2105</v>
      </c>
      <c r="R16" s="35" t="n">
        <f aca="false">+F16+G16+H16+I16+J16+K16+L16+M16+N16+O16+P16+Q16</f>
        <v>10042</v>
      </c>
    </row>
    <row r="17" customFormat="false" ht="14.25" hidden="false" customHeight="false" outlineLevel="0" collapsed="false">
      <c r="D17" s="1" t="s">
        <v>87</v>
      </c>
      <c r="F17" s="35" t="n">
        <v>1774</v>
      </c>
      <c r="G17" s="35" t="n">
        <v>2580</v>
      </c>
      <c r="H17" s="35" t="n">
        <v>1591</v>
      </c>
      <c r="I17" s="35" t="n">
        <v>1590</v>
      </c>
      <c r="J17" s="35" t="n">
        <v>2554</v>
      </c>
      <c r="K17" s="35" t="n">
        <v>1421</v>
      </c>
      <c r="L17" s="35" t="n">
        <v>1801</v>
      </c>
      <c r="M17" s="35" t="n">
        <v>2584</v>
      </c>
      <c r="N17" s="35" t="n">
        <v>1673</v>
      </c>
      <c r="O17" s="35" t="n">
        <v>1788</v>
      </c>
      <c r="P17" s="35" t="n">
        <v>1719</v>
      </c>
      <c r="Q17" s="35" t="n">
        <v>760</v>
      </c>
      <c r="R17" s="35" t="n">
        <f aca="false">+F17+G17+H17+I17+J17+K17+L17+M17+N17+O17+P17+Q17</f>
        <v>21835</v>
      </c>
    </row>
    <row r="18" customFormat="false" ht="14.25" hidden="false" customHeight="false" outlineLevel="0" collapsed="false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customFormat="false" ht="15" hidden="false" customHeight="false" outlineLevel="0" collapsed="false">
      <c r="C19" s="1" t="s">
        <v>20</v>
      </c>
      <c r="F19" s="34" t="n">
        <f aca="false">SUM(F20:F24)</f>
        <v>21504</v>
      </c>
      <c r="G19" s="34" t="n">
        <f aca="false">SUM(G20:G24)</f>
        <v>19581.35</v>
      </c>
      <c r="H19" s="34" t="n">
        <f aca="false">SUM(H20:H24)</f>
        <v>30593</v>
      </c>
      <c r="I19" s="34" t="n">
        <f aca="false">SUM(I20:I24)</f>
        <v>19943</v>
      </c>
      <c r="J19" s="34" t="n">
        <f aca="false">SUM(J20:J24)</f>
        <v>51670</v>
      </c>
      <c r="K19" s="34" t="n">
        <f aca="false">SUM(K20:K24)</f>
        <v>23247</v>
      </c>
      <c r="L19" s="34" t="n">
        <f aca="false">SUM(L20:L24)</f>
        <v>27307</v>
      </c>
      <c r="M19" s="34" t="n">
        <f aca="false">SUM(M20:M24)</f>
        <v>17981</v>
      </c>
      <c r="N19" s="34" t="n">
        <f aca="false">SUM(N20:N24)</f>
        <v>25572</v>
      </c>
      <c r="O19" s="34" t="n">
        <f aca="false">SUM(O20:O24)</f>
        <v>23946</v>
      </c>
      <c r="P19" s="34" t="n">
        <f aca="false">SUM(P20:P24)</f>
        <v>20557</v>
      </c>
      <c r="Q19" s="34" t="n">
        <f aca="false">SUM(Q20:Q24)</f>
        <v>27687</v>
      </c>
      <c r="R19" s="34" t="n">
        <f aca="false">SUM(R20:R24)</f>
        <v>309588.35</v>
      </c>
    </row>
    <row r="20" customFormat="false" ht="14.25" hidden="false" customHeight="false" outlineLevel="0" collapsed="false">
      <c r="D20" s="1" t="s">
        <v>21</v>
      </c>
      <c r="F20" s="35" t="n">
        <v>9608</v>
      </c>
      <c r="G20" s="35" t="n">
        <v>9181</v>
      </c>
      <c r="H20" s="35" t="n">
        <v>12046</v>
      </c>
      <c r="I20" s="35" t="n">
        <v>10454</v>
      </c>
      <c r="J20" s="35" t="n">
        <v>35666</v>
      </c>
      <c r="K20" s="35" t="n">
        <v>10681</v>
      </c>
      <c r="L20" s="35" t="n">
        <v>14360</v>
      </c>
      <c r="M20" s="35" t="n">
        <v>5913</v>
      </c>
      <c r="N20" s="35" t="n">
        <v>10701</v>
      </c>
      <c r="O20" s="35" t="n">
        <v>10612</v>
      </c>
      <c r="P20" s="35" t="n">
        <v>5495</v>
      </c>
      <c r="Q20" s="35" t="n">
        <v>11805</v>
      </c>
      <c r="R20" s="35" t="n">
        <f aca="false">+F20+G20+H20+I20+J20+K20+L20+M20+N20+O20+P20+Q20</f>
        <v>146522</v>
      </c>
    </row>
    <row r="21" customFormat="false" ht="14.25" hidden="false" customHeight="false" outlineLevel="0" collapsed="false">
      <c r="D21" s="1" t="s">
        <v>88</v>
      </c>
      <c r="F21" s="35" t="n">
        <v>5785</v>
      </c>
      <c r="G21" s="35" t="n">
        <v>3245</v>
      </c>
      <c r="H21" s="35" t="n">
        <v>4493</v>
      </c>
      <c r="I21" s="35" t="n">
        <v>4102</v>
      </c>
      <c r="J21" s="35" t="n">
        <v>3439</v>
      </c>
      <c r="K21" s="35" t="n">
        <v>3318</v>
      </c>
      <c r="L21" s="35" t="n">
        <v>5290</v>
      </c>
      <c r="M21" s="35" t="n">
        <v>4881</v>
      </c>
      <c r="N21" s="35" t="n">
        <v>5045</v>
      </c>
      <c r="O21" s="35" t="n">
        <v>7326</v>
      </c>
      <c r="P21" s="35" t="n">
        <v>3465</v>
      </c>
      <c r="Q21" s="35" t="n">
        <v>5009</v>
      </c>
      <c r="R21" s="35" t="n">
        <f aca="false">+F21+G21+H21+I21+J21+K21+L21+M21+N21+O21+P21+Q21</f>
        <v>55398</v>
      </c>
    </row>
    <row r="22" customFormat="false" ht="14.25" hidden="false" customHeight="false" outlineLevel="0" collapsed="false">
      <c r="D22" s="1" t="s">
        <v>23</v>
      </c>
      <c r="F22" s="35" t="n">
        <v>0</v>
      </c>
      <c r="G22" s="35" t="n">
        <v>11.35</v>
      </c>
      <c r="H22" s="35" t="n">
        <v>16</v>
      </c>
      <c r="I22" s="35" t="n">
        <v>23</v>
      </c>
      <c r="J22" s="35" t="n">
        <v>198</v>
      </c>
      <c r="K22" s="35" t="n">
        <v>14</v>
      </c>
      <c r="L22" s="35" t="n">
        <v>20</v>
      </c>
      <c r="M22" s="35" t="n">
        <v>17</v>
      </c>
      <c r="N22" s="35" t="n">
        <v>8</v>
      </c>
      <c r="O22" s="35" t="n">
        <v>184</v>
      </c>
      <c r="P22" s="35" t="n">
        <v>-143</v>
      </c>
      <c r="Q22" s="35" t="n">
        <v>534</v>
      </c>
      <c r="R22" s="35" t="n">
        <f aca="false">+F22+G22+H22+I22+J22+K22+L22+M22+N22+O22+P22+Q22</f>
        <v>882.35</v>
      </c>
    </row>
    <row r="23" customFormat="false" ht="14.25" hidden="false" customHeight="false" outlineLevel="0" collapsed="false">
      <c r="D23" s="1" t="s">
        <v>24</v>
      </c>
      <c r="F23" s="35" t="n">
        <v>2464</v>
      </c>
      <c r="G23" s="35" t="n">
        <v>2092</v>
      </c>
      <c r="H23" s="35" t="n">
        <v>2213</v>
      </c>
      <c r="I23" s="35" t="n">
        <v>2274</v>
      </c>
      <c r="J23" s="35" t="n">
        <v>2317</v>
      </c>
      <c r="K23" s="35" t="n">
        <v>2487</v>
      </c>
      <c r="L23" s="35" t="n">
        <v>2754</v>
      </c>
      <c r="M23" s="35" t="n">
        <v>2467</v>
      </c>
      <c r="N23" s="35" t="n">
        <v>2119</v>
      </c>
      <c r="O23" s="35" t="n">
        <v>1802</v>
      </c>
      <c r="P23" s="35" t="n">
        <v>1872</v>
      </c>
      <c r="Q23" s="35" t="n">
        <v>1705</v>
      </c>
      <c r="R23" s="35" t="n">
        <f aca="false">+F23+G23+H23+I23+J23+K23+L23+M23+N23+O23+P23+Q23</f>
        <v>26566</v>
      </c>
    </row>
    <row r="24" customFormat="false" ht="14.25" hidden="false" customHeight="false" outlineLevel="0" collapsed="false">
      <c r="D24" s="1" t="s">
        <v>25</v>
      </c>
      <c r="F24" s="35" t="n">
        <v>3647</v>
      </c>
      <c r="G24" s="35" t="n">
        <v>5052</v>
      </c>
      <c r="H24" s="35" t="n">
        <v>11825</v>
      </c>
      <c r="I24" s="35" t="n">
        <v>3090</v>
      </c>
      <c r="J24" s="35" t="n">
        <v>10050</v>
      </c>
      <c r="K24" s="35" t="n">
        <v>6747</v>
      </c>
      <c r="L24" s="35" t="n">
        <v>4883</v>
      </c>
      <c r="M24" s="35" t="n">
        <v>4703</v>
      </c>
      <c r="N24" s="35" t="n">
        <v>7699</v>
      </c>
      <c r="O24" s="35" t="n">
        <v>4022</v>
      </c>
      <c r="P24" s="35" t="n">
        <v>9868</v>
      </c>
      <c r="Q24" s="35" t="n">
        <v>8634</v>
      </c>
      <c r="R24" s="35" t="n">
        <f aca="false">+F24+G24+H24+I24+J24+K24+L24+M24+N24+O24+P24+Q24</f>
        <v>80220</v>
      </c>
    </row>
    <row r="25" customFormat="false" ht="14.25" hidden="false" customHeight="false" outlineLevel="0" collapsed="false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customFormat="false" ht="14.25" hidden="false" customHeight="false" outlineLevel="0" collapsed="false">
      <c r="C26" s="1" t="s">
        <v>26</v>
      </c>
      <c r="F26" s="35" t="n">
        <v>0</v>
      </c>
      <c r="G26" s="35" t="n">
        <v>4</v>
      </c>
      <c r="H26" s="35" t="n">
        <v>29</v>
      </c>
      <c r="I26" s="35" t="n">
        <v>8</v>
      </c>
      <c r="J26" s="35" t="n">
        <v>6</v>
      </c>
      <c r="K26" s="35" t="n">
        <v>91</v>
      </c>
      <c r="L26" s="35" t="n">
        <v>1</v>
      </c>
      <c r="M26" s="35" t="n">
        <v>0</v>
      </c>
      <c r="N26" s="35" t="n">
        <v>6</v>
      </c>
      <c r="O26" s="35" t="n">
        <v>45</v>
      </c>
      <c r="P26" s="35" t="n">
        <v>0</v>
      </c>
      <c r="Q26" s="35" t="n">
        <v>69</v>
      </c>
      <c r="R26" s="35" t="n">
        <f aca="false">+F26+G26+H26+I26+J26+K26+L26+M26+N26+O26+P26+Q26</f>
        <v>259</v>
      </c>
    </row>
    <row r="27" customFormat="false" ht="14.25" hidden="false" customHeight="false" outlineLevel="0" collapsed="false">
      <c r="F27" s="35" t="s">
        <v>59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customFormat="false" ht="15" hidden="false" customHeight="false" outlineLevel="0" collapsed="false">
      <c r="B28" s="7" t="s">
        <v>27</v>
      </c>
      <c r="C28" s="7"/>
      <c r="D28" s="7"/>
      <c r="E28" s="7"/>
      <c r="F28" s="34" t="n">
        <f aca="false">SUM(F30:F36)</f>
        <v>212205</v>
      </c>
      <c r="G28" s="34" t="n">
        <f aca="false">SUM(G30:G36)</f>
        <v>278458</v>
      </c>
      <c r="H28" s="34" t="n">
        <f aca="false">SUM(H30:H36)</f>
        <v>287327</v>
      </c>
      <c r="I28" s="34" t="n">
        <f aca="false">SUM(I30:I36)</f>
        <v>221804</v>
      </c>
      <c r="J28" s="34" t="n">
        <f aca="false">SUM(J30:J36)</f>
        <v>314672</v>
      </c>
      <c r="K28" s="34" t="n">
        <f aca="false">SUM(K30:K36)</f>
        <v>275724</v>
      </c>
      <c r="L28" s="34" t="n">
        <f aca="false">SUM(L30:L36)</f>
        <v>339390</v>
      </c>
      <c r="M28" s="34" t="n">
        <f aca="false">SUM(M30:M36)</f>
        <v>282233</v>
      </c>
      <c r="N28" s="34" t="n">
        <f aca="false">SUM(N30:N36)</f>
        <v>415085</v>
      </c>
      <c r="O28" s="34" t="n">
        <f aca="false">SUM(O30:O36)</f>
        <v>310815</v>
      </c>
      <c r="P28" s="34" t="n">
        <f aca="false">SUM(P30:P36)</f>
        <v>365632</v>
      </c>
      <c r="Q28" s="34" t="n">
        <f aca="false">SUM(Q30:Q36)</f>
        <v>494389</v>
      </c>
      <c r="R28" s="34" t="n">
        <f aca="false">SUM(R30:R36)</f>
        <v>3797734</v>
      </c>
    </row>
    <row r="29" customFormat="false" ht="8.25" hidden="false" customHeight="true" outlineLevel="0" collapsed="false"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customFormat="false" ht="14.25" hidden="false" customHeight="false" outlineLevel="0" collapsed="false">
      <c r="D30" s="1" t="s">
        <v>28</v>
      </c>
      <c r="F30" s="35" t="n">
        <v>0</v>
      </c>
      <c r="G30" s="89" t="n">
        <v>97328</v>
      </c>
      <c r="H30" s="89" t="n">
        <v>52173</v>
      </c>
      <c r="I30" s="89" t="n">
        <v>47967</v>
      </c>
      <c r="J30" s="89" t="n">
        <v>47957</v>
      </c>
      <c r="K30" s="89" t="n">
        <v>50293</v>
      </c>
      <c r="L30" s="89" t="n">
        <v>49166</v>
      </c>
      <c r="M30" s="89" t="n">
        <v>53670</v>
      </c>
      <c r="N30" s="89" t="n">
        <v>59812</v>
      </c>
      <c r="O30" s="89" t="n">
        <v>53847</v>
      </c>
      <c r="P30" s="89" t="n">
        <v>51999</v>
      </c>
      <c r="Q30" s="89" t="n">
        <v>53784</v>
      </c>
      <c r="R30" s="35" t="n">
        <f aca="false">+F30+G30+H30+I30+J30+K30+L30+M30+N30+O30+P30+Q30</f>
        <v>617996</v>
      </c>
    </row>
    <row r="31" customFormat="false" ht="14.25" hidden="false" customHeight="false" outlineLevel="0" collapsed="false">
      <c r="D31" s="1" t="s">
        <v>29</v>
      </c>
      <c r="F31" s="35" t="n">
        <v>45916</v>
      </c>
      <c r="G31" s="35" t="n">
        <v>25302</v>
      </c>
      <c r="H31" s="35" t="n">
        <v>36552</v>
      </c>
      <c r="I31" s="35" t="n">
        <v>23536</v>
      </c>
      <c r="J31" s="35" t="n">
        <v>19669</v>
      </c>
      <c r="K31" s="35" t="n">
        <v>29096</v>
      </c>
      <c r="L31" s="35" t="n">
        <v>50965</v>
      </c>
      <c r="M31" s="35" t="n">
        <v>19611</v>
      </c>
      <c r="N31" s="35" t="n">
        <v>43094</v>
      </c>
      <c r="O31" s="35" t="n">
        <v>20724</v>
      </c>
      <c r="P31" s="35" t="n">
        <v>17287</v>
      </c>
      <c r="Q31" s="35" t="n">
        <v>29122</v>
      </c>
      <c r="R31" s="35" t="n">
        <f aca="false">+F31+G31+H31+I31+J31+K31+L31+M31+N31+O31+P31+Q31</f>
        <v>360874</v>
      </c>
      <c r="T31" s="1" t="s">
        <v>59</v>
      </c>
    </row>
    <row r="32" customFormat="false" ht="14.25" hidden="false" customHeight="false" outlineLevel="0" collapsed="false">
      <c r="D32" s="1" t="s">
        <v>30</v>
      </c>
      <c r="F32" s="35" t="n">
        <v>1281</v>
      </c>
      <c r="G32" s="35" t="n">
        <v>1283</v>
      </c>
      <c r="H32" s="35" t="n">
        <v>1423</v>
      </c>
      <c r="I32" s="35" t="n">
        <v>2908</v>
      </c>
      <c r="J32" s="35" t="n">
        <v>2289</v>
      </c>
      <c r="K32" s="35" t="n">
        <v>2396</v>
      </c>
      <c r="L32" s="35" t="n">
        <v>603</v>
      </c>
      <c r="M32" s="35" t="n">
        <v>4143</v>
      </c>
      <c r="N32" s="35" t="n">
        <v>5742</v>
      </c>
      <c r="O32" s="35" t="n">
        <v>851</v>
      </c>
      <c r="P32" s="35" t="n">
        <v>1713</v>
      </c>
      <c r="Q32" s="35" t="n">
        <v>2683</v>
      </c>
      <c r="R32" s="35" t="n">
        <f aca="false">+F32+G32+H32+I32+J32+K32+L32+M32+N32+O32+P32+Q32</f>
        <v>27315</v>
      </c>
    </row>
    <row r="33" customFormat="false" ht="13.5" hidden="false" customHeight="true" outlineLevel="0" collapsed="false">
      <c r="D33" s="1" t="s">
        <v>77</v>
      </c>
      <c r="F33" s="35" t="n">
        <v>795</v>
      </c>
      <c r="G33" s="35" t="n">
        <v>2769</v>
      </c>
      <c r="H33" s="35" t="n">
        <v>5740</v>
      </c>
      <c r="I33" s="35" t="n">
        <v>5115</v>
      </c>
      <c r="J33" s="35" t="n">
        <v>5239</v>
      </c>
      <c r="K33" s="35" t="n">
        <v>7040</v>
      </c>
      <c r="L33" s="35" t="n">
        <v>38288</v>
      </c>
      <c r="M33" s="35" t="n">
        <v>31808</v>
      </c>
      <c r="N33" s="35" t="n">
        <v>60275</v>
      </c>
      <c r="O33" s="35" t="n">
        <v>7238</v>
      </c>
      <c r="P33" s="35" t="n">
        <v>11815</v>
      </c>
      <c r="Q33" s="35" t="n">
        <v>25402</v>
      </c>
      <c r="R33" s="35" t="n">
        <f aca="false">+F33+G33+H33+I33+J33+K33+L33+M33+N33+O33+P33+Q33</f>
        <v>201524</v>
      </c>
    </row>
    <row r="34" customFormat="false" ht="14.25" hidden="false" customHeight="false" outlineLevel="0" collapsed="false">
      <c r="D34" s="1" t="s">
        <v>32</v>
      </c>
      <c r="F34" s="35" t="n">
        <v>0</v>
      </c>
      <c r="G34" s="90" t="n">
        <v>20</v>
      </c>
      <c r="H34" s="90" t="n">
        <v>22</v>
      </c>
      <c r="I34" s="90" t="n">
        <v>51</v>
      </c>
      <c r="J34" s="90" t="n">
        <v>75</v>
      </c>
      <c r="K34" s="90" t="n">
        <v>409</v>
      </c>
      <c r="L34" s="90" t="n">
        <v>163</v>
      </c>
      <c r="M34" s="90" t="n">
        <v>86</v>
      </c>
      <c r="N34" s="90" t="n">
        <v>854</v>
      </c>
      <c r="O34" s="90" t="n">
        <v>55</v>
      </c>
      <c r="P34" s="90" t="n">
        <v>29</v>
      </c>
      <c r="Q34" s="90" t="n">
        <v>1558</v>
      </c>
      <c r="R34" s="35" t="n">
        <f aca="false">+F34+G34+H34+I34+J34+K34+L34+M34+N34+O34+P34+Q34</f>
        <v>3322</v>
      </c>
    </row>
    <row r="35" customFormat="false" ht="14.25" hidden="false" customHeight="false" outlineLevel="0" collapsed="false">
      <c r="D35" s="1" t="s">
        <v>78</v>
      </c>
      <c r="F35" s="35" t="n">
        <v>-406</v>
      </c>
      <c r="G35" s="35" t="n">
        <v>3252</v>
      </c>
      <c r="H35" s="35" t="n">
        <v>698</v>
      </c>
      <c r="I35" s="35" t="n">
        <v>135</v>
      </c>
      <c r="J35" s="35" t="n">
        <v>14963</v>
      </c>
      <c r="K35" s="35" t="n">
        <v>170</v>
      </c>
      <c r="L35" s="35" t="n">
        <v>-1308</v>
      </c>
      <c r="M35" s="35" t="n">
        <v>3197</v>
      </c>
      <c r="N35" s="35" t="n">
        <v>-4788</v>
      </c>
      <c r="O35" s="35" t="n">
        <v>1208</v>
      </c>
      <c r="P35" s="35" t="n">
        <v>-237</v>
      </c>
      <c r="Q35" s="35" t="n">
        <v>180</v>
      </c>
      <c r="R35" s="35" t="n">
        <f aca="false">+F35+G35+H35+I35+J35+K35+L35+M35+N35+O35+P35+Q35</f>
        <v>17064</v>
      </c>
    </row>
    <row r="36" customFormat="false" ht="14.25" hidden="false" customHeight="false" outlineLevel="0" collapsed="false">
      <c r="D36" s="1" t="s">
        <v>79</v>
      </c>
      <c r="F36" s="35" t="n">
        <f aca="false">154808+11092-F32</f>
        <v>164619</v>
      </c>
      <c r="G36" s="35" t="n">
        <f aca="false">142400+7387-G32</f>
        <v>148504</v>
      </c>
      <c r="H36" s="35" t="n">
        <f aca="false">183623+8519-H32</f>
        <v>190719</v>
      </c>
      <c r="I36" s="35" t="n">
        <f aca="false">130561+14439-I32</f>
        <v>142092</v>
      </c>
      <c r="J36" s="35" t="n">
        <f aca="false">209876+16893-J32</f>
        <v>224480</v>
      </c>
      <c r="K36" s="35" t="n">
        <f aca="false">176477+12239-K32</f>
        <v>186320</v>
      </c>
      <c r="L36" s="35" t="n">
        <f aca="false">188024+14092-L32</f>
        <v>201513</v>
      </c>
      <c r="M36" s="35" t="n">
        <f aca="false">160401+13460-M32</f>
        <v>169718</v>
      </c>
      <c r="N36" s="35" t="n">
        <f aca="false">228786+27052-N32</f>
        <v>250096</v>
      </c>
      <c r="O36" s="35" t="n">
        <f aca="false">215631+12112-O32</f>
        <v>226892</v>
      </c>
      <c r="P36" s="35" t="n">
        <f aca="false">263464+21275-P32</f>
        <v>283026</v>
      </c>
      <c r="Q36" s="35" t="n">
        <f aca="false">355550+28793-Q32</f>
        <v>381660</v>
      </c>
      <c r="R36" s="35" t="n">
        <f aca="false">+F36+G36+H36+I36+J36+K36+L36+M36+N36+O36+P36+Q36</f>
        <v>2569639</v>
      </c>
    </row>
    <row r="37" customFormat="false" ht="14.25" hidden="false" customHeight="false" outlineLevel="0" collapsed="false"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5" t="s">
        <v>59</v>
      </c>
    </row>
    <row r="38" customFormat="false" ht="15" hidden="false" customHeight="false" outlineLevel="0" collapsed="false">
      <c r="B38" s="7" t="s">
        <v>35</v>
      </c>
      <c r="C38" s="7"/>
      <c r="D38" s="7"/>
      <c r="E38" s="7"/>
      <c r="F38" s="38" t="n">
        <f aca="false">+F8-F28</f>
        <v>44537</v>
      </c>
      <c r="G38" s="38" t="n">
        <f aca="false">+G8-G28</f>
        <v>-76372.65</v>
      </c>
      <c r="H38" s="38" t="n">
        <f aca="false">+H8-H28</f>
        <v>-58409</v>
      </c>
      <c r="I38" s="38" t="n">
        <f aca="false">+I8-I28</f>
        <v>86872</v>
      </c>
      <c r="J38" s="38" t="n">
        <f aca="false">+J8-J28</f>
        <v>2564</v>
      </c>
      <c r="K38" s="38" t="n">
        <f aca="false">+K8-K28</f>
        <v>-41838</v>
      </c>
      <c r="L38" s="38" t="n">
        <f aca="false">+L8-L28</f>
        <v>-75296</v>
      </c>
      <c r="M38" s="38" t="n">
        <f aca="false">+M8-M28</f>
        <v>-2488</v>
      </c>
      <c r="N38" s="38" t="n">
        <f aca="false">+N8-N28</f>
        <v>-178557</v>
      </c>
      <c r="O38" s="38" t="n">
        <f aca="false">+O8-O28</f>
        <v>-49262</v>
      </c>
      <c r="P38" s="38" t="n">
        <f aca="false">+P8-P28</f>
        <v>-60883</v>
      </c>
      <c r="Q38" s="38" t="n">
        <f aca="false">+Q8-Q28</f>
        <v>-251103</v>
      </c>
      <c r="R38" s="38" t="n">
        <f aca="false">+R8-R28</f>
        <v>-660235.65</v>
      </c>
    </row>
    <row r="39" customFormat="false" ht="14.25" hidden="false" customHeight="false" outlineLevel="0" collapsed="false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customFormat="false" ht="15" hidden="false" customHeight="false" outlineLevel="0" collapsed="false">
      <c r="B40" s="7" t="s">
        <v>36</v>
      </c>
      <c r="C40" s="7"/>
      <c r="D40" s="7"/>
      <c r="E40" s="7"/>
      <c r="F40" s="34" t="n">
        <f aca="false">+F41+F45</f>
        <v>217107</v>
      </c>
      <c r="G40" s="34" t="n">
        <f aca="false">+G41+G45</f>
        <v>56723.82</v>
      </c>
      <c r="H40" s="34" t="n">
        <f aca="false">+H41+H45</f>
        <v>308218</v>
      </c>
      <c r="I40" s="34" t="n">
        <f aca="false">+I41+I45</f>
        <v>33268</v>
      </c>
      <c r="J40" s="34" t="n">
        <f aca="false">+J41+J45</f>
        <v>117869</v>
      </c>
      <c r="K40" s="34" t="n">
        <f aca="false">+K41+K45</f>
        <v>-1006</v>
      </c>
      <c r="L40" s="34" t="n">
        <f aca="false">+L41+L45</f>
        <v>-2909</v>
      </c>
      <c r="M40" s="34" t="n">
        <f aca="false">+M41+M45</f>
        <v>73233</v>
      </c>
      <c r="N40" s="34" t="n">
        <f aca="false">+N41+N45</f>
        <v>-4817</v>
      </c>
      <c r="O40" s="34" t="n">
        <f aca="false">+O41+O45</f>
        <v>45795</v>
      </c>
      <c r="P40" s="34" t="n">
        <f aca="false">+P41+P45</f>
        <v>6989</v>
      </c>
      <c r="Q40" s="34" t="n">
        <f aca="false">+Q41+Q45</f>
        <v>25825</v>
      </c>
      <c r="R40" s="34" t="n">
        <f aca="false">+R41+R45</f>
        <v>876295.82</v>
      </c>
      <c r="S40" s="35" t="s">
        <v>59</v>
      </c>
    </row>
    <row r="41" customFormat="false" ht="14.25" hidden="false" customHeight="false" outlineLevel="0" collapsed="false">
      <c r="C41" s="1" t="s">
        <v>37</v>
      </c>
      <c r="F41" s="39" t="n">
        <f aca="false">+F42-F43</f>
        <v>83930</v>
      </c>
      <c r="G41" s="39" t="n">
        <f aca="false">+G42-G43</f>
        <v>-2714.18</v>
      </c>
      <c r="H41" s="39" t="n">
        <f aca="false">+H42-H43</f>
        <v>10562</v>
      </c>
      <c r="I41" s="39" t="n">
        <f aca="false">+I42-I43</f>
        <v>-922</v>
      </c>
      <c r="J41" s="39" t="n">
        <f aca="false">+J42-J43</f>
        <v>66961</v>
      </c>
      <c r="K41" s="39" t="n">
        <f aca="false">+K42-K43</f>
        <v>-40350</v>
      </c>
      <c r="L41" s="39" t="n">
        <f aca="false">+L42-L43</f>
        <v>1666</v>
      </c>
      <c r="M41" s="39" t="n">
        <f aca="false">+M42-M43</f>
        <v>43667</v>
      </c>
      <c r="N41" s="39" t="n">
        <f aca="false">+N42-N43</f>
        <v>9631</v>
      </c>
      <c r="O41" s="39" t="n">
        <f aca="false">+O42-O43</f>
        <v>-1169</v>
      </c>
      <c r="P41" s="39" t="n">
        <f aca="false">+P42-P43</f>
        <v>-902</v>
      </c>
      <c r="Q41" s="39" t="n">
        <f aca="false">+Q42-Q43</f>
        <v>14487</v>
      </c>
      <c r="R41" s="39" t="n">
        <f aca="false">+R42-R43</f>
        <v>184846.82</v>
      </c>
    </row>
    <row r="42" customFormat="false" ht="14.25" hidden="false" customHeight="false" outlineLevel="0" collapsed="false">
      <c r="D42" s="1" t="s">
        <v>38</v>
      </c>
      <c r="F42" s="35" t="n">
        <v>115621</v>
      </c>
      <c r="G42" s="35" t="n">
        <v>894.82</v>
      </c>
      <c r="H42" s="35" t="n">
        <v>16467</v>
      </c>
      <c r="I42" s="35" t="n">
        <v>3430</v>
      </c>
      <c r="J42" s="35" t="n">
        <v>74699</v>
      </c>
      <c r="K42" s="35" t="n">
        <v>14365</v>
      </c>
      <c r="L42" s="35" t="n">
        <v>3215</v>
      </c>
      <c r="M42" s="35" t="n">
        <v>46854</v>
      </c>
      <c r="N42" s="35" t="n">
        <v>15460</v>
      </c>
      <c r="O42" s="35" t="n">
        <v>2745</v>
      </c>
      <c r="P42" s="35" t="n">
        <v>6285</v>
      </c>
      <c r="Q42" s="35" t="n">
        <v>21911</v>
      </c>
      <c r="R42" s="35" t="n">
        <f aca="false">+F42+G42+H42+I42+J42+K42+L42+M42+N42+O42+P42+Q42</f>
        <v>321946.82</v>
      </c>
    </row>
    <row r="43" customFormat="false" ht="14.25" hidden="false" customHeight="false" outlineLevel="0" collapsed="false">
      <c r="D43" s="1" t="s">
        <v>39</v>
      </c>
      <c r="F43" s="35" t="n">
        <v>31691</v>
      </c>
      <c r="G43" s="35" t="n">
        <v>3609</v>
      </c>
      <c r="H43" s="35" t="n">
        <v>5905</v>
      </c>
      <c r="I43" s="35" t="n">
        <v>4352</v>
      </c>
      <c r="J43" s="35" t="n">
        <v>7738</v>
      </c>
      <c r="K43" s="35" t="n">
        <v>54715</v>
      </c>
      <c r="L43" s="35" t="n">
        <v>1549</v>
      </c>
      <c r="M43" s="35" t="n">
        <v>3187</v>
      </c>
      <c r="N43" s="35" t="n">
        <v>5829</v>
      </c>
      <c r="O43" s="35" t="n">
        <v>3914</v>
      </c>
      <c r="P43" s="35" t="n">
        <v>7187</v>
      </c>
      <c r="Q43" s="35" t="n">
        <v>7424</v>
      </c>
      <c r="R43" s="35" t="n">
        <f aca="false">+F43+G43+H43+I43+J43+K43+L43+M43+N43+O43+P43+Q43</f>
        <v>137100</v>
      </c>
    </row>
    <row r="44" customFormat="false" ht="14.25" hidden="false" customHeight="false" outlineLevel="0" collapsed="false"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customFormat="false" ht="14.25" hidden="false" customHeight="false" outlineLevel="0" collapsed="false">
      <c r="C45" s="1" t="s">
        <v>40</v>
      </c>
      <c r="F45" s="39" t="n">
        <f aca="false">+F46-F47</f>
        <v>133177</v>
      </c>
      <c r="G45" s="39" t="n">
        <f aca="false">+G46-G47</f>
        <v>59438</v>
      </c>
      <c r="H45" s="39" t="n">
        <f aca="false">+H46-H47</f>
        <v>297656</v>
      </c>
      <c r="I45" s="39" t="n">
        <f aca="false">+I46-I47</f>
        <v>34190</v>
      </c>
      <c r="J45" s="39" t="n">
        <f aca="false">+J46-J47</f>
        <v>50908</v>
      </c>
      <c r="K45" s="39" t="n">
        <f aca="false">+K46-K47</f>
        <v>39344</v>
      </c>
      <c r="L45" s="39" t="n">
        <f aca="false">+L46-L47</f>
        <v>-4575</v>
      </c>
      <c r="M45" s="39" t="n">
        <f aca="false">+M46-M47</f>
        <v>29566</v>
      </c>
      <c r="N45" s="39" t="n">
        <f aca="false">+N46-N47</f>
        <v>-14448</v>
      </c>
      <c r="O45" s="39" t="n">
        <f aca="false">+O46-O47</f>
        <v>46964</v>
      </c>
      <c r="P45" s="39" t="n">
        <f aca="false">+P46-P47</f>
        <v>7891</v>
      </c>
      <c r="Q45" s="39" t="n">
        <f aca="false">+Q46-Q47</f>
        <v>11338</v>
      </c>
      <c r="R45" s="39" t="n">
        <f aca="false">+R46-R47</f>
        <v>691449</v>
      </c>
    </row>
    <row r="46" customFormat="false" ht="14.25" hidden="false" customHeight="false" outlineLevel="0" collapsed="false">
      <c r="D46" s="1" t="s">
        <v>41</v>
      </c>
      <c r="F46" s="35" t="n">
        <v>133177</v>
      </c>
      <c r="G46" s="35" t="n">
        <v>59438</v>
      </c>
      <c r="H46" s="35" t="n">
        <v>298000</v>
      </c>
      <c r="I46" s="35" t="n">
        <v>34493</v>
      </c>
      <c r="J46" s="35" t="n">
        <v>50908</v>
      </c>
      <c r="K46" s="35" t="n">
        <v>39344</v>
      </c>
      <c r="L46" s="35" t="n">
        <v>-4305</v>
      </c>
      <c r="M46" s="35" t="n">
        <v>29670</v>
      </c>
      <c r="N46" s="35" t="n">
        <v>-14448</v>
      </c>
      <c r="O46" s="35" t="n">
        <v>47528</v>
      </c>
      <c r="P46" s="35" t="n">
        <v>8061</v>
      </c>
      <c r="Q46" s="35" t="n">
        <v>11977</v>
      </c>
      <c r="R46" s="35" t="n">
        <f aca="false">+F46+G46+H46+I46+J46+K46+L46+M46+N46+O46+P46+Q46</f>
        <v>693843</v>
      </c>
      <c r="S46" s="35" t="s">
        <v>59</v>
      </c>
    </row>
    <row r="47" customFormat="false" ht="14.25" hidden="false" customHeight="false" outlineLevel="0" collapsed="false">
      <c r="D47" s="1" t="s">
        <v>42</v>
      </c>
      <c r="F47" s="36" t="n">
        <f aca="false">F48-F49</f>
        <v>0</v>
      </c>
      <c r="G47" s="36" t="n">
        <f aca="false">G48-G49</f>
        <v>0</v>
      </c>
      <c r="H47" s="36" t="n">
        <f aca="false">H48-H49</f>
        <v>344</v>
      </c>
      <c r="I47" s="36" t="n">
        <f aca="false">I48-I49</f>
        <v>303</v>
      </c>
      <c r="J47" s="36" t="n">
        <f aca="false">J48-J49</f>
        <v>0</v>
      </c>
      <c r="K47" s="36" t="n">
        <f aca="false">K48-K49</f>
        <v>0</v>
      </c>
      <c r="L47" s="36" t="n">
        <f aca="false">L48-L49</f>
        <v>270</v>
      </c>
      <c r="M47" s="36" t="n">
        <f aca="false">M48-M49</f>
        <v>104</v>
      </c>
      <c r="N47" s="36" t="n">
        <f aca="false">N48-N49</f>
        <v>0</v>
      </c>
      <c r="O47" s="36" t="n">
        <f aca="false">O48-O49</f>
        <v>564</v>
      </c>
      <c r="P47" s="36" t="n">
        <f aca="false">P48-P49</f>
        <v>170</v>
      </c>
      <c r="Q47" s="36" t="n">
        <f aca="false">Q48-Q49</f>
        <v>639</v>
      </c>
      <c r="R47" s="35" t="n">
        <f aca="false">+F47+G47+H47+I47+J47+K47+L47+M47+N47+O47+P47+Q47</f>
        <v>2394</v>
      </c>
    </row>
    <row r="48" customFormat="false" ht="14.25" hidden="false" customHeight="false" outlineLevel="0" collapsed="false">
      <c r="E48" s="1" t="s">
        <v>67</v>
      </c>
      <c r="F48" s="36" t="n">
        <v>7</v>
      </c>
      <c r="G48" s="36" t="n">
        <v>70870</v>
      </c>
      <c r="H48" s="36" t="n">
        <v>344</v>
      </c>
      <c r="I48" s="36" t="n">
        <v>25952</v>
      </c>
      <c r="J48" s="36" t="n">
        <v>0</v>
      </c>
      <c r="K48" s="36" t="n">
        <v>0</v>
      </c>
      <c r="L48" s="36" t="n">
        <v>39946</v>
      </c>
      <c r="M48" s="36" t="n">
        <v>8783</v>
      </c>
      <c r="N48" s="36" t="n">
        <v>0</v>
      </c>
      <c r="O48" s="36" t="n">
        <v>564</v>
      </c>
      <c r="P48" s="36" t="n">
        <v>197370</v>
      </c>
      <c r="Q48" s="36" t="n">
        <v>639</v>
      </c>
      <c r="R48" s="35" t="n">
        <f aca="false">+F48+G48+H48+I48+J48+K48+L48+M48+N48+O48+P48+Q48</f>
        <v>344475</v>
      </c>
    </row>
    <row r="49" customFormat="false" ht="14.25" hidden="false" customHeight="false" outlineLevel="0" collapsed="false">
      <c r="E49" s="16" t="s">
        <v>80</v>
      </c>
      <c r="F49" s="36" t="n">
        <v>7</v>
      </c>
      <c r="G49" s="36" t="n">
        <v>70870</v>
      </c>
      <c r="H49" s="36" t="n">
        <v>0</v>
      </c>
      <c r="I49" s="36" t="n">
        <v>25649</v>
      </c>
      <c r="J49" s="36" t="n">
        <v>0</v>
      </c>
      <c r="K49" s="36" t="n">
        <v>0</v>
      </c>
      <c r="L49" s="36" t="n">
        <v>39676</v>
      </c>
      <c r="M49" s="36" t="n">
        <v>8679</v>
      </c>
      <c r="N49" s="36" t="n">
        <v>0</v>
      </c>
      <c r="O49" s="36" t="n">
        <v>0</v>
      </c>
      <c r="P49" s="36" t="n">
        <v>197200</v>
      </c>
      <c r="Q49" s="36" t="n">
        <v>0</v>
      </c>
      <c r="R49" s="35" t="n">
        <f aca="false">+F49+G49+H49+I49+J49+K49+L49+M49+N49+O49+P49+Q49</f>
        <v>342081</v>
      </c>
    </row>
    <row r="50" customFormat="false" ht="14.25" hidden="false" customHeight="true" outlineLevel="0" collapsed="false"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customFormat="false" ht="16.5" hidden="false" customHeight="true" outlineLevel="0" collapsed="false">
      <c r="B51" s="7" t="s">
        <v>45</v>
      </c>
      <c r="C51" s="7"/>
      <c r="D51" s="7"/>
      <c r="E51" s="7"/>
      <c r="F51" s="38" t="n">
        <v>215141.123</v>
      </c>
      <c r="G51" s="38" t="n">
        <v>-66415.123</v>
      </c>
      <c r="H51" s="38" t="n">
        <v>206233</v>
      </c>
      <c r="I51" s="38" t="n">
        <v>106952</v>
      </c>
      <c r="J51" s="38" t="n">
        <v>104529.03</v>
      </c>
      <c r="K51" s="38" t="n">
        <v>-54945.03</v>
      </c>
      <c r="L51" s="38" t="n">
        <v>-140883</v>
      </c>
      <c r="M51" s="38" t="n">
        <v>60130</v>
      </c>
      <c r="N51" s="38" t="n">
        <v>-188825</v>
      </c>
      <c r="O51" s="38" t="n">
        <v>-5557</v>
      </c>
      <c r="P51" s="38" t="n">
        <v>-233762.26</v>
      </c>
      <c r="Q51" s="38" t="n">
        <v>-227167</v>
      </c>
      <c r="R51" s="38" t="n">
        <f aca="false">+F51+G51+H51+I51+J51+K51+L51+M51+N51+O51+P51+Q51</f>
        <v>-224569.26</v>
      </c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</row>
    <row r="53" s="41" customFormat="true" ht="13.5" hidden="false" customHeight="false" outlineLevel="0" collapsed="false">
      <c r="B53" s="77" t="s">
        <v>46</v>
      </c>
    </row>
    <row r="54" s="41" customFormat="true" ht="36" hidden="false" customHeight="true" outlineLevel="0" collapsed="false">
      <c r="B54" s="77"/>
      <c r="C54" s="21" t="s">
        <v>47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="41" customFormat="true" ht="9.75" hidden="false" customHeight="true" outlineLevel="0" collapsed="false">
      <c r="B55" s="77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="92" customFormat="true" ht="12.75" hidden="false" customHeight="false" outlineLevel="0" collapsed="false">
      <c r="A56" s="92" t="s">
        <v>89</v>
      </c>
      <c r="C56" s="93"/>
      <c r="D56" s="93"/>
    </row>
    <row r="57" s="92" customFormat="true" ht="12.75" hidden="false" customHeight="false" outlineLevel="0" collapsed="false">
      <c r="A57" s="92" t="s">
        <v>90</v>
      </c>
      <c r="B57" s="92" t="s">
        <v>91</v>
      </c>
      <c r="C57" s="93"/>
      <c r="D57" s="93"/>
    </row>
    <row r="58" s="41" customFormat="true" ht="9" hidden="false" customHeight="true" outlineLevel="0" collapsed="false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="41" customFormat="true" ht="12.75" hidden="false" customHeight="false" outlineLevel="0" collapsed="false">
      <c r="A59" s="41" t="s">
        <v>51</v>
      </c>
    </row>
    <row r="60" customFormat="false" ht="14.25" hidden="false" customHeight="false" outlineLevel="0" collapsed="false">
      <c r="A60" s="6"/>
    </row>
  </sheetData>
  <mergeCells count="2">
    <mergeCell ref="A6:E6"/>
    <mergeCell ref="C54:Q54"/>
  </mergeCells>
  <printOptions headings="false" gridLines="false" gridLinesSet="true" horizontalCentered="true" verticalCentered="false"/>
  <pageMargins left="0.236111111111111" right="0.236111111111111" top="1.1027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&amp;"Arial,Italic"&amp;9 Statistical Data Analysis Division</oddHeader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T26" activeCellId="0" sqref="T26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58"/>
    <col collapsed="false" customWidth="true" hidden="false" outlineLevel="0" max="2" min="2" style="100" width="1.29"/>
    <col collapsed="false" customWidth="true" hidden="false" outlineLevel="0" max="3" min="3" style="100" width="24"/>
    <col collapsed="false" customWidth="true" hidden="false" outlineLevel="0" max="15" min="4" style="100" width="8"/>
    <col collapsed="false" customWidth="false" hidden="false" outlineLevel="0" max="1024" min="16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168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1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false" outlineLevel="0" collapsed="false"/>
    <row r="7" s="107" customFormat="true" ht="15" hidden="false" customHeight="true" outlineLevel="0" collapsed="false">
      <c r="A7" s="107" t="s">
        <v>12</v>
      </c>
      <c r="D7" s="108" t="n">
        <v>9208</v>
      </c>
      <c r="E7" s="108" t="n">
        <v>7496</v>
      </c>
      <c r="F7" s="108" t="n">
        <v>7265</v>
      </c>
      <c r="G7" s="108" t="n">
        <v>12668</v>
      </c>
      <c r="H7" s="108" t="n">
        <v>9373</v>
      </c>
      <c r="I7" s="108" t="n">
        <v>8323</v>
      </c>
      <c r="J7" s="108" t="n">
        <v>10011</v>
      </c>
      <c r="K7" s="108" t="n">
        <v>9184</v>
      </c>
      <c r="L7" s="108" t="n">
        <v>8153</v>
      </c>
      <c r="M7" s="108" t="n">
        <v>10007</v>
      </c>
      <c r="N7" s="108" t="n">
        <v>10736</v>
      </c>
      <c r="O7" s="108" t="n">
        <v>10437</v>
      </c>
      <c r="P7" s="108" t="n">
        <v>112861</v>
      </c>
    </row>
    <row r="8" customFormat="false" ht="15" hidden="false" customHeight="true" outlineLevel="0" collapsed="false">
      <c r="B8" s="100" t="s">
        <v>13</v>
      </c>
      <c r="D8" s="109" t="n">
        <v>7685</v>
      </c>
      <c r="E8" s="109" t="n">
        <v>6083</v>
      </c>
      <c r="F8" s="109" t="n">
        <v>5971</v>
      </c>
      <c r="G8" s="109" t="n">
        <v>10671</v>
      </c>
      <c r="H8" s="109" t="n">
        <v>7818</v>
      </c>
      <c r="I8" s="109" t="n">
        <v>6060</v>
      </c>
      <c r="J8" s="109" t="n">
        <v>8470</v>
      </c>
      <c r="K8" s="109" t="n">
        <v>7849</v>
      </c>
      <c r="L8" s="109" t="n">
        <v>5955</v>
      </c>
      <c r="M8" s="109" t="n">
        <v>8276</v>
      </c>
      <c r="N8" s="109" t="n">
        <v>7930</v>
      </c>
      <c r="O8" s="109" t="n">
        <v>7584</v>
      </c>
      <c r="P8" s="109" t="n">
        <v>90352</v>
      </c>
    </row>
    <row r="9" customFormat="false" ht="15" hidden="false" customHeight="true" outlineLevel="0" collapsed="false">
      <c r="C9" s="100" t="s">
        <v>14</v>
      </c>
      <c r="D9" s="110" t="n">
        <v>6005</v>
      </c>
      <c r="E9" s="110" t="n">
        <v>3961</v>
      </c>
      <c r="F9" s="110" t="n">
        <v>3558</v>
      </c>
      <c r="G9" s="110" t="n">
        <v>8629</v>
      </c>
      <c r="H9" s="110" t="n">
        <v>5659</v>
      </c>
      <c r="I9" s="110" t="n">
        <v>3808</v>
      </c>
      <c r="J9" s="110" t="n">
        <v>6344</v>
      </c>
      <c r="K9" s="110" t="n">
        <v>5644</v>
      </c>
      <c r="L9" s="110" t="n">
        <v>3645</v>
      </c>
      <c r="M9" s="110" t="n">
        <v>6099</v>
      </c>
      <c r="N9" s="110" t="n">
        <v>5524</v>
      </c>
      <c r="O9" s="110" t="n">
        <v>4845</v>
      </c>
      <c r="P9" s="110" t="n">
        <v>63721</v>
      </c>
    </row>
    <row r="10" customFormat="false" ht="15" hidden="false" customHeight="true" outlineLevel="0" collapsed="false">
      <c r="C10" s="100" t="s">
        <v>18</v>
      </c>
      <c r="D10" s="110" t="n">
        <v>1590</v>
      </c>
      <c r="E10" s="110" t="n">
        <v>1990</v>
      </c>
      <c r="F10" s="110" t="n">
        <v>2263</v>
      </c>
      <c r="G10" s="110" t="n">
        <v>1890</v>
      </c>
      <c r="H10" s="110" t="n">
        <v>2014</v>
      </c>
      <c r="I10" s="110" t="n">
        <v>2054</v>
      </c>
      <c r="J10" s="110" t="n">
        <v>1992</v>
      </c>
      <c r="K10" s="110" t="n">
        <v>2089</v>
      </c>
      <c r="L10" s="110" t="n">
        <v>2201</v>
      </c>
      <c r="M10" s="110" t="n">
        <v>2017</v>
      </c>
      <c r="N10" s="110" t="n">
        <v>2306</v>
      </c>
      <c r="O10" s="110" t="n">
        <v>2608</v>
      </c>
      <c r="P10" s="110" t="n">
        <v>25014</v>
      </c>
    </row>
    <row r="11" customFormat="false" ht="15" hidden="false" customHeight="true" outlineLevel="0" collapsed="false">
      <c r="C11" s="100" t="s">
        <v>87</v>
      </c>
      <c r="D11" s="110" t="n">
        <v>90</v>
      </c>
      <c r="E11" s="110" t="n">
        <v>132</v>
      </c>
      <c r="F11" s="110" t="n">
        <v>150</v>
      </c>
      <c r="G11" s="110" t="n">
        <v>152</v>
      </c>
      <c r="H11" s="110" t="n">
        <v>145</v>
      </c>
      <c r="I11" s="110" t="n">
        <v>198</v>
      </c>
      <c r="J11" s="110" t="n">
        <v>134</v>
      </c>
      <c r="K11" s="110" t="n">
        <v>116</v>
      </c>
      <c r="L11" s="110" t="n">
        <v>109</v>
      </c>
      <c r="M11" s="110" t="n">
        <v>160</v>
      </c>
      <c r="N11" s="110" t="n">
        <v>100</v>
      </c>
      <c r="O11" s="110" t="n">
        <v>131</v>
      </c>
      <c r="P11" s="110" t="n">
        <v>1617</v>
      </c>
    </row>
    <row r="12" customFormat="false" ht="1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customFormat="false" ht="15" hidden="false" customHeight="true" outlineLevel="0" collapsed="false">
      <c r="B13" s="100" t="s">
        <v>20</v>
      </c>
      <c r="D13" s="109" t="n">
        <v>1236</v>
      </c>
      <c r="E13" s="109" t="n">
        <v>1167</v>
      </c>
      <c r="F13" s="109" t="n">
        <v>1264</v>
      </c>
      <c r="G13" s="109" t="n">
        <v>1873</v>
      </c>
      <c r="H13" s="109" t="n">
        <v>1458</v>
      </c>
      <c r="I13" s="109" t="n">
        <v>2097</v>
      </c>
      <c r="J13" s="109" t="n">
        <v>1442</v>
      </c>
      <c r="K13" s="109" t="n">
        <v>1278</v>
      </c>
      <c r="L13" s="109" t="n">
        <v>2149</v>
      </c>
      <c r="M13" s="109" t="n">
        <v>1690</v>
      </c>
      <c r="N13" s="109" t="n">
        <v>2472</v>
      </c>
      <c r="O13" s="109" t="n">
        <v>2608</v>
      </c>
      <c r="P13" s="109" t="n">
        <v>20734</v>
      </c>
    </row>
    <row r="14" customFormat="false" ht="15" hidden="false" customHeight="true" outlineLevel="0" collapsed="false">
      <c r="C14" s="100" t="s">
        <v>21</v>
      </c>
      <c r="D14" s="110" t="n">
        <v>504</v>
      </c>
      <c r="E14" s="110" t="n">
        <v>42</v>
      </c>
      <c r="F14" s="110" t="n">
        <v>514</v>
      </c>
      <c r="G14" s="110" t="n">
        <v>1085</v>
      </c>
      <c r="H14" s="110" t="n">
        <v>507</v>
      </c>
      <c r="I14" s="110" t="n">
        <v>670</v>
      </c>
      <c r="J14" s="110" t="n">
        <v>486</v>
      </c>
      <c r="K14" s="110" t="n">
        <v>671</v>
      </c>
      <c r="L14" s="110" t="n">
        <v>1152</v>
      </c>
      <c r="M14" s="110" t="n">
        <v>1104</v>
      </c>
      <c r="N14" s="110" t="n">
        <v>1047</v>
      </c>
      <c r="O14" s="110" t="n">
        <v>1429</v>
      </c>
      <c r="P14" s="110" t="n">
        <v>9211</v>
      </c>
    </row>
    <row r="15" customFormat="false" ht="15" hidden="false" customHeight="true" outlineLevel="0" collapsed="false">
      <c r="C15" s="100" t="s">
        <v>150</v>
      </c>
      <c r="D15" s="110" t="n">
        <v>510</v>
      </c>
      <c r="E15" s="110" t="n">
        <v>511</v>
      </c>
      <c r="F15" s="110" t="n">
        <v>211</v>
      </c>
      <c r="G15" s="110" t="n">
        <v>704</v>
      </c>
      <c r="H15" s="110" t="n">
        <v>697</v>
      </c>
      <c r="I15" s="110" t="n">
        <v>402</v>
      </c>
      <c r="J15" s="110" t="n">
        <v>528</v>
      </c>
      <c r="K15" s="110" t="n">
        <v>522</v>
      </c>
      <c r="L15" s="110" t="n">
        <v>151</v>
      </c>
      <c r="M15" s="110" t="n">
        <v>150</v>
      </c>
      <c r="N15" s="110" t="n">
        <v>473</v>
      </c>
      <c r="O15" s="110" t="n">
        <v>463</v>
      </c>
      <c r="P15" s="110" t="n">
        <v>5322</v>
      </c>
    </row>
    <row r="16" customFormat="false" ht="15" hidden="false" customHeight="true" outlineLevel="0" collapsed="false">
      <c r="C16" s="100" t="s">
        <v>160</v>
      </c>
      <c r="D16" s="110" t="n">
        <v>58</v>
      </c>
      <c r="E16" s="110" t="n">
        <v>0</v>
      </c>
      <c r="F16" s="110" t="n">
        <v>36</v>
      </c>
      <c r="G16" s="110" t="n">
        <v>0</v>
      </c>
      <c r="H16" s="110" t="n">
        <v>0</v>
      </c>
      <c r="I16" s="110" t="n">
        <v>50</v>
      </c>
      <c r="J16" s="110" t="n">
        <v>0</v>
      </c>
      <c r="K16" s="110" t="n">
        <v>0</v>
      </c>
      <c r="L16" s="110" t="n">
        <v>0</v>
      </c>
      <c r="M16" s="110" t="n">
        <v>0</v>
      </c>
      <c r="N16" s="110" t="n">
        <v>51</v>
      </c>
      <c r="O16" s="110" t="n">
        <v>0</v>
      </c>
      <c r="P16" s="110" t="n">
        <v>195</v>
      </c>
    </row>
    <row r="17" customFormat="false" ht="15" hidden="false" customHeight="true" outlineLevel="0" collapsed="false">
      <c r="C17" s="100" t="s">
        <v>167</v>
      </c>
      <c r="D17" s="110" t="n">
        <v>164</v>
      </c>
      <c r="E17" s="110" t="n">
        <v>614</v>
      </c>
      <c r="F17" s="110" t="n">
        <v>503</v>
      </c>
      <c r="G17" s="110" t="n">
        <v>84</v>
      </c>
      <c r="H17" s="110" t="n">
        <v>254</v>
      </c>
      <c r="I17" s="110" t="n">
        <v>975</v>
      </c>
      <c r="J17" s="110" t="n">
        <v>428</v>
      </c>
      <c r="K17" s="110" t="n">
        <v>85</v>
      </c>
      <c r="L17" s="110" t="n">
        <v>846</v>
      </c>
      <c r="M17" s="110" t="n">
        <v>436</v>
      </c>
      <c r="N17" s="110" t="n">
        <v>901</v>
      </c>
      <c r="O17" s="110" t="n">
        <v>716</v>
      </c>
      <c r="P17" s="110" t="n">
        <v>6006</v>
      </c>
    </row>
    <row r="18" customFormat="false" ht="15" hidden="false" customHeight="true" outlineLevel="0" collapsed="false"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</row>
    <row r="19" customFormat="false" ht="15" hidden="false" customHeight="true" outlineLevel="0" collapsed="false">
      <c r="B19" s="100" t="s">
        <v>26</v>
      </c>
      <c r="D19" s="110" t="n">
        <v>287</v>
      </c>
      <c r="E19" s="110" t="n">
        <v>246</v>
      </c>
      <c r="F19" s="110" t="n">
        <v>30</v>
      </c>
      <c r="G19" s="110" t="n">
        <v>124</v>
      </c>
      <c r="H19" s="110" t="n">
        <v>97</v>
      </c>
      <c r="I19" s="110" t="n">
        <v>166</v>
      </c>
      <c r="J19" s="110" t="n">
        <v>99</v>
      </c>
      <c r="K19" s="110" t="n">
        <v>57</v>
      </c>
      <c r="L19" s="110" t="n">
        <v>49</v>
      </c>
      <c r="M19" s="110" t="n">
        <v>41</v>
      </c>
      <c r="N19" s="110" t="n">
        <v>334</v>
      </c>
      <c r="O19" s="110" t="n">
        <v>245</v>
      </c>
      <c r="P19" s="110" t="n">
        <v>1775</v>
      </c>
    </row>
    <row r="20" customFormat="false" ht="15" hidden="false" customHeight="true" outlineLevel="0" collapsed="false"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</row>
    <row r="21" s="107" customFormat="true" ht="15" hidden="false" customHeight="true" outlineLevel="0" collapsed="false">
      <c r="A21" s="107" t="s">
        <v>27</v>
      </c>
      <c r="D21" s="108" t="n">
        <v>10725</v>
      </c>
      <c r="E21" s="108" t="n">
        <v>9123</v>
      </c>
      <c r="F21" s="108" t="n">
        <v>12284</v>
      </c>
      <c r="G21" s="108" t="n">
        <v>9698</v>
      </c>
      <c r="H21" s="108" t="n">
        <v>10314</v>
      </c>
      <c r="I21" s="108" t="n">
        <v>11165</v>
      </c>
      <c r="J21" s="108" t="n">
        <v>9775</v>
      </c>
      <c r="K21" s="108" t="n">
        <v>12900</v>
      </c>
      <c r="L21" s="108" t="n">
        <v>11338</v>
      </c>
      <c r="M21" s="108" t="n">
        <v>10126</v>
      </c>
      <c r="N21" s="108" t="n">
        <v>10751</v>
      </c>
      <c r="O21" s="108" t="n">
        <v>17868</v>
      </c>
      <c r="P21" s="108" t="n">
        <v>136067</v>
      </c>
    </row>
    <row r="22" customFormat="false" ht="15" hidden="false" customHeight="true" outlineLevel="0" collapsed="false">
      <c r="B22" s="100" t="s">
        <v>15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</row>
    <row r="23" customFormat="false" ht="15" hidden="false" customHeight="true" outlineLevel="0" collapsed="false">
      <c r="C23" s="100" t="s">
        <v>29</v>
      </c>
      <c r="D23" s="110" t="n">
        <v>3295</v>
      </c>
      <c r="E23" s="110" t="n">
        <v>3500</v>
      </c>
      <c r="F23" s="110" t="n">
        <v>5005</v>
      </c>
      <c r="G23" s="110" t="n">
        <v>3852</v>
      </c>
      <c r="H23" s="110" t="n">
        <v>4190</v>
      </c>
      <c r="I23" s="110" t="n">
        <v>4169</v>
      </c>
      <c r="J23" s="110" t="n">
        <v>3496</v>
      </c>
      <c r="K23" s="110" t="n">
        <v>3884</v>
      </c>
      <c r="L23" s="110" t="n">
        <v>3323</v>
      </c>
      <c r="M23" s="110" t="n">
        <v>3533</v>
      </c>
      <c r="N23" s="110" t="n">
        <v>2342</v>
      </c>
      <c r="O23" s="110" t="n">
        <v>5276</v>
      </c>
      <c r="P23" s="110" t="n">
        <v>45865</v>
      </c>
    </row>
    <row r="24" customFormat="false" ht="15" hidden="false" customHeight="true" outlineLevel="0" collapsed="false">
      <c r="C24" s="100" t="s">
        <v>77</v>
      </c>
      <c r="D24" s="110" t="n">
        <v>0</v>
      </c>
      <c r="E24" s="110" t="n">
        <v>23</v>
      </c>
      <c r="F24" s="110" t="n">
        <v>16</v>
      </c>
      <c r="G24" s="110" t="n">
        <v>50</v>
      </c>
      <c r="H24" s="110" t="n">
        <v>135</v>
      </c>
      <c r="I24" s="110" t="n">
        <v>219</v>
      </c>
      <c r="J24" s="110" t="n">
        <v>178</v>
      </c>
      <c r="K24" s="110" t="n">
        <v>41</v>
      </c>
      <c r="L24" s="110" t="n">
        <v>217</v>
      </c>
      <c r="M24" s="110" t="n">
        <v>160</v>
      </c>
      <c r="N24" s="110" t="n">
        <v>166</v>
      </c>
      <c r="O24" s="110" t="n">
        <v>827</v>
      </c>
      <c r="P24" s="110" t="n">
        <v>2032</v>
      </c>
    </row>
    <row r="25" customFormat="false" ht="15" hidden="false" customHeight="true" outlineLevel="0" collapsed="false">
      <c r="C25" s="100" t="s">
        <v>28</v>
      </c>
      <c r="D25" s="110" t="n">
        <v>326</v>
      </c>
      <c r="E25" s="110" t="n">
        <v>321</v>
      </c>
      <c r="F25" s="110" t="n">
        <v>643</v>
      </c>
      <c r="G25" s="110" t="n">
        <v>322</v>
      </c>
      <c r="H25" s="110" t="n">
        <v>320</v>
      </c>
      <c r="I25" s="110" t="n">
        <v>211</v>
      </c>
      <c r="J25" s="110" t="n">
        <v>711</v>
      </c>
      <c r="K25" s="110" t="n">
        <v>356</v>
      </c>
      <c r="L25" s="110" t="n">
        <v>400</v>
      </c>
      <c r="M25" s="110" t="n">
        <v>356</v>
      </c>
      <c r="N25" s="110" t="n">
        <v>356</v>
      </c>
      <c r="O25" s="110" t="n">
        <v>38</v>
      </c>
      <c r="P25" s="110" t="n">
        <v>4360</v>
      </c>
    </row>
    <row r="26" customFormat="false" ht="15" hidden="false" customHeight="true" outlineLevel="0" collapsed="false">
      <c r="C26" s="100" t="s">
        <v>30</v>
      </c>
      <c r="D26" s="110" t="n">
        <v>0</v>
      </c>
      <c r="E26" s="110" t="n">
        <v>398</v>
      </c>
      <c r="F26" s="110" t="n">
        <v>0</v>
      </c>
      <c r="G26" s="110" t="n">
        <v>0</v>
      </c>
      <c r="H26" s="110" t="n">
        <v>0</v>
      </c>
      <c r="I26" s="110" t="n">
        <v>0</v>
      </c>
      <c r="J26" s="110" t="n">
        <v>0</v>
      </c>
      <c r="K26" s="110" t="n">
        <v>0</v>
      </c>
      <c r="L26" s="110" t="n">
        <v>0</v>
      </c>
      <c r="M26" s="110" t="n">
        <v>0</v>
      </c>
      <c r="N26" s="110" t="n">
        <v>0</v>
      </c>
      <c r="O26" s="110" t="n">
        <v>598</v>
      </c>
      <c r="P26" s="110" t="n">
        <v>996</v>
      </c>
    </row>
    <row r="27" customFormat="false" ht="15" hidden="false" customHeight="true" outlineLevel="0" collapsed="false">
      <c r="C27" s="100" t="s">
        <v>32</v>
      </c>
      <c r="D27" s="110" t="n">
        <v>0</v>
      </c>
      <c r="E27" s="110" t="n">
        <v>0</v>
      </c>
      <c r="F27" s="110" t="n">
        <v>0</v>
      </c>
      <c r="G27" s="110" t="n">
        <v>77</v>
      </c>
      <c r="H27" s="110" t="n">
        <v>165</v>
      </c>
      <c r="I27" s="110" t="n">
        <v>1</v>
      </c>
      <c r="J27" s="110" t="n">
        <v>0</v>
      </c>
      <c r="K27" s="110" t="n">
        <v>523</v>
      </c>
      <c r="L27" s="110" t="n">
        <v>221</v>
      </c>
      <c r="M27" s="110" t="n">
        <v>193</v>
      </c>
      <c r="N27" s="110" t="n">
        <v>206</v>
      </c>
      <c r="O27" s="110" t="n">
        <v>437</v>
      </c>
      <c r="P27" s="110" t="n">
        <v>1823</v>
      </c>
    </row>
    <row r="28" customFormat="false" ht="15" hidden="false" customHeight="true" outlineLevel="0" collapsed="false">
      <c r="C28" s="100" t="s">
        <v>78</v>
      </c>
      <c r="D28" s="110" t="n">
        <v>856</v>
      </c>
      <c r="E28" s="110" t="n">
        <v>672</v>
      </c>
      <c r="F28" s="110" t="n">
        <v>812</v>
      </c>
      <c r="G28" s="110" t="n">
        <v>188</v>
      </c>
      <c r="H28" s="110" t="n">
        <v>453</v>
      </c>
      <c r="I28" s="110" t="n">
        <v>456</v>
      </c>
      <c r="J28" s="110" t="n">
        <v>468</v>
      </c>
      <c r="K28" s="110" t="n">
        <v>712</v>
      </c>
      <c r="L28" s="110" t="n">
        <v>274</v>
      </c>
      <c r="M28" s="110" t="n">
        <v>375</v>
      </c>
      <c r="N28" s="110" t="n">
        <v>665</v>
      </c>
      <c r="O28" s="110" t="n">
        <v>-516</v>
      </c>
      <c r="P28" s="110" t="n">
        <v>5415</v>
      </c>
    </row>
    <row r="29" customFormat="false" ht="15" hidden="false" customHeight="true" outlineLevel="0" collapsed="false"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</row>
    <row r="30" s="107" customFormat="true" ht="15" hidden="false" customHeight="true" outlineLevel="0" collapsed="false">
      <c r="A30" s="107" t="s">
        <v>137</v>
      </c>
      <c r="D30" s="112" t="n">
        <v>-1517</v>
      </c>
      <c r="E30" s="112" t="n">
        <v>-1627</v>
      </c>
      <c r="F30" s="112" t="n">
        <v>-5019</v>
      </c>
      <c r="G30" s="112" t="n">
        <v>2970</v>
      </c>
      <c r="H30" s="112" t="n">
        <v>-941</v>
      </c>
      <c r="I30" s="112" t="n">
        <v>-2842</v>
      </c>
      <c r="J30" s="112" t="n">
        <v>236</v>
      </c>
      <c r="K30" s="112" t="n">
        <v>-3716</v>
      </c>
      <c r="L30" s="112" t="n">
        <v>-3185</v>
      </c>
      <c r="M30" s="112" t="n">
        <v>-119</v>
      </c>
      <c r="N30" s="112" t="n">
        <v>-15</v>
      </c>
      <c r="O30" s="112" t="n">
        <v>-7431</v>
      </c>
      <c r="P30" s="112" t="n">
        <v>-23206</v>
      </c>
    </row>
    <row r="31" customFormat="false" ht="15" hidden="false" customHeight="true" outlineLevel="0" collapsed="false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</row>
    <row r="32" s="107" customFormat="true" ht="15" hidden="false" customHeight="true" outlineLevel="0" collapsed="false">
      <c r="A32" s="107" t="s">
        <v>36</v>
      </c>
      <c r="D32" s="108" t="n">
        <v>2351</v>
      </c>
      <c r="E32" s="108" t="n">
        <v>8797</v>
      </c>
      <c r="F32" s="108" t="n">
        <v>15994</v>
      </c>
      <c r="G32" s="108" t="n">
        <v>2725</v>
      </c>
      <c r="H32" s="108" t="n">
        <v>-2204</v>
      </c>
      <c r="I32" s="108" t="n">
        <v>2169</v>
      </c>
      <c r="J32" s="108" t="n">
        <v>806</v>
      </c>
      <c r="K32" s="108" t="n">
        <v>2449</v>
      </c>
      <c r="L32" s="108" t="n">
        <v>2686</v>
      </c>
      <c r="M32" s="108" t="n">
        <v>-669</v>
      </c>
      <c r="N32" s="108" t="n">
        <v>-1016</v>
      </c>
      <c r="O32" s="108" t="n">
        <v>5242</v>
      </c>
      <c r="P32" s="108" t="n">
        <v>39330</v>
      </c>
      <c r="Q32" s="161"/>
      <c r="R32" s="161"/>
    </row>
    <row r="33" customFormat="false" ht="15" hidden="false" customHeight="true" outlineLevel="0" collapsed="false">
      <c r="B33" s="100" t="s">
        <v>37</v>
      </c>
      <c r="D33" s="109" t="n">
        <v>-246</v>
      </c>
      <c r="E33" s="109" t="n">
        <v>-415</v>
      </c>
      <c r="F33" s="109" t="n">
        <v>2917</v>
      </c>
      <c r="G33" s="109" t="n">
        <v>-542</v>
      </c>
      <c r="H33" s="109" t="n">
        <v>-119</v>
      </c>
      <c r="I33" s="109" t="n">
        <v>-1195</v>
      </c>
      <c r="J33" s="109" t="n">
        <v>-40</v>
      </c>
      <c r="K33" s="109" t="n">
        <v>1</v>
      </c>
      <c r="L33" s="109" t="n">
        <v>473</v>
      </c>
      <c r="M33" s="109" t="n">
        <v>-500</v>
      </c>
      <c r="N33" s="109" t="n">
        <v>-1424</v>
      </c>
      <c r="O33" s="109" t="n">
        <v>5332</v>
      </c>
      <c r="P33" s="109" t="n">
        <v>4242</v>
      </c>
    </row>
    <row r="34" customFormat="false" ht="15" hidden="false" customHeight="true" outlineLevel="0" collapsed="false">
      <c r="C34" s="100" t="s">
        <v>38</v>
      </c>
      <c r="D34" s="110" t="n">
        <v>78</v>
      </c>
      <c r="E34" s="110" t="n">
        <v>29</v>
      </c>
      <c r="F34" s="110" t="n">
        <v>5076</v>
      </c>
      <c r="G34" s="110" t="n">
        <v>198</v>
      </c>
      <c r="H34" s="110" t="n">
        <v>44</v>
      </c>
      <c r="I34" s="110" t="n">
        <v>103</v>
      </c>
      <c r="J34" s="110" t="n">
        <v>125</v>
      </c>
      <c r="K34" s="110" t="n">
        <v>177</v>
      </c>
      <c r="L34" s="110" t="n">
        <v>1444</v>
      </c>
      <c r="M34" s="110" t="n">
        <v>81</v>
      </c>
      <c r="N34" s="110" t="n">
        <v>187</v>
      </c>
      <c r="O34" s="110" t="n">
        <v>9748</v>
      </c>
      <c r="P34" s="110" t="n">
        <v>17290</v>
      </c>
    </row>
    <row r="35" customFormat="false" ht="15" hidden="false" customHeight="true" outlineLevel="0" collapsed="false">
      <c r="C35" s="100" t="s">
        <v>39</v>
      </c>
      <c r="D35" s="110" t="n">
        <v>324</v>
      </c>
      <c r="E35" s="110" t="n">
        <v>444</v>
      </c>
      <c r="F35" s="110" t="n">
        <v>2159</v>
      </c>
      <c r="G35" s="110" t="n">
        <v>740</v>
      </c>
      <c r="H35" s="110" t="n">
        <v>163</v>
      </c>
      <c r="I35" s="110" t="n">
        <v>1298</v>
      </c>
      <c r="J35" s="110" t="n">
        <v>165</v>
      </c>
      <c r="K35" s="110" t="n">
        <v>176</v>
      </c>
      <c r="L35" s="110" t="n">
        <v>971</v>
      </c>
      <c r="M35" s="110" t="n">
        <v>581</v>
      </c>
      <c r="N35" s="110" t="n">
        <v>1611</v>
      </c>
      <c r="O35" s="110" t="n">
        <v>4416</v>
      </c>
      <c r="P35" s="110" t="n">
        <v>13048</v>
      </c>
    </row>
    <row r="36" customFormat="false" ht="15" hidden="false" customHeight="true" outlineLevel="0" collapsed="false"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</row>
    <row r="37" customFormat="false" ht="15" hidden="false" customHeight="true" outlineLevel="0" collapsed="false">
      <c r="B37" s="100" t="s">
        <v>40</v>
      </c>
      <c r="D37" s="109" t="n">
        <v>2597</v>
      </c>
      <c r="E37" s="109" t="n">
        <v>9212</v>
      </c>
      <c r="F37" s="109" t="n">
        <v>13077</v>
      </c>
      <c r="G37" s="109" t="n">
        <v>3267</v>
      </c>
      <c r="H37" s="109" t="n">
        <v>-2085</v>
      </c>
      <c r="I37" s="109" t="n">
        <v>3364</v>
      </c>
      <c r="J37" s="109" t="n">
        <v>846</v>
      </c>
      <c r="K37" s="109" t="n">
        <v>2448</v>
      </c>
      <c r="L37" s="109" t="n">
        <v>2213</v>
      </c>
      <c r="M37" s="109" t="n">
        <v>-169</v>
      </c>
      <c r="N37" s="109" t="n">
        <v>408</v>
      </c>
      <c r="O37" s="109" t="n">
        <v>-90</v>
      </c>
      <c r="P37" s="109" t="n">
        <v>35088</v>
      </c>
    </row>
    <row r="38" customFormat="false" ht="15" hidden="false" customHeight="true" outlineLevel="0" collapsed="false">
      <c r="C38" s="100" t="s">
        <v>41</v>
      </c>
      <c r="D38" s="110" t="n">
        <v>2971</v>
      </c>
      <c r="E38" s="110" t="n">
        <v>10235</v>
      </c>
      <c r="F38" s="110" t="n">
        <v>14002</v>
      </c>
      <c r="G38" s="110" t="n">
        <v>3622</v>
      </c>
      <c r="H38" s="110" t="n">
        <v>-243</v>
      </c>
      <c r="I38" s="110" t="n">
        <v>4795</v>
      </c>
      <c r="J38" s="110" t="n">
        <v>1816</v>
      </c>
      <c r="K38" s="110" t="n">
        <v>3050</v>
      </c>
      <c r="L38" s="110" t="n">
        <v>3130</v>
      </c>
      <c r="M38" s="110" t="n">
        <v>690</v>
      </c>
      <c r="N38" s="110" t="n">
        <v>813</v>
      </c>
      <c r="O38" s="110" t="n">
        <v>2458</v>
      </c>
      <c r="P38" s="110" t="n">
        <v>47339</v>
      </c>
    </row>
    <row r="39" customFormat="false" ht="15" hidden="false" customHeight="true" outlineLevel="0" collapsed="false">
      <c r="C39" s="100" t="s">
        <v>39</v>
      </c>
      <c r="D39" s="110" t="n">
        <v>374</v>
      </c>
      <c r="E39" s="110" t="n">
        <v>1023</v>
      </c>
      <c r="F39" s="110" t="n">
        <v>925</v>
      </c>
      <c r="G39" s="110" t="n">
        <v>355</v>
      </c>
      <c r="H39" s="110" t="n">
        <v>1842</v>
      </c>
      <c r="I39" s="110" t="n">
        <v>1431</v>
      </c>
      <c r="J39" s="110" t="n">
        <v>970</v>
      </c>
      <c r="K39" s="110" t="n">
        <v>602</v>
      </c>
      <c r="L39" s="110" t="n">
        <v>917</v>
      </c>
      <c r="M39" s="110" t="n">
        <v>859</v>
      </c>
      <c r="N39" s="110" t="n">
        <v>405</v>
      </c>
      <c r="O39" s="110" t="n">
        <v>2548</v>
      </c>
      <c r="P39" s="110" t="n">
        <v>12251</v>
      </c>
    </row>
    <row r="40" customFormat="false" ht="15" hidden="false" customHeight="true" outlineLevel="0" collapsed="false"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="107" customFormat="true" ht="15" hidden="false" customHeight="true" outlineLevel="0" collapsed="false">
      <c r="A41" s="107" t="s">
        <v>163</v>
      </c>
      <c r="D41" s="108" t="n">
        <v>840</v>
      </c>
      <c r="E41" s="108" t="n">
        <v>6984</v>
      </c>
      <c r="F41" s="108" t="n">
        <v>10893</v>
      </c>
      <c r="G41" s="108" t="n">
        <v>5540</v>
      </c>
      <c r="H41" s="108" t="n">
        <v>-2709</v>
      </c>
      <c r="I41" s="108" t="n">
        <v>-688</v>
      </c>
      <c r="J41" s="108" t="n">
        <v>1128</v>
      </c>
      <c r="K41" s="108" t="n">
        <v>-908</v>
      </c>
      <c r="L41" s="108" t="n">
        <v>113</v>
      </c>
      <c r="M41" s="108" t="n">
        <v>-682</v>
      </c>
      <c r="N41" s="108" t="n">
        <v>-847</v>
      </c>
      <c r="O41" s="108" t="n">
        <v>-1605</v>
      </c>
      <c r="P41" s="108" t="n">
        <v>18059</v>
      </c>
    </row>
    <row r="42" customFormat="false" ht="15" hidden="false" customHeight="false" outlineLevel="0" collapsed="false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</row>
    <row r="43" customFormat="false" ht="15" hidden="false" customHeight="false" outlineLevel="0" collapsed="false"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</row>
    <row r="45" customFormat="false" ht="14.25" hidden="false" customHeight="false" outlineLevel="0" collapsed="false">
      <c r="A45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U36" activeCellId="0" sqref="U36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58"/>
    <col collapsed="false" customWidth="true" hidden="false" outlineLevel="0" max="2" min="2" style="100" width="1.29"/>
    <col collapsed="false" customWidth="true" hidden="false" outlineLevel="0" max="3" min="3" style="100" width="24.42"/>
    <col collapsed="false" customWidth="true" hidden="false" outlineLevel="0" max="15" min="4" style="100" width="8.29"/>
    <col collapsed="false" customWidth="true" hidden="false" outlineLevel="0" max="16" min="16" style="100" width="9"/>
    <col collapsed="false" customWidth="false" hidden="false" outlineLevel="0" max="1024" min="17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169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1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false" outlineLevel="0" collapsed="false"/>
    <row r="7" s="107" customFormat="true" ht="15" hidden="false" customHeight="false" outlineLevel="0" collapsed="false">
      <c r="A7" s="107" t="s">
        <v>12</v>
      </c>
      <c r="D7" s="108" t="n">
        <v>8097</v>
      </c>
      <c r="E7" s="108" t="n">
        <v>5521</v>
      </c>
      <c r="F7" s="108" t="n">
        <v>7582</v>
      </c>
      <c r="G7" s="108" t="n">
        <v>10930</v>
      </c>
      <c r="H7" s="108" t="n">
        <v>6282</v>
      </c>
      <c r="I7" s="108" t="n">
        <v>9978</v>
      </c>
      <c r="J7" s="108" t="n">
        <v>9747</v>
      </c>
      <c r="K7" s="108" t="n">
        <v>7751</v>
      </c>
      <c r="L7" s="108" t="n">
        <v>7807</v>
      </c>
      <c r="M7" s="108" t="n">
        <v>11475</v>
      </c>
      <c r="N7" s="108" t="n">
        <v>6649</v>
      </c>
      <c r="O7" s="108" t="n">
        <v>11395</v>
      </c>
      <c r="P7" s="108" t="n">
        <v>103214</v>
      </c>
    </row>
    <row r="8" customFormat="false" ht="15.75" hidden="false" customHeight="true" outlineLevel="0" collapsed="false">
      <c r="B8" s="100" t="s">
        <v>13</v>
      </c>
      <c r="D8" s="109" t="n">
        <v>7310</v>
      </c>
      <c r="E8" s="109" t="n">
        <v>4995</v>
      </c>
      <c r="F8" s="109" t="n">
        <v>6066</v>
      </c>
      <c r="G8" s="109" t="n">
        <v>9737</v>
      </c>
      <c r="H8" s="109" t="n">
        <v>5814</v>
      </c>
      <c r="I8" s="109" t="n">
        <v>7673</v>
      </c>
      <c r="J8" s="109" t="n">
        <v>8902</v>
      </c>
      <c r="K8" s="109" t="n">
        <v>7176</v>
      </c>
      <c r="L8" s="109" t="n">
        <v>6165</v>
      </c>
      <c r="M8" s="109" t="n">
        <v>8345</v>
      </c>
      <c r="N8" s="109" t="n">
        <v>5515</v>
      </c>
      <c r="O8" s="109" t="n">
        <v>8225</v>
      </c>
      <c r="P8" s="109" t="n">
        <v>85923</v>
      </c>
    </row>
    <row r="9" customFormat="false" ht="14.25" hidden="false" customHeight="false" outlineLevel="0" collapsed="false">
      <c r="C9" s="100" t="s">
        <v>14</v>
      </c>
      <c r="D9" s="110" t="n">
        <v>5743</v>
      </c>
      <c r="E9" s="110" t="n">
        <v>2969</v>
      </c>
      <c r="F9" s="110" t="n">
        <v>3771</v>
      </c>
      <c r="G9" s="110" t="n">
        <v>7524</v>
      </c>
      <c r="H9" s="110" t="n">
        <v>4074</v>
      </c>
      <c r="I9" s="110" t="n">
        <v>5184</v>
      </c>
      <c r="J9" s="110" t="n">
        <v>6334</v>
      </c>
      <c r="K9" s="110" t="n">
        <v>4980</v>
      </c>
      <c r="L9" s="110" t="n">
        <v>3498</v>
      </c>
      <c r="M9" s="110" t="n">
        <v>5840</v>
      </c>
      <c r="N9" s="110" t="n">
        <v>3437</v>
      </c>
      <c r="O9" s="110" t="n">
        <v>5246</v>
      </c>
      <c r="P9" s="110" t="n">
        <v>58600</v>
      </c>
    </row>
    <row r="10" customFormat="false" ht="14.25" hidden="false" customHeight="false" outlineLevel="0" collapsed="false">
      <c r="C10" s="100" t="s">
        <v>18</v>
      </c>
      <c r="D10" s="110" t="n">
        <v>1467</v>
      </c>
      <c r="E10" s="110" t="n">
        <v>1925</v>
      </c>
      <c r="F10" s="110" t="n">
        <v>2174</v>
      </c>
      <c r="G10" s="110" t="n">
        <v>2080</v>
      </c>
      <c r="H10" s="110" t="n">
        <v>1638</v>
      </c>
      <c r="I10" s="110" t="n">
        <v>2340</v>
      </c>
      <c r="J10" s="110" t="n">
        <v>2429</v>
      </c>
      <c r="K10" s="110" t="n">
        <v>2062</v>
      </c>
      <c r="L10" s="110" t="n">
        <v>2549</v>
      </c>
      <c r="M10" s="110" t="n">
        <v>2392</v>
      </c>
      <c r="N10" s="110" t="n">
        <v>1998</v>
      </c>
      <c r="O10" s="110" t="n">
        <v>2938</v>
      </c>
      <c r="P10" s="110" t="n">
        <v>25992</v>
      </c>
    </row>
    <row r="11" customFormat="false" ht="14.25" hidden="false" customHeight="false" outlineLevel="0" collapsed="false">
      <c r="C11" s="100" t="s">
        <v>87</v>
      </c>
      <c r="D11" s="110" t="n">
        <v>100</v>
      </c>
      <c r="E11" s="110" t="n">
        <v>101</v>
      </c>
      <c r="F11" s="110" t="n">
        <v>121</v>
      </c>
      <c r="G11" s="110" t="n">
        <v>133</v>
      </c>
      <c r="H11" s="110" t="n">
        <v>102</v>
      </c>
      <c r="I11" s="110" t="n">
        <v>149</v>
      </c>
      <c r="J11" s="110" t="n">
        <v>139</v>
      </c>
      <c r="K11" s="110" t="n">
        <v>134</v>
      </c>
      <c r="L11" s="110" t="n">
        <v>118</v>
      </c>
      <c r="M11" s="110" t="n">
        <v>113</v>
      </c>
      <c r="N11" s="110" t="n">
        <v>80</v>
      </c>
      <c r="O11" s="110" t="n">
        <v>41</v>
      </c>
      <c r="P11" s="110" t="n">
        <v>1331</v>
      </c>
    </row>
    <row r="12" customFormat="false" ht="14.25" hidden="false" customHeight="fals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customFormat="false" ht="14.25" hidden="false" customHeight="false" outlineLevel="0" collapsed="false">
      <c r="B13" s="100" t="s">
        <v>20</v>
      </c>
      <c r="D13" s="109" t="n">
        <v>771</v>
      </c>
      <c r="E13" s="109" t="n">
        <v>524</v>
      </c>
      <c r="F13" s="109" t="n">
        <v>1356</v>
      </c>
      <c r="G13" s="109" t="n">
        <v>1105</v>
      </c>
      <c r="H13" s="109" t="n">
        <v>464</v>
      </c>
      <c r="I13" s="109" t="n">
        <v>2100</v>
      </c>
      <c r="J13" s="109" t="n">
        <v>844</v>
      </c>
      <c r="K13" s="109" t="n">
        <v>575</v>
      </c>
      <c r="L13" s="109" t="n">
        <v>1514</v>
      </c>
      <c r="M13" s="109" t="n">
        <v>2877</v>
      </c>
      <c r="N13" s="109" t="n">
        <v>780</v>
      </c>
      <c r="O13" s="109" t="n">
        <v>2988</v>
      </c>
      <c r="P13" s="109" t="n">
        <v>15898</v>
      </c>
    </row>
    <row r="14" customFormat="false" ht="14.25" hidden="false" customHeight="false" outlineLevel="0" collapsed="false">
      <c r="C14" s="100" t="s">
        <v>21</v>
      </c>
      <c r="D14" s="110" t="n">
        <v>235</v>
      </c>
      <c r="E14" s="110" t="n">
        <v>188</v>
      </c>
      <c r="F14" s="110" t="n">
        <v>243</v>
      </c>
      <c r="G14" s="110" t="n">
        <v>567</v>
      </c>
      <c r="H14" s="110" t="n">
        <v>134</v>
      </c>
      <c r="I14" s="110" t="n">
        <v>246</v>
      </c>
      <c r="J14" s="110" t="n">
        <v>322</v>
      </c>
      <c r="K14" s="110" t="n">
        <v>146</v>
      </c>
      <c r="L14" s="110" t="n">
        <v>452</v>
      </c>
      <c r="M14" s="110" t="n">
        <v>658</v>
      </c>
      <c r="N14" s="110" t="n">
        <v>310</v>
      </c>
      <c r="O14" s="110" t="n">
        <v>2251</v>
      </c>
      <c r="P14" s="110" t="n">
        <v>5752</v>
      </c>
    </row>
    <row r="15" customFormat="false" ht="14.25" hidden="false" customHeight="false" outlineLevel="0" collapsed="false">
      <c r="C15" s="100" t="s">
        <v>150</v>
      </c>
      <c r="D15" s="110" t="n">
        <v>516</v>
      </c>
      <c r="E15" s="110" t="n">
        <v>329</v>
      </c>
      <c r="F15" s="110" t="n">
        <v>1040</v>
      </c>
      <c r="G15" s="110" t="n">
        <v>165</v>
      </c>
      <c r="H15" s="110" t="n">
        <v>323</v>
      </c>
      <c r="I15" s="110" t="n">
        <v>312</v>
      </c>
      <c r="J15" s="110" t="n">
        <v>500</v>
      </c>
      <c r="K15" s="110" t="n">
        <v>307</v>
      </c>
      <c r="L15" s="110" t="n">
        <v>547</v>
      </c>
      <c r="M15" s="110" t="n">
        <v>357</v>
      </c>
      <c r="N15" s="110" t="n">
        <v>371</v>
      </c>
      <c r="O15" s="110" t="n">
        <v>601</v>
      </c>
      <c r="P15" s="110" t="n">
        <v>5368</v>
      </c>
    </row>
    <row r="16" customFormat="false" ht="14.25" hidden="false" customHeight="false" outlineLevel="0" collapsed="false">
      <c r="C16" s="100" t="s">
        <v>160</v>
      </c>
      <c r="D16" s="110" t="n">
        <v>0</v>
      </c>
      <c r="E16" s="110" t="n">
        <v>0</v>
      </c>
      <c r="F16" s="110" t="n">
        <v>0</v>
      </c>
      <c r="G16" s="110" t="n">
        <v>0</v>
      </c>
      <c r="H16" s="110" t="n">
        <v>0</v>
      </c>
      <c r="I16" s="110" t="n">
        <v>1535</v>
      </c>
      <c r="J16" s="110" t="n">
        <v>0</v>
      </c>
      <c r="K16" s="110" t="n">
        <v>27</v>
      </c>
      <c r="L16" s="110" t="n">
        <v>0</v>
      </c>
      <c r="M16" s="110" t="n">
        <v>1554</v>
      </c>
      <c r="N16" s="110" t="n">
        <v>0</v>
      </c>
      <c r="O16" s="110" t="n">
        <v>0</v>
      </c>
      <c r="P16" s="110" t="n">
        <v>3116</v>
      </c>
    </row>
    <row r="17" customFormat="false" ht="14.25" hidden="false" customHeight="false" outlineLevel="0" collapsed="false">
      <c r="C17" s="100" t="s">
        <v>23</v>
      </c>
      <c r="D17" s="110" t="n">
        <v>20</v>
      </c>
      <c r="E17" s="110" t="n">
        <v>7</v>
      </c>
      <c r="F17" s="110" t="n">
        <v>73</v>
      </c>
      <c r="G17" s="110" t="n">
        <v>1</v>
      </c>
      <c r="H17" s="110" t="n">
        <v>7</v>
      </c>
      <c r="I17" s="110" t="n">
        <v>7</v>
      </c>
      <c r="J17" s="110" t="n">
        <v>22</v>
      </c>
      <c r="K17" s="110" t="n">
        <v>95</v>
      </c>
      <c r="L17" s="110" t="n">
        <v>493</v>
      </c>
      <c r="M17" s="110" t="n">
        <v>308</v>
      </c>
      <c r="N17" s="110" t="n">
        <v>94</v>
      </c>
      <c r="O17" s="110" t="n">
        <v>126</v>
      </c>
      <c r="P17" s="110" t="n">
        <v>1253</v>
      </c>
    </row>
    <row r="18" customFormat="false" ht="14.25" hidden="false" customHeight="false" outlineLevel="0" collapsed="false">
      <c r="C18" s="100" t="s">
        <v>105</v>
      </c>
      <c r="D18" s="110" t="n">
        <v>0</v>
      </c>
      <c r="E18" s="110" t="n">
        <v>0</v>
      </c>
      <c r="F18" s="110" t="n">
        <v>0</v>
      </c>
      <c r="G18" s="110" t="n">
        <v>372</v>
      </c>
      <c r="H18" s="110" t="n">
        <v>0</v>
      </c>
      <c r="I18" s="110" t="n">
        <v>0</v>
      </c>
      <c r="J18" s="110" t="n">
        <v>0</v>
      </c>
      <c r="K18" s="110" t="n">
        <v>0</v>
      </c>
      <c r="L18" s="110" t="n">
        <v>22</v>
      </c>
      <c r="M18" s="110" t="n">
        <v>0</v>
      </c>
      <c r="N18" s="110" t="n">
        <v>5</v>
      </c>
      <c r="O18" s="110" t="n">
        <v>10</v>
      </c>
      <c r="P18" s="110" t="n">
        <v>409</v>
      </c>
    </row>
    <row r="19" customFormat="false" ht="6.75" hidden="false" customHeight="true" outlineLevel="0" collapsed="false"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</row>
    <row r="20" customFormat="false" ht="14.25" hidden="false" customHeight="false" outlineLevel="0" collapsed="false">
      <c r="B20" s="100" t="s">
        <v>26</v>
      </c>
      <c r="D20" s="110" t="n">
        <v>16</v>
      </c>
      <c r="E20" s="110" t="n">
        <v>2</v>
      </c>
      <c r="F20" s="110" t="n">
        <v>160</v>
      </c>
      <c r="G20" s="110" t="n">
        <v>88</v>
      </c>
      <c r="H20" s="110" t="n">
        <v>4</v>
      </c>
      <c r="I20" s="110" t="n">
        <v>205</v>
      </c>
      <c r="J20" s="110" t="n">
        <v>1</v>
      </c>
      <c r="K20" s="110" t="n">
        <v>0</v>
      </c>
      <c r="L20" s="110" t="n">
        <v>128</v>
      </c>
      <c r="M20" s="110" t="n">
        <v>253</v>
      </c>
      <c r="N20" s="110" t="n">
        <v>354</v>
      </c>
      <c r="O20" s="110" t="n">
        <v>182</v>
      </c>
      <c r="P20" s="110" t="n">
        <v>1393</v>
      </c>
    </row>
    <row r="21" customFormat="false" ht="14.25" hidden="false" customHeight="false" outlineLevel="0" collapsed="false"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</row>
    <row r="22" s="107" customFormat="true" ht="15" hidden="false" customHeight="false" outlineLevel="0" collapsed="false">
      <c r="A22" s="107" t="s">
        <v>27</v>
      </c>
      <c r="D22" s="108" t="n">
        <v>9679</v>
      </c>
      <c r="E22" s="108" t="n">
        <v>6662</v>
      </c>
      <c r="F22" s="108" t="n">
        <v>12212</v>
      </c>
      <c r="G22" s="108" t="n">
        <v>10926</v>
      </c>
      <c r="H22" s="108" t="n">
        <v>10515</v>
      </c>
      <c r="I22" s="108" t="n">
        <v>9131</v>
      </c>
      <c r="J22" s="108" t="n">
        <v>11544</v>
      </c>
      <c r="K22" s="108" t="n">
        <v>8731</v>
      </c>
      <c r="L22" s="108" t="n">
        <v>9221</v>
      </c>
      <c r="M22" s="108" t="n">
        <v>9778</v>
      </c>
      <c r="N22" s="108" t="n">
        <v>10128</v>
      </c>
      <c r="O22" s="108" t="n">
        <v>11380</v>
      </c>
      <c r="P22" s="108" t="n">
        <v>119907</v>
      </c>
      <c r="Q22" s="112"/>
    </row>
    <row r="23" customFormat="false" ht="15.75" hidden="false" customHeight="true" outlineLevel="0" collapsed="false">
      <c r="B23" s="100" t="s">
        <v>15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12"/>
    </row>
    <row r="24" customFormat="false" ht="15" hidden="false" customHeight="false" outlineLevel="0" collapsed="false">
      <c r="C24" s="100" t="s">
        <v>29</v>
      </c>
      <c r="D24" s="110" t="n">
        <v>1731</v>
      </c>
      <c r="E24" s="110" t="n">
        <v>2970</v>
      </c>
      <c r="F24" s="110" t="n">
        <v>4725</v>
      </c>
      <c r="G24" s="110" t="n">
        <v>3339</v>
      </c>
      <c r="H24" s="110" t="n">
        <v>2818</v>
      </c>
      <c r="I24" s="110" t="n">
        <v>3472</v>
      </c>
      <c r="J24" s="110" t="n">
        <v>3037</v>
      </c>
      <c r="K24" s="110" t="n">
        <v>2842</v>
      </c>
      <c r="L24" s="110" t="n">
        <v>3090</v>
      </c>
      <c r="M24" s="110" t="n">
        <v>2635</v>
      </c>
      <c r="N24" s="110" t="n">
        <v>2954</v>
      </c>
      <c r="O24" s="110" t="n">
        <v>3292</v>
      </c>
      <c r="P24" s="110" t="n">
        <v>36905</v>
      </c>
      <c r="Q24" s="112"/>
    </row>
    <row r="25" customFormat="false" ht="15" hidden="false" customHeight="false" outlineLevel="0" collapsed="false">
      <c r="C25" s="100" t="s">
        <v>77</v>
      </c>
      <c r="D25" s="110" t="n">
        <v>0</v>
      </c>
      <c r="E25" s="110" t="n">
        <v>0</v>
      </c>
      <c r="F25" s="110" t="n">
        <v>47</v>
      </c>
      <c r="G25" s="110" t="n">
        <v>487</v>
      </c>
      <c r="H25" s="110" t="n">
        <v>14</v>
      </c>
      <c r="I25" s="110" t="n">
        <v>0</v>
      </c>
      <c r="J25" s="110" t="n">
        <v>0</v>
      </c>
      <c r="K25" s="110" t="n">
        <v>151</v>
      </c>
      <c r="L25" s="110" t="n">
        <v>13</v>
      </c>
      <c r="M25" s="110" t="n">
        <v>418</v>
      </c>
      <c r="N25" s="110" t="n">
        <v>189</v>
      </c>
      <c r="O25" s="110" t="n">
        <v>517</v>
      </c>
      <c r="P25" s="110" t="n">
        <v>1836</v>
      </c>
      <c r="Q25" s="112"/>
    </row>
    <row r="26" customFormat="false" ht="15" hidden="false" customHeight="false" outlineLevel="0" collapsed="false">
      <c r="C26" s="100" t="s">
        <v>28</v>
      </c>
      <c r="D26" s="110" t="n">
        <v>155</v>
      </c>
      <c r="E26" s="110" t="n">
        <v>172</v>
      </c>
      <c r="F26" s="110" t="n">
        <v>444</v>
      </c>
      <c r="G26" s="110" t="n">
        <v>185</v>
      </c>
      <c r="H26" s="110" t="n">
        <v>260</v>
      </c>
      <c r="I26" s="110" t="n">
        <v>290</v>
      </c>
      <c r="J26" s="110" t="n">
        <v>859</v>
      </c>
      <c r="K26" s="110" t="n">
        <v>8</v>
      </c>
      <c r="L26" s="110" t="n">
        <v>587</v>
      </c>
      <c r="M26" s="110" t="n">
        <v>300</v>
      </c>
      <c r="N26" s="110" t="n">
        <v>297</v>
      </c>
      <c r="O26" s="110" t="n">
        <v>747</v>
      </c>
      <c r="P26" s="110" t="n">
        <v>4304</v>
      </c>
      <c r="Q26" s="112"/>
    </row>
    <row r="27" customFormat="false" ht="15" hidden="false" customHeight="false" outlineLevel="0" collapsed="false">
      <c r="C27" s="100" t="s">
        <v>30</v>
      </c>
      <c r="D27" s="110" t="n">
        <v>0</v>
      </c>
      <c r="E27" s="110" t="n">
        <v>0</v>
      </c>
      <c r="F27" s="110" t="n">
        <v>0</v>
      </c>
      <c r="G27" s="110" t="n">
        <v>0</v>
      </c>
      <c r="H27" s="110" t="n">
        <v>0</v>
      </c>
      <c r="I27" s="110" t="n">
        <v>507</v>
      </c>
      <c r="J27" s="110" t="n">
        <v>0</v>
      </c>
      <c r="K27" s="110" t="n">
        <v>0</v>
      </c>
      <c r="L27" s="110" t="n">
        <v>0</v>
      </c>
      <c r="M27" s="110" t="n">
        <v>0</v>
      </c>
      <c r="N27" s="110" t="n">
        <v>0</v>
      </c>
      <c r="O27" s="110" t="n">
        <v>542</v>
      </c>
      <c r="P27" s="110" t="n">
        <v>1049</v>
      </c>
      <c r="Q27" s="112"/>
    </row>
    <row r="28" customFormat="false" ht="15" hidden="false" customHeight="false" outlineLevel="0" collapsed="false">
      <c r="C28" s="100" t="s">
        <v>32</v>
      </c>
      <c r="D28" s="110" t="n">
        <v>0</v>
      </c>
      <c r="E28" s="110" t="n">
        <v>3</v>
      </c>
      <c r="F28" s="110" t="n">
        <v>708</v>
      </c>
      <c r="G28" s="110" t="n">
        <v>0</v>
      </c>
      <c r="H28" s="110" t="n">
        <v>45</v>
      </c>
      <c r="I28" s="110" t="n">
        <v>289</v>
      </c>
      <c r="J28" s="110" t="n">
        <v>33</v>
      </c>
      <c r="K28" s="110" t="n">
        <v>199</v>
      </c>
      <c r="L28" s="110" t="n">
        <v>0</v>
      </c>
      <c r="M28" s="110" t="n">
        <v>4</v>
      </c>
      <c r="N28" s="110" t="n">
        <v>740</v>
      </c>
      <c r="O28" s="110" t="n">
        <v>2393</v>
      </c>
      <c r="P28" s="110" t="n">
        <v>4414</v>
      </c>
      <c r="Q28" s="112"/>
    </row>
    <row r="29" customFormat="false" ht="15" hidden="false" customHeight="false" outlineLevel="0" collapsed="false">
      <c r="C29" s="100" t="s">
        <v>78</v>
      </c>
      <c r="D29" s="110" t="n">
        <v>846</v>
      </c>
      <c r="E29" s="110" t="n">
        <v>-194</v>
      </c>
      <c r="F29" s="110" t="n">
        <v>754</v>
      </c>
      <c r="G29" s="110" t="n">
        <v>915</v>
      </c>
      <c r="H29" s="110" t="n">
        <v>606</v>
      </c>
      <c r="I29" s="110" t="n">
        <v>526</v>
      </c>
      <c r="J29" s="110" t="n">
        <v>1274</v>
      </c>
      <c r="K29" s="110" t="n">
        <v>574</v>
      </c>
      <c r="L29" s="110" t="n">
        <v>693</v>
      </c>
      <c r="M29" s="110" t="n">
        <v>1124</v>
      </c>
      <c r="N29" s="110" t="n">
        <v>717</v>
      </c>
      <c r="O29" s="110" t="n">
        <v>-758</v>
      </c>
      <c r="P29" s="110" t="n">
        <v>7077</v>
      </c>
      <c r="Q29" s="112"/>
    </row>
    <row r="30" customFormat="false" ht="14.25" hidden="false" customHeight="false" outlineLevel="0" collapsed="false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="107" customFormat="true" ht="15" hidden="false" customHeight="false" outlineLevel="0" collapsed="false">
      <c r="A31" s="107" t="s">
        <v>137</v>
      </c>
      <c r="D31" s="112" t="n">
        <v>-1582</v>
      </c>
      <c r="E31" s="112" t="n">
        <v>-1141</v>
      </c>
      <c r="F31" s="112" t="n">
        <v>-4630</v>
      </c>
      <c r="G31" s="112" t="n">
        <v>4</v>
      </c>
      <c r="H31" s="112" t="n">
        <v>-4233</v>
      </c>
      <c r="I31" s="112" t="n">
        <v>847</v>
      </c>
      <c r="J31" s="112" t="n">
        <v>-1797</v>
      </c>
      <c r="K31" s="112" t="n">
        <v>-980</v>
      </c>
      <c r="L31" s="112" t="n">
        <v>-1414</v>
      </c>
      <c r="M31" s="112" t="n">
        <v>1697</v>
      </c>
      <c r="N31" s="112" t="n">
        <v>-3479</v>
      </c>
      <c r="O31" s="112" t="n">
        <v>15</v>
      </c>
      <c r="P31" s="112" t="n">
        <v>-16693</v>
      </c>
      <c r="Q31" s="112"/>
    </row>
    <row r="32" customFormat="false" ht="14.25" hidden="false" customHeight="false" outlineLevel="0" collapsed="false"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</row>
    <row r="33" s="107" customFormat="true" ht="15" hidden="false" customHeight="false" outlineLevel="0" collapsed="false">
      <c r="A33" s="107" t="s">
        <v>36</v>
      </c>
      <c r="D33" s="108" t="n">
        <v>3216</v>
      </c>
      <c r="E33" s="108" t="n">
        <v>3978</v>
      </c>
      <c r="F33" s="108" t="n">
        <v>11522</v>
      </c>
      <c r="G33" s="108" t="n">
        <v>11874</v>
      </c>
      <c r="H33" s="108" t="n">
        <v>2962</v>
      </c>
      <c r="I33" s="108" t="n">
        <v>2295</v>
      </c>
      <c r="J33" s="108" t="n">
        <v>12673</v>
      </c>
      <c r="K33" s="108" t="n">
        <v>6124</v>
      </c>
      <c r="L33" s="108" t="n">
        <v>-7988</v>
      </c>
      <c r="M33" s="108" t="n">
        <v>298</v>
      </c>
      <c r="N33" s="108" t="n">
        <v>-3463</v>
      </c>
      <c r="O33" s="108" t="n">
        <v>-2373</v>
      </c>
      <c r="P33" s="108" t="n">
        <v>41118</v>
      </c>
      <c r="Q33" s="112"/>
      <c r="R33" s="161"/>
      <c r="S33" s="161"/>
    </row>
    <row r="34" customFormat="false" ht="15" hidden="false" customHeight="false" outlineLevel="0" collapsed="false">
      <c r="B34" s="100" t="s">
        <v>37</v>
      </c>
      <c r="D34" s="109" t="n">
        <v>282</v>
      </c>
      <c r="E34" s="109" t="n">
        <v>1267</v>
      </c>
      <c r="F34" s="109" t="n">
        <v>-1189</v>
      </c>
      <c r="G34" s="109" t="n">
        <v>416</v>
      </c>
      <c r="H34" s="109" t="n">
        <v>277</v>
      </c>
      <c r="I34" s="109" t="n">
        <v>-1542</v>
      </c>
      <c r="J34" s="109" t="n">
        <v>342</v>
      </c>
      <c r="K34" s="109" t="n">
        <v>831</v>
      </c>
      <c r="L34" s="109" t="n">
        <v>-82</v>
      </c>
      <c r="M34" s="109" t="n">
        <v>-188</v>
      </c>
      <c r="N34" s="109" t="n">
        <v>-42</v>
      </c>
      <c r="O34" s="109" t="n">
        <v>6409</v>
      </c>
      <c r="P34" s="109" t="n">
        <v>6781</v>
      </c>
      <c r="Q34" s="112"/>
    </row>
    <row r="35" customFormat="false" ht="15" hidden="false" customHeight="false" outlineLevel="0" collapsed="false">
      <c r="C35" s="100" t="s">
        <v>38</v>
      </c>
      <c r="D35" s="110" t="n">
        <v>563</v>
      </c>
      <c r="E35" s="110" t="n">
        <v>1506</v>
      </c>
      <c r="F35" s="110" t="n">
        <v>249</v>
      </c>
      <c r="G35" s="110" t="n">
        <v>901</v>
      </c>
      <c r="H35" s="110" t="n">
        <v>281</v>
      </c>
      <c r="I35" s="110" t="n">
        <v>172</v>
      </c>
      <c r="J35" s="110" t="n">
        <v>594</v>
      </c>
      <c r="K35" s="110" t="n">
        <v>1080</v>
      </c>
      <c r="L35" s="110" t="n">
        <v>1087</v>
      </c>
      <c r="M35" s="110" t="n">
        <v>198</v>
      </c>
      <c r="N35" s="110" t="n">
        <v>212</v>
      </c>
      <c r="O35" s="110" t="n">
        <v>8577</v>
      </c>
      <c r="P35" s="110" t="n">
        <v>15420</v>
      </c>
      <c r="Q35" s="112"/>
    </row>
    <row r="36" customFormat="false" ht="15" hidden="false" customHeight="false" outlineLevel="0" collapsed="false">
      <c r="C36" s="100" t="s">
        <v>39</v>
      </c>
      <c r="D36" s="110" t="n">
        <v>281</v>
      </c>
      <c r="E36" s="110" t="n">
        <v>239</v>
      </c>
      <c r="F36" s="110" t="n">
        <v>1438</v>
      </c>
      <c r="G36" s="110" t="n">
        <v>485</v>
      </c>
      <c r="H36" s="110" t="n">
        <v>4</v>
      </c>
      <c r="I36" s="110" t="n">
        <v>1714</v>
      </c>
      <c r="J36" s="110" t="n">
        <v>252</v>
      </c>
      <c r="K36" s="110" t="n">
        <v>249</v>
      </c>
      <c r="L36" s="110" t="n">
        <v>1169</v>
      </c>
      <c r="M36" s="110" t="n">
        <v>386</v>
      </c>
      <c r="N36" s="110" t="n">
        <v>254</v>
      </c>
      <c r="O36" s="110" t="n">
        <v>2168</v>
      </c>
      <c r="P36" s="110" t="n">
        <v>8639</v>
      </c>
      <c r="Q36" s="112"/>
    </row>
    <row r="37" customFormat="false" ht="14.25" hidden="false" customHeight="false" outlineLevel="0" collapsed="false"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</row>
    <row r="38" customFormat="false" ht="15" hidden="false" customHeight="false" outlineLevel="0" collapsed="false">
      <c r="B38" s="100" t="s">
        <v>40</v>
      </c>
      <c r="D38" s="109" t="n">
        <v>2934</v>
      </c>
      <c r="E38" s="109" t="n">
        <v>2711</v>
      </c>
      <c r="F38" s="109" t="n">
        <v>12711</v>
      </c>
      <c r="G38" s="109" t="n">
        <v>11458</v>
      </c>
      <c r="H38" s="109" t="n">
        <v>2685</v>
      </c>
      <c r="I38" s="109" t="n">
        <v>3837</v>
      </c>
      <c r="J38" s="109" t="n">
        <v>12331</v>
      </c>
      <c r="K38" s="109" t="n">
        <v>5293</v>
      </c>
      <c r="L38" s="109" t="n">
        <v>-7906</v>
      </c>
      <c r="M38" s="109" t="n">
        <v>486</v>
      </c>
      <c r="N38" s="109" t="n">
        <v>-3421</v>
      </c>
      <c r="O38" s="109" t="n">
        <v>-8782</v>
      </c>
      <c r="P38" s="109" t="n">
        <v>34337</v>
      </c>
      <c r="Q38" s="112"/>
    </row>
    <row r="39" customFormat="false" ht="15" hidden="false" customHeight="false" outlineLevel="0" collapsed="false">
      <c r="C39" s="100" t="s">
        <v>41</v>
      </c>
      <c r="D39" s="110" t="n">
        <v>3573</v>
      </c>
      <c r="E39" s="110" t="n">
        <v>11917</v>
      </c>
      <c r="F39" s="110" t="n">
        <v>13426</v>
      </c>
      <c r="G39" s="110" t="n">
        <v>13570</v>
      </c>
      <c r="H39" s="110" t="n">
        <v>3551</v>
      </c>
      <c r="I39" s="110" t="n">
        <v>5250</v>
      </c>
      <c r="J39" s="110" t="n">
        <v>13355</v>
      </c>
      <c r="K39" s="110" t="n">
        <v>6817</v>
      </c>
      <c r="L39" s="110" t="n">
        <v>-5717</v>
      </c>
      <c r="M39" s="110" t="n">
        <v>2047</v>
      </c>
      <c r="N39" s="110" t="n">
        <v>-2737</v>
      </c>
      <c r="O39" s="110" t="n">
        <v>-6434</v>
      </c>
      <c r="P39" s="110" t="n">
        <v>58618</v>
      </c>
      <c r="Q39" s="112"/>
    </row>
    <row r="40" customFormat="false" ht="15" hidden="false" customHeight="false" outlineLevel="0" collapsed="false">
      <c r="C40" s="100" t="s">
        <v>39</v>
      </c>
      <c r="D40" s="110" t="n">
        <v>639</v>
      </c>
      <c r="E40" s="110" t="n">
        <v>9206</v>
      </c>
      <c r="F40" s="110" t="n">
        <v>715</v>
      </c>
      <c r="G40" s="110" t="n">
        <v>2112</v>
      </c>
      <c r="H40" s="110" t="n">
        <v>866</v>
      </c>
      <c r="I40" s="110" t="n">
        <v>1413</v>
      </c>
      <c r="J40" s="110" t="n">
        <v>1024</v>
      </c>
      <c r="K40" s="110" t="n">
        <v>1524</v>
      </c>
      <c r="L40" s="110" t="n">
        <v>2189</v>
      </c>
      <c r="M40" s="110" t="n">
        <v>1561</v>
      </c>
      <c r="N40" s="110" t="n">
        <v>684</v>
      </c>
      <c r="O40" s="110" t="n">
        <v>2348</v>
      </c>
      <c r="P40" s="110" t="n">
        <v>24281</v>
      </c>
      <c r="Q40" s="112"/>
    </row>
    <row r="41" customFormat="false" ht="14.25" hidden="false" customHeight="false" outlineLevel="0" collapsed="false"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customFormat="false" ht="14.25" hidden="false" customHeight="false" outlineLevel="0" collapsed="false">
      <c r="A42" s="100" t="s">
        <v>163</v>
      </c>
      <c r="D42" s="109" t="n">
        <v>1400</v>
      </c>
      <c r="E42" s="109" t="n">
        <v>1664</v>
      </c>
      <c r="F42" s="109" t="n">
        <v>6785</v>
      </c>
      <c r="G42" s="109" t="n">
        <v>11295</v>
      </c>
      <c r="H42" s="109" t="n">
        <v>-179</v>
      </c>
      <c r="I42" s="109" t="n">
        <v>3109</v>
      </c>
      <c r="J42" s="109" t="n">
        <v>11756</v>
      </c>
      <c r="K42" s="109" t="n">
        <v>5050</v>
      </c>
      <c r="L42" s="109" t="n">
        <v>-9029</v>
      </c>
      <c r="M42" s="109" t="n">
        <v>2939</v>
      </c>
      <c r="N42" s="109" t="n">
        <v>-9692</v>
      </c>
      <c r="O42" s="109" t="n">
        <v>-1941</v>
      </c>
      <c r="P42" s="109" t="n">
        <v>23157</v>
      </c>
      <c r="Q42" s="110"/>
    </row>
    <row r="43" customFormat="false" ht="15" hidden="false" customHeight="false" outlineLevel="0" collapsed="false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</row>
    <row r="44" customFormat="false" ht="15" hidden="false" customHeight="false" outlineLevel="0" collapsed="false"/>
    <row r="46" customFormat="false" ht="14.25" hidden="false" customHeight="false" outlineLevel="0" collapsed="false">
      <c r="A46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M9" activeCellId="0" sqref="M9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58"/>
    <col collapsed="false" customWidth="true" hidden="false" outlineLevel="0" max="2" min="2" style="100" width="1.29"/>
    <col collapsed="false" customWidth="true" hidden="false" outlineLevel="0" max="3" min="3" style="100" width="24.86"/>
    <col collapsed="false" customWidth="true" hidden="false" outlineLevel="0" max="16" min="4" style="100" width="9.85"/>
    <col collapsed="false" customWidth="false" hidden="false" outlineLevel="0" max="1024" min="17" style="100" width="9.14"/>
  </cols>
  <sheetData>
    <row r="1" customFormat="false" ht="15" hidden="false" customHeight="false" outlineLevel="0" collapsed="false">
      <c r="A1" s="107" t="s">
        <v>153</v>
      </c>
    </row>
    <row r="2" customFormat="false" ht="15" hidden="false" customHeight="false" outlineLevel="0" collapsed="false">
      <c r="A2" s="107" t="s">
        <v>170</v>
      </c>
      <c r="B2" s="107"/>
    </row>
    <row r="3" customFormat="false" ht="14.25" hidden="false" customHeight="false" outlineLevel="0" collapsed="false">
      <c r="A3" s="100" t="s">
        <v>2</v>
      </c>
    </row>
    <row r="4" customFormat="false" ht="15" hidden="false" customHeight="false" outlineLevel="0" collapsed="false"/>
    <row r="5" customFormat="false" ht="21.75" hidden="false" customHeight="true" outlineLevel="0" collapsed="false">
      <c r="A5" s="126" t="s">
        <v>4</v>
      </c>
      <c r="B5" s="126"/>
      <c r="C5" s="126"/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53</v>
      </c>
      <c r="K5" s="105" t="s">
        <v>54</v>
      </c>
      <c r="L5" s="105" t="s">
        <v>55</v>
      </c>
      <c r="M5" s="105" t="s">
        <v>56</v>
      </c>
      <c r="N5" s="105" t="s">
        <v>57</v>
      </c>
      <c r="O5" s="105" t="s">
        <v>58</v>
      </c>
      <c r="P5" s="106" t="s">
        <v>134</v>
      </c>
    </row>
    <row r="6" customFormat="false" ht="15" hidden="false" customHeight="true" outlineLevel="0" collapsed="false"/>
    <row r="7" s="107" customFormat="true" ht="15" hidden="false" customHeight="true" outlineLevel="0" collapsed="false">
      <c r="A7" s="107" t="s">
        <v>12</v>
      </c>
      <c r="D7" s="108" t="n">
        <v>6540</v>
      </c>
      <c r="E7" s="108" t="n">
        <v>3565</v>
      </c>
      <c r="F7" s="108" t="n">
        <v>5575</v>
      </c>
      <c r="G7" s="108" t="n">
        <v>8725</v>
      </c>
      <c r="H7" s="108" t="n">
        <v>5265</v>
      </c>
      <c r="I7" s="108" t="n">
        <v>8915</v>
      </c>
      <c r="J7" s="108" t="n">
        <v>7375</v>
      </c>
      <c r="K7" s="108" t="n">
        <v>5268</v>
      </c>
      <c r="L7" s="108" t="n">
        <v>7376</v>
      </c>
      <c r="M7" s="108" t="n">
        <v>7687</v>
      </c>
      <c r="N7" s="108" t="n">
        <v>5610</v>
      </c>
      <c r="O7" s="108" t="n">
        <v>7344</v>
      </c>
      <c r="P7" s="108" t="n">
        <v>79245</v>
      </c>
    </row>
    <row r="8" customFormat="false" ht="15" hidden="false" customHeight="true" outlineLevel="0" collapsed="false">
      <c r="B8" s="100" t="s">
        <v>13</v>
      </c>
      <c r="D8" s="109" t="n">
        <v>5993</v>
      </c>
      <c r="E8" s="109" t="n">
        <v>3156</v>
      </c>
      <c r="F8" s="109" t="n">
        <v>5293</v>
      </c>
      <c r="G8" s="109" t="n">
        <v>8163</v>
      </c>
      <c r="H8" s="109" t="n">
        <v>4828</v>
      </c>
      <c r="I8" s="109" t="n">
        <v>4343</v>
      </c>
      <c r="J8" s="109" t="n">
        <v>6614</v>
      </c>
      <c r="K8" s="109" t="n">
        <v>4677</v>
      </c>
      <c r="L8" s="109" t="n">
        <v>4178</v>
      </c>
      <c r="M8" s="109" t="n">
        <v>7012</v>
      </c>
      <c r="N8" s="109" t="n">
        <v>5230</v>
      </c>
      <c r="O8" s="109" t="n">
        <v>6004</v>
      </c>
      <c r="P8" s="109" t="n">
        <v>65491</v>
      </c>
    </row>
    <row r="9" customFormat="false" ht="15" hidden="false" customHeight="true" outlineLevel="0" collapsed="false">
      <c r="C9" s="100" t="s">
        <v>14</v>
      </c>
      <c r="D9" s="110" t="n">
        <v>4146</v>
      </c>
      <c r="E9" s="110" t="n">
        <v>2231</v>
      </c>
      <c r="F9" s="110" t="n">
        <v>3351</v>
      </c>
      <c r="G9" s="110" t="n">
        <v>6483</v>
      </c>
      <c r="H9" s="110" t="n">
        <v>3384</v>
      </c>
      <c r="I9" s="110" t="n">
        <v>2834</v>
      </c>
      <c r="J9" s="110" t="n">
        <v>5050</v>
      </c>
      <c r="K9" s="110" t="n">
        <v>3207</v>
      </c>
      <c r="L9" s="110" t="n">
        <v>2697</v>
      </c>
      <c r="M9" s="110" t="n">
        <v>5322</v>
      </c>
      <c r="N9" s="110" t="n">
        <v>3918</v>
      </c>
      <c r="O9" s="110" t="n">
        <v>4181</v>
      </c>
      <c r="P9" s="110" t="n">
        <v>46804</v>
      </c>
    </row>
    <row r="10" customFormat="false" ht="15" hidden="false" customHeight="true" outlineLevel="0" collapsed="false">
      <c r="C10" s="100" t="s">
        <v>18</v>
      </c>
      <c r="D10" s="110" t="n">
        <v>1791</v>
      </c>
      <c r="E10" s="110" t="n">
        <v>849</v>
      </c>
      <c r="F10" s="110" t="n">
        <v>1805</v>
      </c>
      <c r="G10" s="110" t="n">
        <v>1578</v>
      </c>
      <c r="H10" s="110" t="n">
        <v>1333</v>
      </c>
      <c r="I10" s="110" t="n">
        <v>1402</v>
      </c>
      <c r="J10" s="110" t="n">
        <v>1428</v>
      </c>
      <c r="K10" s="110" t="n">
        <v>1360</v>
      </c>
      <c r="L10" s="110" t="n">
        <v>1379</v>
      </c>
      <c r="M10" s="110" t="n">
        <v>1553</v>
      </c>
      <c r="N10" s="110" t="n">
        <v>1241</v>
      </c>
      <c r="O10" s="110" t="n">
        <v>1777</v>
      </c>
      <c r="P10" s="110" t="n">
        <v>17496</v>
      </c>
    </row>
    <row r="11" customFormat="false" ht="15" hidden="false" customHeight="true" outlineLevel="0" collapsed="false">
      <c r="C11" s="100" t="s">
        <v>87</v>
      </c>
      <c r="D11" s="110" t="n">
        <v>56</v>
      </c>
      <c r="E11" s="110" t="n">
        <v>76</v>
      </c>
      <c r="F11" s="110" t="n">
        <v>137</v>
      </c>
      <c r="G11" s="110" t="n">
        <v>102</v>
      </c>
      <c r="H11" s="110" t="n">
        <v>111</v>
      </c>
      <c r="I11" s="110" t="n">
        <v>107</v>
      </c>
      <c r="J11" s="110" t="n">
        <v>136</v>
      </c>
      <c r="K11" s="110" t="n">
        <v>110</v>
      </c>
      <c r="L11" s="110" t="n">
        <v>102</v>
      </c>
      <c r="M11" s="110" t="n">
        <v>137</v>
      </c>
      <c r="N11" s="110" t="n">
        <v>71</v>
      </c>
      <c r="O11" s="110" t="n">
        <v>46</v>
      </c>
      <c r="P11" s="110" t="n">
        <v>1191</v>
      </c>
    </row>
    <row r="12" customFormat="false" ht="15" hidden="false" customHeight="true" outlineLevel="0" collapsed="false"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customFormat="false" ht="15" hidden="false" customHeight="true" outlineLevel="0" collapsed="false">
      <c r="B13" s="100" t="s">
        <v>20</v>
      </c>
      <c r="D13" s="109" t="n">
        <v>542</v>
      </c>
      <c r="E13" s="109" t="n">
        <v>394</v>
      </c>
      <c r="F13" s="109" t="n">
        <v>282</v>
      </c>
      <c r="G13" s="109" t="n">
        <v>552</v>
      </c>
      <c r="H13" s="109" t="n">
        <v>428</v>
      </c>
      <c r="I13" s="109" t="n">
        <v>4565</v>
      </c>
      <c r="J13" s="109" t="n">
        <v>752</v>
      </c>
      <c r="K13" s="109" t="n">
        <v>591</v>
      </c>
      <c r="L13" s="109" t="n">
        <v>3194</v>
      </c>
      <c r="M13" s="109" t="n">
        <v>668</v>
      </c>
      <c r="N13" s="109" t="n">
        <v>380</v>
      </c>
      <c r="O13" s="109" t="n">
        <v>1207</v>
      </c>
      <c r="P13" s="109" t="n">
        <v>13555</v>
      </c>
    </row>
    <row r="14" customFormat="false" ht="15" hidden="false" customHeight="true" outlineLevel="0" collapsed="false">
      <c r="C14" s="100" t="s">
        <v>21</v>
      </c>
      <c r="D14" s="110" t="n">
        <v>111</v>
      </c>
      <c r="E14" s="110" t="n">
        <v>145</v>
      </c>
      <c r="F14" s="110" t="n">
        <v>149</v>
      </c>
      <c r="G14" s="110" t="n">
        <v>84</v>
      </c>
      <c r="H14" s="110" t="n">
        <v>33</v>
      </c>
      <c r="I14" s="110" t="n">
        <v>192</v>
      </c>
      <c r="J14" s="110" t="n">
        <v>354</v>
      </c>
      <c r="K14" s="110" t="n">
        <v>32</v>
      </c>
      <c r="L14" s="110" t="n">
        <v>186</v>
      </c>
      <c r="M14" s="110" t="n">
        <v>132</v>
      </c>
      <c r="N14" s="110" t="n">
        <v>53</v>
      </c>
      <c r="O14" s="110" t="n">
        <v>491</v>
      </c>
      <c r="P14" s="110" t="n">
        <v>1962</v>
      </c>
    </row>
    <row r="15" customFormat="false" ht="15" hidden="false" customHeight="true" outlineLevel="0" collapsed="false">
      <c r="C15" s="100" t="s">
        <v>150</v>
      </c>
      <c r="D15" s="110" t="n">
        <v>431</v>
      </c>
      <c r="E15" s="110" t="n">
        <v>249</v>
      </c>
      <c r="F15" s="110" t="n">
        <v>133</v>
      </c>
      <c r="G15" s="110" t="n">
        <v>468</v>
      </c>
      <c r="H15" s="110" t="n">
        <v>395</v>
      </c>
      <c r="I15" s="110" t="n">
        <v>269</v>
      </c>
      <c r="J15" s="110" t="n">
        <v>398</v>
      </c>
      <c r="K15" s="110" t="n">
        <v>559</v>
      </c>
      <c r="L15" s="110" t="n">
        <v>962</v>
      </c>
      <c r="M15" s="110" t="n">
        <v>536</v>
      </c>
      <c r="N15" s="110" t="n">
        <v>327</v>
      </c>
      <c r="O15" s="110" t="n">
        <v>454</v>
      </c>
      <c r="P15" s="110" t="n">
        <v>5181</v>
      </c>
    </row>
    <row r="16" customFormat="false" ht="15" hidden="false" customHeight="true" outlineLevel="0" collapsed="false">
      <c r="C16" s="100" t="s">
        <v>160</v>
      </c>
      <c r="D16" s="110" t="n">
        <v>0</v>
      </c>
      <c r="E16" s="110" t="n">
        <v>0</v>
      </c>
      <c r="F16" s="110" t="n">
        <v>0</v>
      </c>
      <c r="G16" s="110" t="n">
        <v>0</v>
      </c>
      <c r="H16" s="110" t="n">
        <v>0</v>
      </c>
      <c r="I16" s="110" t="n">
        <v>4104</v>
      </c>
      <c r="J16" s="110" t="n">
        <v>0</v>
      </c>
      <c r="K16" s="110" t="n">
        <v>0</v>
      </c>
      <c r="L16" s="110" t="n">
        <v>2046</v>
      </c>
      <c r="M16" s="110" t="n">
        <v>0</v>
      </c>
      <c r="N16" s="110" t="n">
        <v>0</v>
      </c>
      <c r="O16" s="110" t="n">
        <v>0</v>
      </c>
      <c r="P16" s="110" t="n">
        <v>6150</v>
      </c>
    </row>
    <row r="17" customFormat="false" ht="15" hidden="false" customHeight="true" outlineLevel="0" collapsed="false">
      <c r="C17" s="100" t="s">
        <v>105</v>
      </c>
      <c r="D17" s="110" t="n">
        <v>0</v>
      </c>
      <c r="E17" s="110" t="n">
        <v>0</v>
      </c>
      <c r="F17" s="110" t="n">
        <v>0</v>
      </c>
      <c r="G17" s="110" t="n">
        <v>0</v>
      </c>
      <c r="H17" s="110" t="n">
        <v>0</v>
      </c>
      <c r="I17" s="110" t="n">
        <v>0</v>
      </c>
      <c r="J17" s="110" t="n">
        <v>0</v>
      </c>
      <c r="K17" s="110" t="n">
        <v>0</v>
      </c>
      <c r="L17" s="110" t="n">
        <v>0</v>
      </c>
      <c r="M17" s="110" t="n">
        <v>0</v>
      </c>
      <c r="N17" s="110" t="n">
        <v>0</v>
      </c>
      <c r="O17" s="110" t="n">
        <v>262</v>
      </c>
      <c r="P17" s="110" t="n">
        <v>262</v>
      </c>
    </row>
    <row r="18" customFormat="false" ht="15" hidden="false" customHeight="true" outlineLevel="0" collapsed="false"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</row>
    <row r="19" customFormat="false" ht="15" hidden="false" customHeight="true" outlineLevel="0" collapsed="false">
      <c r="B19" s="100" t="s">
        <v>26</v>
      </c>
      <c r="D19" s="110" t="n">
        <v>5</v>
      </c>
      <c r="E19" s="110" t="n">
        <v>15</v>
      </c>
      <c r="F19" s="110" t="n">
        <v>0</v>
      </c>
      <c r="G19" s="110" t="n">
        <v>10</v>
      </c>
      <c r="H19" s="110" t="n">
        <v>9</v>
      </c>
      <c r="I19" s="110" t="n">
        <v>7</v>
      </c>
      <c r="J19" s="110" t="n">
        <v>9</v>
      </c>
      <c r="K19" s="110" t="n">
        <v>0</v>
      </c>
      <c r="L19" s="110" t="n">
        <v>4</v>
      </c>
      <c r="M19" s="110" t="n">
        <v>7</v>
      </c>
      <c r="N19" s="110" t="n">
        <v>0</v>
      </c>
      <c r="O19" s="110" t="n">
        <v>133</v>
      </c>
      <c r="P19" s="110" t="n">
        <v>199</v>
      </c>
    </row>
    <row r="20" customFormat="false" ht="15" hidden="false" customHeight="true" outlineLevel="0" collapsed="false"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</row>
    <row r="21" s="107" customFormat="true" ht="15" hidden="false" customHeight="true" outlineLevel="0" collapsed="false">
      <c r="A21" s="107" t="s">
        <v>27</v>
      </c>
      <c r="D21" s="108" t="n">
        <v>9667</v>
      </c>
      <c r="E21" s="108" t="n">
        <v>6781</v>
      </c>
      <c r="F21" s="108" t="n">
        <v>9337</v>
      </c>
      <c r="G21" s="108" t="n">
        <v>7548</v>
      </c>
      <c r="H21" s="108" t="n">
        <v>6366</v>
      </c>
      <c r="I21" s="108" t="n">
        <v>9227</v>
      </c>
      <c r="J21" s="108" t="n">
        <v>7744</v>
      </c>
      <c r="K21" s="108" t="n">
        <v>6665</v>
      </c>
      <c r="L21" s="108" t="n">
        <v>8084</v>
      </c>
      <c r="M21" s="108" t="n">
        <v>10520</v>
      </c>
      <c r="N21" s="108" t="n">
        <v>11116</v>
      </c>
      <c r="O21" s="108" t="n">
        <v>17442</v>
      </c>
      <c r="P21" s="108" t="n">
        <v>110497</v>
      </c>
    </row>
    <row r="22" customFormat="false" ht="15" hidden="false" customHeight="true" outlineLevel="0" collapsed="false">
      <c r="B22" s="100" t="s">
        <v>15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</row>
    <row r="23" customFormat="false" ht="15" hidden="false" customHeight="true" outlineLevel="0" collapsed="false">
      <c r="C23" s="100" t="s">
        <v>29</v>
      </c>
      <c r="D23" s="110" t="n">
        <v>915</v>
      </c>
      <c r="E23" s="110" t="n">
        <v>1376</v>
      </c>
      <c r="F23" s="110" t="n">
        <v>3753</v>
      </c>
      <c r="G23" s="110" t="n">
        <v>1781</v>
      </c>
      <c r="H23" s="110" t="n">
        <v>1307</v>
      </c>
      <c r="I23" s="110" t="n">
        <v>1292</v>
      </c>
      <c r="J23" s="110" t="n">
        <v>1034</v>
      </c>
      <c r="K23" s="110" t="n">
        <v>1231</v>
      </c>
      <c r="L23" s="110" t="n">
        <v>1392</v>
      </c>
      <c r="M23" s="110" t="n">
        <v>1663</v>
      </c>
      <c r="N23" s="110" t="n">
        <v>1889</v>
      </c>
      <c r="O23" s="110" t="n">
        <v>3979</v>
      </c>
      <c r="P23" s="110" t="n">
        <v>21612</v>
      </c>
    </row>
    <row r="24" customFormat="false" ht="15" hidden="false" customHeight="true" outlineLevel="0" collapsed="false">
      <c r="C24" s="100" t="s">
        <v>77</v>
      </c>
      <c r="D24" s="110" t="n">
        <v>140</v>
      </c>
      <c r="E24" s="110" t="n">
        <v>12</v>
      </c>
      <c r="F24" s="110" t="n">
        <v>19</v>
      </c>
      <c r="G24" s="110" t="n">
        <v>0</v>
      </c>
      <c r="H24" s="110" t="n">
        <v>9</v>
      </c>
      <c r="I24" s="110" t="n">
        <v>0</v>
      </c>
      <c r="J24" s="110" t="n">
        <v>21</v>
      </c>
      <c r="K24" s="110" t="n">
        <v>10</v>
      </c>
      <c r="L24" s="110" t="n">
        <v>60</v>
      </c>
      <c r="M24" s="110" t="n">
        <v>23</v>
      </c>
      <c r="N24" s="110" t="n">
        <v>464</v>
      </c>
      <c r="O24" s="110" t="n">
        <v>962</v>
      </c>
      <c r="P24" s="110" t="n">
        <v>1720</v>
      </c>
    </row>
    <row r="25" customFormat="false" ht="15" hidden="false" customHeight="true" outlineLevel="0" collapsed="false">
      <c r="C25" s="100" t="s">
        <v>28</v>
      </c>
      <c r="D25" s="110" t="n">
        <v>260</v>
      </c>
      <c r="E25" s="110" t="n">
        <v>171</v>
      </c>
      <c r="F25" s="110" t="n">
        <v>284</v>
      </c>
      <c r="G25" s="110" t="n">
        <v>298</v>
      </c>
      <c r="H25" s="110" t="n">
        <v>262</v>
      </c>
      <c r="I25" s="110" t="n">
        <v>267</v>
      </c>
      <c r="J25" s="110" t="n">
        <v>226</v>
      </c>
      <c r="K25" s="110" t="n">
        <v>375</v>
      </c>
      <c r="L25" s="110" t="n">
        <v>312</v>
      </c>
      <c r="M25" s="110" t="n">
        <v>316</v>
      </c>
      <c r="N25" s="110" t="n">
        <v>223</v>
      </c>
      <c r="O25" s="110" t="n">
        <v>580</v>
      </c>
      <c r="P25" s="110" t="n">
        <v>3574</v>
      </c>
    </row>
    <row r="26" customFormat="false" ht="15" hidden="false" customHeight="true" outlineLevel="0" collapsed="false">
      <c r="C26" s="100" t="s">
        <v>32</v>
      </c>
      <c r="D26" s="110" t="n">
        <v>9</v>
      </c>
      <c r="E26" s="110" t="n">
        <v>2</v>
      </c>
      <c r="F26" s="110" t="n">
        <v>452</v>
      </c>
      <c r="G26" s="110" t="n">
        <v>0</v>
      </c>
      <c r="H26" s="110" t="n">
        <v>200</v>
      </c>
      <c r="I26" s="110" t="n">
        <v>3500</v>
      </c>
      <c r="J26" s="110" t="n">
        <v>9</v>
      </c>
      <c r="K26" s="110" t="n">
        <v>3500</v>
      </c>
      <c r="L26" s="110" t="n">
        <v>242</v>
      </c>
      <c r="M26" s="110" t="n">
        <v>205</v>
      </c>
      <c r="N26" s="110" t="n">
        <v>14</v>
      </c>
      <c r="O26" s="110" t="n">
        <v>4204</v>
      </c>
      <c r="P26" s="110" t="n">
        <v>12337</v>
      </c>
    </row>
    <row r="27" customFormat="false" ht="15" hidden="false" customHeight="true" outlineLevel="0" collapsed="false">
      <c r="C27" s="100" t="s">
        <v>78</v>
      </c>
      <c r="D27" s="110" t="n">
        <v>611</v>
      </c>
      <c r="E27" s="110" t="n">
        <v>707</v>
      </c>
      <c r="F27" s="110" t="n">
        <v>1692</v>
      </c>
      <c r="G27" s="110" t="n">
        <v>2357</v>
      </c>
      <c r="H27" s="110" t="n">
        <v>1733</v>
      </c>
      <c r="I27" s="110" t="n">
        <v>1481</v>
      </c>
      <c r="J27" s="110" t="n">
        <v>2891</v>
      </c>
      <c r="K27" s="110" t="n">
        <v>-2225</v>
      </c>
      <c r="L27" s="110" t="n">
        <v>1905</v>
      </c>
      <c r="M27" s="110" t="n">
        <v>3093</v>
      </c>
      <c r="N27" s="110" t="n">
        <v>3216</v>
      </c>
      <c r="O27" s="110" t="n">
        <v>-2313</v>
      </c>
      <c r="P27" s="110" t="n">
        <v>15148</v>
      </c>
    </row>
    <row r="28" customFormat="false" ht="15" hidden="false" customHeight="true" outlineLevel="0" collapsed="false"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</row>
    <row r="29" s="107" customFormat="true" ht="15" hidden="false" customHeight="true" outlineLevel="0" collapsed="false">
      <c r="A29" s="107" t="s">
        <v>137</v>
      </c>
      <c r="D29" s="112" t="n">
        <v>-3127</v>
      </c>
      <c r="E29" s="112" t="n">
        <v>-3216</v>
      </c>
      <c r="F29" s="112" t="n">
        <v>-3762</v>
      </c>
      <c r="G29" s="112" t="n">
        <v>1177</v>
      </c>
      <c r="H29" s="112" t="n">
        <v>-1101</v>
      </c>
      <c r="I29" s="112" t="n">
        <v>-312</v>
      </c>
      <c r="J29" s="112" t="n">
        <v>-369</v>
      </c>
      <c r="K29" s="112" t="n">
        <v>-1397</v>
      </c>
      <c r="L29" s="112" t="n">
        <v>-708</v>
      </c>
      <c r="M29" s="112" t="n">
        <v>-2833</v>
      </c>
      <c r="N29" s="112" t="n">
        <v>-5506</v>
      </c>
      <c r="O29" s="112" t="n">
        <v>-10098</v>
      </c>
      <c r="P29" s="112" t="n">
        <v>-31252</v>
      </c>
    </row>
    <row r="30" customFormat="false" ht="15" hidden="false" customHeight="true" outlineLevel="0" collapsed="false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="107" customFormat="true" ht="15" hidden="false" customHeight="true" outlineLevel="0" collapsed="false">
      <c r="A31" s="107" t="s">
        <v>36</v>
      </c>
      <c r="D31" s="108" t="n">
        <v>-1798</v>
      </c>
      <c r="E31" s="108" t="n">
        <v>5801</v>
      </c>
      <c r="F31" s="108" t="n">
        <v>-954</v>
      </c>
      <c r="G31" s="108" t="n">
        <v>5873</v>
      </c>
      <c r="H31" s="108" t="n">
        <v>3609</v>
      </c>
      <c r="I31" s="108" t="n">
        <v>5070</v>
      </c>
      <c r="J31" s="108" t="n">
        <v>720</v>
      </c>
      <c r="K31" s="108" t="n">
        <v>3024</v>
      </c>
      <c r="L31" s="108" t="n">
        <v>215</v>
      </c>
      <c r="M31" s="108" t="n">
        <v>3227</v>
      </c>
      <c r="N31" s="108" t="n">
        <v>6274</v>
      </c>
      <c r="O31" s="108" t="n">
        <v>968</v>
      </c>
      <c r="P31" s="108" t="n">
        <v>32029</v>
      </c>
      <c r="Q31" s="161"/>
      <c r="R31" s="161"/>
    </row>
    <row r="32" customFormat="false" ht="15" hidden="false" customHeight="true" outlineLevel="0" collapsed="false">
      <c r="B32" s="100" t="s">
        <v>37</v>
      </c>
      <c r="D32" s="109" t="n">
        <v>11</v>
      </c>
      <c r="E32" s="109" t="n">
        <v>-67</v>
      </c>
      <c r="F32" s="109" t="n">
        <v>-380</v>
      </c>
      <c r="G32" s="109" t="n">
        <v>-92</v>
      </c>
      <c r="H32" s="109" t="n">
        <v>456</v>
      </c>
      <c r="I32" s="109" t="n">
        <v>1014</v>
      </c>
      <c r="J32" s="109" t="n">
        <v>621</v>
      </c>
      <c r="K32" s="109" t="n">
        <v>-51</v>
      </c>
      <c r="L32" s="109" t="n">
        <v>-357</v>
      </c>
      <c r="M32" s="109" t="n">
        <v>-2073</v>
      </c>
      <c r="N32" s="109" t="n">
        <v>705</v>
      </c>
      <c r="O32" s="109" t="n">
        <v>3793</v>
      </c>
      <c r="P32" s="109" t="n">
        <v>3580</v>
      </c>
    </row>
    <row r="33" customFormat="false" ht="15" hidden="false" customHeight="true" outlineLevel="0" collapsed="false">
      <c r="C33" s="100" t="s">
        <v>38</v>
      </c>
      <c r="D33" s="110" t="n">
        <v>201</v>
      </c>
      <c r="E33" s="110" t="n">
        <v>228</v>
      </c>
      <c r="F33" s="110" t="n">
        <v>214</v>
      </c>
      <c r="G33" s="110" t="n">
        <v>236</v>
      </c>
      <c r="H33" s="110" t="n">
        <v>541</v>
      </c>
      <c r="I33" s="110" t="n">
        <v>1332</v>
      </c>
      <c r="J33" s="110" t="n">
        <v>866</v>
      </c>
      <c r="K33" s="110" t="n">
        <v>134</v>
      </c>
      <c r="L33" s="110" t="n">
        <v>539</v>
      </c>
      <c r="M33" s="110" t="n">
        <v>325</v>
      </c>
      <c r="N33" s="110" t="n">
        <v>837</v>
      </c>
      <c r="O33" s="110" t="n">
        <v>4316</v>
      </c>
      <c r="P33" s="110" t="n">
        <v>9769</v>
      </c>
    </row>
    <row r="34" customFormat="false" ht="15" hidden="false" customHeight="true" outlineLevel="0" collapsed="false">
      <c r="C34" s="100" t="s">
        <v>39</v>
      </c>
      <c r="D34" s="110" t="n">
        <v>190</v>
      </c>
      <c r="E34" s="110" t="n">
        <v>295</v>
      </c>
      <c r="F34" s="110" t="n">
        <v>594</v>
      </c>
      <c r="G34" s="110" t="n">
        <v>328</v>
      </c>
      <c r="H34" s="110" t="n">
        <v>85</v>
      </c>
      <c r="I34" s="110" t="n">
        <v>318</v>
      </c>
      <c r="J34" s="110" t="n">
        <v>245</v>
      </c>
      <c r="K34" s="110" t="n">
        <v>185</v>
      </c>
      <c r="L34" s="110" t="n">
        <v>896</v>
      </c>
      <c r="M34" s="110" t="n">
        <v>2398</v>
      </c>
      <c r="N34" s="110" t="n">
        <v>132</v>
      </c>
      <c r="O34" s="110" t="n">
        <v>523</v>
      </c>
      <c r="P34" s="110" t="n">
        <v>6189</v>
      </c>
    </row>
    <row r="35" customFormat="false" ht="15" hidden="false" customHeight="true" outlineLevel="0" collapsed="false"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customFormat="false" ht="15" hidden="false" customHeight="true" outlineLevel="0" collapsed="false">
      <c r="B36" s="100" t="s">
        <v>40</v>
      </c>
      <c r="D36" s="109" t="n">
        <v>-1809</v>
      </c>
      <c r="E36" s="109" t="n">
        <v>5868</v>
      </c>
      <c r="F36" s="109" t="n">
        <v>-574</v>
      </c>
      <c r="G36" s="109" t="n">
        <v>5965</v>
      </c>
      <c r="H36" s="109" t="n">
        <v>3153</v>
      </c>
      <c r="I36" s="109" t="n">
        <v>4056</v>
      </c>
      <c r="J36" s="109" t="n">
        <v>99</v>
      </c>
      <c r="K36" s="109" t="n">
        <v>3075</v>
      </c>
      <c r="L36" s="109" t="n">
        <v>572</v>
      </c>
      <c r="M36" s="109" t="n">
        <v>5300</v>
      </c>
      <c r="N36" s="109" t="n">
        <v>5569</v>
      </c>
      <c r="O36" s="109" t="n">
        <v>-2825</v>
      </c>
      <c r="P36" s="109" t="n">
        <v>28449</v>
      </c>
    </row>
    <row r="37" customFormat="false" ht="15" hidden="false" customHeight="true" outlineLevel="0" collapsed="false">
      <c r="C37" s="100" t="s">
        <v>41</v>
      </c>
      <c r="D37" s="110" t="n">
        <v>-830</v>
      </c>
      <c r="E37" s="110" t="n">
        <v>6164</v>
      </c>
      <c r="F37" s="110" t="n">
        <v>-325</v>
      </c>
      <c r="G37" s="110" t="n">
        <v>6467</v>
      </c>
      <c r="H37" s="110" t="n">
        <v>3263</v>
      </c>
      <c r="I37" s="110" t="n">
        <v>4080</v>
      </c>
      <c r="J37" s="110" t="n">
        <v>234</v>
      </c>
      <c r="K37" s="110" t="n">
        <v>3598</v>
      </c>
      <c r="L37" s="110" t="n">
        <v>836</v>
      </c>
      <c r="M37" s="110" t="n">
        <v>5625</v>
      </c>
      <c r="N37" s="110" t="n">
        <v>5844</v>
      </c>
      <c r="O37" s="110" t="n">
        <v>505</v>
      </c>
      <c r="P37" s="110" t="n">
        <v>35461</v>
      </c>
    </row>
    <row r="38" customFormat="false" ht="15" hidden="false" customHeight="true" outlineLevel="0" collapsed="false">
      <c r="C38" s="100" t="s">
        <v>39</v>
      </c>
      <c r="D38" s="110" t="n">
        <v>979</v>
      </c>
      <c r="E38" s="110" t="n">
        <v>296</v>
      </c>
      <c r="F38" s="110" t="n">
        <v>249</v>
      </c>
      <c r="G38" s="110" t="n">
        <v>502</v>
      </c>
      <c r="H38" s="110" t="n">
        <v>110</v>
      </c>
      <c r="I38" s="110" t="n">
        <v>24</v>
      </c>
      <c r="J38" s="110" t="n">
        <v>135</v>
      </c>
      <c r="K38" s="110" t="n">
        <v>523</v>
      </c>
      <c r="L38" s="110" t="n">
        <v>264</v>
      </c>
      <c r="M38" s="110" t="n">
        <v>325</v>
      </c>
      <c r="N38" s="110" t="n">
        <v>275</v>
      </c>
      <c r="O38" s="110" t="n">
        <v>3330</v>
      </c>
      <c r="P38" s="110" t="n">
        <v>7012</v>
      </c>
    </row>
    <row r="39" customFormat="false" ht="15" hidden="false" customHeight="true" outlineLevel="0" collapsed="false"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</row>
    <row r="40" s="107" customFormat="true" ht="15" hidden="false" customHeight="true" outlineLevel="0" collapsed="false">
      <c r="A40" s="107" t="s">
        <v>163</v>
      </c>
      <c r="D40" s="108" t="n">
        <v>-5115</v>
      </c>
      <c r="E40" s="108" t="n">
        <v>2403</v>
      </c>
      <c r="F40" s="108" t="n">
        <v>-4730</v>
      </c>
      <c r="G40" s="108" t="n">
        <v>6856</v>
      </c>
      <c r="H40" s="108" t="n">
        <v>2572</v>
      </c>
      <c r="I40" s="108" t="n">
        <v>4532</v>
      </c>
      <c r="J40" s="108" t="n">
        <v>-5</v>
      </c>
      <c r="K40" s="108" t="n">
        <v>1355</v>
      </c>
      <c r="L40" s="108" t="n">
        <v>-736</v>
      </c>
      <c r="M40" s="108" t="n">
        <v>1957</v>
      </c>
      <c r="N40" s="108" t="n">
        <v>847</v>
      </c>
      <c r="O40" s="108" t="n">
        <v>-6567</v>
      </c>
      <c r="P40" s="108" t="n">
        <v>3369</v>
      </c>
    </row>
    <row r="41" customFormat="false" ht="15" hidden="false" customHeight="false" outlineLevel="0" collapsed="false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</row>
    <row r="42" customFormat="false" ht="15" hidden="false" customHeight="false" outlineLevel="0" collapsed="false"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4" customFormat="false" ht="14.25" hidden="false" customHeight="false" outlineLevel="0" collapsed="false">
      <c r="A44" s="31" t="s">
        <v>139</v>
      </c>
    </row>
  </sheetData>
  <mergeCells count="1">
    <mergeCell ref="A5:C5"/>
  </mergeCells>
  <printOptions headings="false" gridLines="false" gridLinesSet="true" horizontalCentered="true" verticalCentered="false"/>
  <pageMargins left="0" right="0" top="0.98402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S28" activeCellId="0" sqref="S28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42"/>
    <col collapsed="false" customWidth="true" hidden="false" outlineLevel="0" max="6" min="6" style="1" width="10.71"/>
    <col collapsed="false" customWidth="true" hidden="false" outlineLevel="0" max="7" min="7" style="1" width="11.71"/>
    <col collapsed="false" customWidth="true" hidden="false" outlineLevel="0" max="8" min="8" style="1" width="11.29"/>
    <col collapsed="false" customWidth="true" hidden="false" outlineLevel="0" max="9" min="9" style="1" width="10.58"/>
    <col collapsed="false" customWidth="true" hidden="false" outlineLevel="0" max="10" min="10" style="1" width="11.29"/>
    <col collapsed="false" customWidth="true" hidden="false" outlineLevel="0" max="17" min="11" style="1" width="10.58"/>
    <col collapsed="false" customWidth="true" hidden="false" outlineLevel="0" max="18" min="18" style="1" width="12.57"/>
    <col collapsed="false" customWidth="false" hidden="false" outlineLevel="0" max="19" min="19" style="35" width="9.14"/>
    <col collapsed="false" customWidth="false" hidden="false" outlineLevel="0" max="1024" min="20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2" t="s">
        <v>92</v>
      </c>
      <c r="B2" s="2"/>
      <c r="C2" s="2"/>
      <c r="D2" s="2"/>
      <c r="E2" s="2"/>
      <c r="F2" s="2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3"/>
    </row>
    <row r="4" customFormat="false" ht="14.25" hidden="false" customHeight="false" outlineLevel="0" collapsed="false">
      <c r="A4" s="4" t="s">
        <v>3</v>
      </c>
      <c r="B4" s="3"/>
    </row>
    <row r="5" customFormat="false" ht="6" hidden="false" customHeight="true" outlineLevel="0" collapsed="false"/>
    <row r="6" s="6" customFormat="true" ht="22.5" hidden="false" customHeight="true" outlineLevel="0" collapsed="false">
      <c r="A6" s="86" t="s">
        <v>4</v>
      </c>
      <c r="B6" s="86"/>
      <c r="C6" s="86"/>
      <c r="D6" s="86"/>
      <c r="E6" s="86"/>
      <c r="F6" s="87" t="s">
        <v>5</v>
      </c>
      <c r="G6" s="87" t="s">
        <v>6</v>
      </c>
      <c r="H6" s="87" t="s">
        <v>7</v>
      </c>
      <c r="I6" s="87" t="s">
        <v>8</v>
      </c>
      <c r="J6" s="87" t="s">
        <v>9</v>
      </c>
      <c r="K6" s="87" t="s">
        <v>10</v>
      </c>
      <c r="L6" s="87" t="s">
        <v>53</v>
      </c>
      <c r="M6" s="87" t="s">
        <v>54</v>
      </c>
      <c r="N6" s="87" t="s">
        <v>64</v>
      </c>
      <c r="O6" s="87" t="s">
        <v>56</v>
      </c>
      <c r="P6" s="87" t="s">
        <v>57</v>
      </c>
      <c r="Q6" s="87" t="s">
        <v>58</v>
      </c>
      <c r="R6" s="88" t="s">
        <v>11</v>
      </c>
      <c r="S6" s="94"/>
    </row>
    <row r="7" customFormat="false" ht="15" hidden="false" customHeight="false" outlineLevel="0" collapsed="false"/>
    <row r="8" customFormat="false" ht="15" hidden="false" customHeight="false" outlineLevel="0" collapsed="false">
      <c r="B8" s="7" t="s">
        <v>12</v>
      </c>
      <c r="C8" s="7"/>
      <c r="D8" s="7"/>
      <c r="E8" s="7"/>
      <c r="F8" s="34" t="n">
        <f aca="false">+F9+F19+F26</f>
        <v>238898.023</v>
      </c>
      <c r="G8" s="34" t="n">
        <f aca="false">+G9+G19+G26</f>
        <v>178534.576</v>
      </c>
      <c r="H8" s="34" t="n">
        <f aca="false">+H9+H19+H26</f>
        <v>202359.667</v>
      </c>
      <c r="I8" s="34" t="n">
        <f aca="false">+I9+I19+I26</f>
        <v>307558.26</v>
      </c>
      <c r="J8" s="34" t="n">
        <f aca="false">+J9+J19+J26</f>
        <v>258991.986</v>
      </c>
      <c r="K8" s="34" t="n">
        <f aca="false">+K9+K19+K26</f>
        <v>224199.118</v>
      </c>
      <c r="L8" s="34" t="n">
        <f aca="false">+L9+L19+L26</f>
        <v>241742.949</v>
      </c>
      <c r="M8" s="34" t="n">
        <f aca="false">+M9+M19+M26</f>
        <v>256874.729</v>
      </c>
      <c r="N8" s="34" t="n">
        <f aca="false">+N9+N19+N26</f>
        <v>202350.649</v>
      </c>
      <c r="O8" s="34" t="n">
        <f aca="false">+O9+O19+O26</f>
        <v>246762.002</v>
      </c>
      <c r="P8" s="34" t="n">
        <f aca="false">+P9+P19+P26</f>
        <v>259702.166</v>
      </c>
      <c r="Q8" s="34" t="n">
        <f aca="false">+Q9+Q19+Q26</f>
        <v>232209.189</v>
      </c>
      <c r="R8" s="34" t="n">
        <f aca="false">+R9+R19+R26</f>
        <v>2850184.13</v>
      </c>
    </row>
    <row r="9" customFormat="false" ht="14.25" hidden="false" customHeight="false" outlineLevel="0" collapsed="false">
      <c r="C9" s="1" t="s">
        <v>13</v>
      </c>
      <c r="F9" s="39" t="n">
        <f aca="false">+F10+F14+F17</f>
        <v>218070</v>
      </c>
      <c r="G9" s="39" t="n">
        <f aca="false">+G10+G14+G17</f>
        <v>162882</v>
      </c>
      <c r="H9" s="39" t="n">
        <f aca="false">+H10+H14+H17</f>
        <v>177710</v>
      </c>
      <c r="I9" s="39" t="n">
        <f aca="false">+I10+I14+I17</f>
        <v>280947</v>
      </c>
      <c r="J9" s="39" t="n">
        <f aca="false">+J10+J14+J17</f>
        <v>226893</v>
      </c>
      <c r="K9" s="39" t="n">
        <f aca="false">+K10+K14+K17</f>
        <v>188235</v>
      </c>
      <c r="L9" s="39" t="n">
        <f aca="false">+L10+L14+L17</f>
        <v>217700</v>
      </c>
      <c r="M9" s="39" t="n">
        <f aca="false">+M10+M14+M17</f>
        <v>239620</v>
      </c>
      <c r="N9" s="39" t="n">
        <f aca="false">+N10+N14+N17</f>
        <v>183237</v>
      </c>
      <c r="O9" s="39" t="n">
        <f aca="false">+O10+O14+O17</f>
        <v>222373</v>
      </c>
      <c r="P9" s="39" t="n">
        <f aca="false">+P10+P14+P17</f>
        <v>242228</v>
      </c>
      <c r="Q9" s="39" t="n">
        <f aca="false">+Q10+Q14+Q17</f>
        <v>205977</v>
      </c>
      <c r="R9" s="39" t="n">
        <f aca="false">+R10+R14+R17</f>
        <v>2565872</v>
      </c>
    </row>
    <row r="10" customFormat="false" ht="14.25" hidden="false" customHeight="false" outlineLevel="0" collapsed="false">
      <c r="D10" s="1" t="s">
        <v>14</v>
      </c>
      <c r="F10" s="35" t="n">
        <v>175612</v>
      </c>
      <c r="G10" s="35" t="n">
        <v>116641</v>
      </c>
      <c r="H10" s="35" t="n">
        <v>130827</v>
      </c>
      <c r="I10" s="35" t="n">
        <v>232618</v>
      </c>
      <c r="J10" s="35" t="n">
        <v>172032</v>
      </c>
      <c r="K10" s="35" t="n">
        <v>136780</v>
      </c>
      <c r="L10" s="35" t="n">
        <v>163999</v>
      </c>
      <c r="M10" s="35" t="n">
        <v>185091</v>
      </c>
      <c r="N10" s="35" t="n">
        <v>130573</v>
      </c>
      <c r="O10" s="35" t="n">
        <v>164792</v>
      </c>
      <c r="P10" s="35" t="n">
        <v>192048</v>
      </c>
      <c r="Q10" s="35" t="n">
        <v>150837</v>
      </c>
      <c r="R10" s="35" t="n">
        <f aca="false">+F10+G10+H10+I10+J10+K10+L10+M10+N10+O10+P10+Q10</f>
        <v>1951850</v>
      </c>
    </row>
    <row r="11" customFormat="false" ht="14.25" hidden="false" customHeight="false" outlineLevel="0" collapsed="false">
      <c r="E11" s="6" t="s">
        <v>15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customFormat="false" ht="14.25" hidden="false" customHeight="false" outlineLevel="0" collapsed="false">
      <c r="E12" s="1" t="s">
        <v>16</v>
      </c>
      <c r="F12" s="35" t="n">
        <v>1389</v>
      </c>
      <c r="G12" s="35" t="n">
        <v>314</v>
      </c>
      <c r="H12" s="35" t="n">
        <v>1125</v>
      </c>
      <c r="I12" s="35" t="n">
        <v>403</v>
      </c>
      <c r="J12" s="35" t="n">
        <v>476</v>
      </c>
      <c r="K12" s="35" t="n">
        <v>479</v>
      </c>
      <c r="L12" s="35" t="n">
        <v>1393</v>
      </c>
      <c r="M12" s="35" t="n">
        <v>287</v>
      </c>
      <c r="N12" s="35" t="n">
        <v>1382</v>
      </c>
      <c r="O12" s="35" t="n">
        <v>420</v>
      </c>
      <c r="P12" s="35" t="n">
        <v>432</v>
      </c>
      <c r="Q12" s="35" t="n">
        <v>943</v>
      </c>
      <c r="R12" s="35" t="n">
        <f aca="false">+F12+G12+H12+I12+J12+K12+L12+M12+N12+O12+P12+Q12</f>
        <v>9043</v>
      </c>
    </row>
    <row r="13" customFormat="false" ht="14.25" hidden="false" customHeight="false" outlineLevel="0" collapsed="false">
      <c r="E13" s="1" t="s">
        <v>17</v>
      </c>
      <c r="F13" s="35" t="n">
        <v>36</v>
      </c>
      <c r="G13" s="35" t="n">
        <v>6</v>
      </c>
      <c r="H13" s="35" t="n">
        <v>6</v>
      </c>
      <c r="I13" s="35" t="n">
        <v>1962</v>
      </c>
      <c r="J13" s="35" t="n">
        <v>8</v>
      </c>
      <c r="K13" s="35" t="n">
        <v>262</v>
      </c>
      <c r="L13" s="35" t="n">
        <v>101</v>
      </c>
      <c r="M13" s="35" t="n">
        <v>1489</v>
      </c>
      <c r="N13" s="35" t="n">
        <v>396</v>
      </c>
      <c r="O13" s="35" t="n">
        <v>65</v>
      </c>
      <c r="P13" s="35" t="n">
        <v>44</v>
      </c>
      <c r="Q13" s="35" t="n">
        <v>515</v>
      </c>
      <c r="R13" s="35" t="n">
        <f aca="false">+F13+G13+H13+I13+J13+K13+L13+M13+N13+O13+P13+Q13</f>
        <v>4890</v>
      </c>
    </row>
    <row r="14" customFormat="false" ht="14.25" hidden="false" customHeight="false" outlineLevel="0" collapsed="false">
      <c r="D14" s="1" t="s">
        <v>18</v>
      </c>
      <c r="F14" s="35" t="n">
        <v>40831</v>
      </c>
      <c r="G14" s="35" t="n">
        <v>43716</v>
      </c>
      <c r="H14" s="35" t="n">
        <v>45251</v>
      </c>
      <c r="I14" s="35" t="n">
        <v>46794</v>
      </c>
      <c r="J14" s="35" t="n">
        <v>52747</v>
      </c>
      <c r="K14" s="35" t="n">
        <v>50049</v>
      </c>
      <c r="L14" s="35" t="n">
        <v>52144</v>
      </c>
      <c r="M14" s="35" t="n">
        <v>52012</v>
      </c>
      <c r="N14" s="35" t="n">
        <v>51075</v>
      </c>
      <c r="O14" s="35" t="n">
        <v>55953</v>
      </c>
      <c r="P14" s="35" t="n">
        <v>47902</v>
      </c>
      <c r="Q14" s="35" t="n">
        <v>54637</v>
      </c>
      <c r="R14" s="35" t="n">
        <f aca="false">+F14+G14+H14+I14+J14+K14+L14+M14+N14+O14+P14+Q14</f>
        <v>593111</v>
      </c>
    </row>
    <row r="15" customFormat="false" ht="14.25" hidden="false" customHeight="false" outlineLevel="0" collapsed="false">
      <c r="E15" s="6" t="s">
        <v>15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customFormat="false" ht="14.25" hidden="false" customHeight="false" outlineLevel="0" collapsed="false">
      <c r="E16" s="1" t="s">
        <v>17</v>
      </c>
      <c r="F16" s="35" t="n">
        <v>16</v>
      </c>
      <c r="G16" s="35" t="n">
        <v>34</v>
      </c>
      <c r="H16" s="35" t="n">
        <v>1453</v>
      </c>
      <c r="I16" s="35" t="n">
        <v>148</v>
      </c>
      <c r="J16" s="35" t="n">
        <v>90</v>
      </c>
      <c r="K16" s="35" t="n">
        <v>3</v>
      </c>
      <c r="L16" s="35" t="n">
        <v>30</v>
      </c>
      <c r="M16" s="35" t="n">
        <v>496</v>
      </c>
      <c r="N16" s="35" t="n">
        <v>204</v>
      </c>
      <c r="O16" s="35" t="n">
        <v>346</v>
      </c>
      <c r="P16" s="35" t="n">
        <v>214</v>
      </c>
      <c r="Q16" s="35" t="n">
        <v>4625</v>
      </c>
      <c r="R16" s="35" t="n">
        <f aca="false">+F16+G16+H16+I16+J16+K16+L16+M16+N16+O16+P16+Q16</f>
        <v>7659</v>
      </c>
    </row>
    <row r="17" customFormat="false" ht="14.25" hidden="false" customHeight="false" outlineLevel="0" collapsed="false">
      <c r="D17" s="1" t="s">
        <v>87</v>
      </c>
      <c r="F17" s="35" t="n">
        <v>1627</v>
      </c>
      <c r="G17" s="35" t="n">
        <v>2525</v>
      </c>
      <c r="H17" s="35" t="n">
        <v>1632</v>
      </c>
      <c r="I17" s="35" t="n">
        <v>1535</v>
      </c>
      <c r="J17" s="35" t="n">
        <v>2114</v>
      </c>
      <c r="K17" s="35" t="n">
        <v>1406</v>
      </c>
      <c r="L17" s="35" t="n">
        <v>1557</v>
      </c>
      <c r="M17" s="35" t="n">
        <v>2517</v>
      </c>
      <c r="N17" s="35" t="n">
        <v>1589</v>
      </c>
      <c r="O17" s="35" t="n">
        <v>1628</v>
      </c>
      <c r="P17" s="35" t="n">
        <v>2278</v>
      </c>
      <c r="Q17" s="35" t="n">
        <v>503</v>
      </c>
      <c r="R17" s="35" t="n">
        <f aca="false">+F17+G17+H17+I17+J17+K17+L17+M17+N17+O17+P17+Q17</f>
        <v>20911</v>
      </c>
    </row>
    <row r="18" customFormat="false" ht="14.25" hidden="false" customHeight="false" outlineLevel="0" collapsed="false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95"/>
      <c r="R18" s="95"/>
    </row>
    <row r="19" customFormat="false" ht="14.25" hidden="false" customHeight="false" outlineLevel="0" collapsed="false">
      <c r="C19" s="1" t="s">
        <v>20</v>
      </c>
      <c r="F19" s="39" t="n">
        <f aca="false">SUM(F20:F24)</f>
        <v>20828.023</v>
      </c>
      <c r="G19" s="39" t="n">
        <f aca="false">SUM(G20:G24)</f>
        <v>15652.576</v>
      </c>
      <c r="H19" s="39" t="n">
        <f aca="false">SUM(H20:H24)</f>
        <v>24649.667</v>
      </c>
      <c r="I19" s="39" t="n">
        <f aca="false">SUM(I20:I24)</f>
        <v>26611.26</v>
      </c>
      <c r="J19" s="39" t="n">
        <f aca="false">SUM(J20:J24)</f>
        <v>32098.986</v>
      </c>
      <c r="K19" s="39" t="n">
        <f aca="false">SUM(K20:K24)</f>
        <v>35942.118</v>
      </c>
      <c r="L19" s="39" t="n">
        <f aca="false">SUM(L20:L24)</f>
        <v>24042.949</v>
      </c>
      <c r="M19" s="39" t="n">
        <f aca="false">SUM(M20:M24)</f>
        <v>17254.729</v>
      </c>
      <c r="N19" s="39" t="n">
        <f aca="false">SUM(N20:N24)</f>
        <v>19113.649</v>
      </c>
      <c r="O19" s="39" t="n">
        <f aca="false">SUM(O20:O24)</f>
        <v>24389.002</v>
      </c>
      <c r="P19" s="39" t="n">
        <f aca="false">SUM(P20:P24)</f>
        <v>17474.166</v>
      </c>
      <c r="Q19" s="39" t="n">
        <f aca="false">SUM(Q20:Q24)</f>
        <v>26203.189</v>
      </c>
      <c r="R19" s="39" t="n">
        <f aca="false">SUM(R20:R24)</f>
        <v>284261.13</v>
      </c>
    </row>
    <row r="20" customFormat="false" ht="14.25" hidden="false" customHeight="false" outlineLevel="0" collapsed="false">
      <c r="D20" s="1" t="s">
        <v>21</v>
      </c>
      <c r="F20" s="35" t="n">
        <v>8080</v>
      </c>
      <c r="G20" s="35" t="n">
        <v>5870</v>
      </c>
      <c r="H20" s="35" t="n">
        <v>8816</v>
      </c>
      <c r="I20" s="35" t="n">
        <v>14215</v>
      </c>
      <c r="J20" s="35" t="n">
        <v>21378</v>
      </c>
      <c r="K20" s="35" t="n">
        <v>7789</v>
      </c>
      <c r="L20" s="35" t="n">
        <v>11757</v>
      </c>
      <c r="M20" s="35" t="n">
        <v>5413</v>
      </c>
      <c r="N20" s="35" t="n">
        <v>7190</v>
      </c>
      <c r="O20" s="35" t="n">
        <v>8371</v>
      </c>
      <c r="P20" s="35" t="n">
        <v>4725</v>
      </c>
      <c r="Q20" s="35" t="n">
        <v>10595</v>
      </c>
      <c r="R20" s="35" t="n">
        <f aca="false">+F20+G20+H20+I20+J20+K20+L20+M20+N20+O20+P20+Q20</f>
        <v>114199</v>
      </c>
    </row>
    <row r="21" customFormat="false" ht="14.25" hidden="false" customHeight="false" outlineLevel="0" collapsed="false">
      <c r="D21" s="1" t="s">
        <v>88</v>
      </c>
      <c r="F21" s="35" t="n">
        <v>3657</v>
      </c>
      <c r="G21" s="35" t="n">
        <v>5380</v>
      </c>
      <c r="H21" s="35" t="n">
        <v>3333</v>
      </c>
      <c r="I21" s="35" t="n">
        <v>3878</v>
      </c>
      <c r="J21" s="35" t="n">
        <v>3580</v>
      </c>
      <c r="K21" s="35" t="n">
        <v>2951</v>
      </c>
      <c r="L21" s="35" t="n">
        <v>4369</v>
      </c>
      <c r="M21" s="35" t="n">
        <v>4924</v>
      </c>
      <c r="N21" s="35" t="n">
        <v>4788</v>
      </c>
      <c r="O21" s="35" t="n">
        <v>6287</v>
      </c>
      <c r="P21" s="35" t="n">
        <v>5913</v>
      </c>
      <c r="Q21" s="35" t="n">
        <v>3669</v>
      </c>
      <c r="R21" s="35" t="n">
        <f aca="false">+F21+G21+H21+I21+J21+K21+L21+M21+N21+O21+P21+Q21</f>
        <v>52729</v>
      </c>
    </row>
    <row r="22" customFormat="false" ht="14.25" hidden="false" customHeight="false" outlineLevel="0" collapsed="false">
      <c r="D22" s="1" t="s">
        <v>23</v>
      </c>
      <c r="F22" s="35" t="n">
        <v>17.13</v>
      </c>
      <c r="G22" s="35" t="n">
        <v>9</v>
      </c>
      <c r="H22" s="35" t="n">
        <v>0</v>
      </c>
      <c r="I22" s="35" t="n">
        <v>209</v>
      </c>
      <c r="J22" s="35" t="n">
        <v>117</v>
      </c>
      <c r="K22" s="35" t="n">
        <v>14029</v>
      </c>
      <c r="L22" s="35" t="n">
        <v>23</v>
      </c>
      <c r="M22" s="35" t="n">
        <v>628</v>
      </c>
      <c r="N22" s="35" t="n">
        <v>362</v>
      </c>
      <c r="O22" s="35" t="n">
        <v>29</v>
      </c>
      <c r="P22" s="35" t="n">
        <v>14</v>
      </c>
      <c r="Q22" s="35" t="n">
        <v>218</v>
      </c>
      <c r="R22" s="35" t="n">
        <f aca="false">+F22+G22+H22+I22+J22+K22+L22+M22+N22+O22+P22+Q22</f>
        <v>15655.13</v>
      </c>
    </row>
    <row r="23" customFormat="false" ht="14.25" hidden="false" customHeight="false" outlineLevel="0" collapsed="false">
      <c r="D23" s="1" t="s">
        <v>24</v>
      </c>
      <c r="F23" s="35" t="n">
        <v>1772.893</v>
      </c>
      <c r="G23" s="35" t="n">
        <v>1601.576</v>
      </c>
      <c r="H23" s="35" t="n">
        <v>1579.667</v>
      </c>
      <c r="I23" s="35" t="n">
        <v>1775.26</v>
      </c>
      <c r="J23" s="35" t="n">
        <v>2124.986</v>
      </c>
      <c r="K23" s="35" t="n">
        <v>1765.118</v>
      </c>
      <c r="L23" s="35" t="n">
        <v>2265.949</v>
      </c>
      <c r="M23" s="35" t="n">
        <v>1988.729</v>
      </c>
      <c r="N23" s="35" t="n">
        <v>2245.649</v>
      </c>
      <c r="O23" s="35" t="n">
        <v>2454.002</v>
      </c>
      <c r="P23" s="35" t="n">
        <v>2354.166</v>
      </c>
      <c r="Q23" s="35" t="n">
        <v>2588.189</v>
      </c>
      <c r="R23" s="35" t="n">
        <v>24516.19</v>
      </c>
      <c r="T23" s="35"/>
    </row>
    <row r="24" customFormat="false" ht="14.25" hidden="false" customHeight="false" outlineLevel="0" collapsed="false">
      <c r="D24" s="1" t="s">
        <v>25</v>
      </c>
      <c r="F24" s="35" t="n">
        <v>7301</v>
      </c>
      <c r="G24" s="35" t="n">
        <v>2792</v>
      </c>
      <c r="H24" s="35" t="n">
        <v>10921</v>
      </c>
      <c r="I24" s="35" t="n">
        <v>6534</v>
      </c>
      <c r="J24" s="35" t="n">
        <v>4899</v>
      </c>
      <c r="K24" s="35" t="n">
        <v>9408</v>
      </c>
      <c r="L24" s="35" t="n">
        <v>5628</v>
      </c>
      <c r="M24" s="35" t="n">
        <v>4301</v>
      </c>
      <c r="N24" s="35" t="n">
        <v>4528</v>
      </c>
      <c r="O24" s="35" t="n">
        <v>7248</v>
      </c>
      <c r="P24" s="35" t="n">
        <v>4468</v>
      </c>
      <c r="Q24" s="35" t="n">
        <v>9133</v>
      </c>
      <c r="R24" s="35" t="n">
        <v>77161.81</v>
      </c>
    </row>
    <row r="25" customFormat="false" ht="14.25" hidden="false" customHeight="false" outlineLevel="0" collapsed="false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customFormat="false" ht="14.25" hidden="false" customHeight="false" outlineLevel="0" collapsed="false">
      <c r="C26" s="1" t="s">
        <v>26</v>
      </c>
      <c r="F26" s="35" t="n">
        <v>0</v>
      </c>
      <c r="G26" s="35" t="n">
        <v>0</v>
      </c>
      <c r="H26" s="35" t="n">
        <v>0</v>
      </c>
      <c r="I26" s="35" t="n">
        <v>0</v>
      </c>
      <c r="J26" s="35" t="n">
        <v>0</v>
      </c>
      <c r="K26" s="35" t="n">
        <v>22</v>
      </c>
      <c r="L26" s="35" t="n">
        <v>0</v>
      </c>
      <c r="M26" s="35" t="n">
        <v>0</v>
      </c>
      <c r="N26" s="35" t="n">
        <v>0</v>
      </c>
      <c r="O26" s="35" t="n">
        <v>0</v>
      </c>
      <c r="P26" s="35" t="n">
        <v>0</v>
      </c>
      <c r="Q26" s="35" t="n">
        <v>29</v>
      </c>
      <c r="R26" s="35" t="n">
        <f aca="false">+F26+G26+H26+I26+J26+K26+L26+M26+N26+O26+P26+Q26</f>
        <v>51</v>
      </c>
    </row>
    <row r="27" customFormat="false" ht="14.25" hidden="false" customHeight="false" outlineLevel="0" collapsed="false">
      <c r="F27" s="35" t="s">
        <v>59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customFormat="false" ht="15" hidden="false" customHeight="false" outlineLevel="0" collapsed="false">
      <c r="B28" s="7" t="s">
        <v>27</v>
      </c>
      <c r="C28" s="7"/>
      <c r="D28" s="7"/>
      <c r="E28" s="7"/>
      <c r="F28" s="34" t="n">
        <f aca="false">SUM(F30:F36)</f>
        <v>228707</v>
      </c>
      <c r="G28" s="34" t="n">
        <f aca="false">SUM(G30:G36)</f>
        <v>230204</v>
      </c>
      <c r="H28" s="34" t="n">
        <f aca="false">SUM(H30:H36)</f>
        <v>313053</v>
      </c>
      <c r="I28" s="34" t="n">
        <f aca="false">SUM(I30:I36)</f>
        <v>261243</v>
      </c>
      <c r="J28" s="34" t="n">
        <f aca="false">SUM(J30:J36)</f>
        <v>291865</v>
      </c>
      <c r="K28" s="34" t="n">
        <f aca="false">SUM(K30:K36)</f>
        <v>278487</v>
      </c>
      <c r="L28" s="34" t="n">
        <f aca="false">SUM(L30:L36)</f>
        <v>328126</v>
      </c>
      <c r="M28" s="34" t="n">
        <f aca="false">SUM(M30:M36)</f>
        <v>259462</v>
      </c>
      <c r="N28" s="34" t="n">
        <f aca="false">SUM(N30:N36)</f>
        <v>298598</v>
      </c>
      <c r="O28" s="34" t="n">
        <f aca="false">SUM(O30:O36)</f>
        <v>306627</v>
      </c>
      <c r="P28" s="34" t="n">
        <f aca="false">SUM(P30:P36)</f>
        <v>298820</v>
      </c>
      <c r="Q28" s="34" t="n">
        <f aca="false">SUM(Q30:Q36)</f>
        <v>313251</v>
      </c>
      <c r="R28" s="34" t="n">
        <f aca="false">SUM(R30:R36)</f>
        <v>3408443</v>
      </c>
    </row>
    <row r="29" customFormat="false" ht="8.25" hidden="false" customHeight="true" outlineLevel="0" collapsed="false"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customFormat="false" ht="14.25" hidden="false" customHeight="false" outlineLevel="0" collapsed="false">
      <c r="D30" s="1" t="s">
        <v>28</v>
      </c>
      <c r="F30" s="35" t="n">
        <v>43305</v>
      </c>
      <c r="G30" s="35" t="n">
        <v>59162</v>
      </c>
      <c r="H30" s="35" t="n">
        <v>46272</v>
      </c>
      <c r="I30" s="35" t="n">
        <v>58836</v>
      </c>
      <c r="J30" s="35" t="n">
        <v>48657</v>
      </c>
      <c r="K30" s="35" t="n">
        <v>46427</v>
      </c>
      <c r="L30" s="35" t="n">
        <v>46356</v>
      </c>
      <c r="M30" s="35" t="n">
        <v>45939</v>
      </c>
      <c r="N30" s="35" t="n">
        <v>47868</v>
      </c>
      <c r="O30" s="35" t="n">
        <v>44601</v>
      </c>
      <c r="P30" s="35" t="n">
        <v>44059</v>
      </c>
      <c r="Q30" s="35" t="n">
        <v>44168</v>
      </c>
      <c r="R30" s="35" t="n">
        <f aca="false">+F30+G30+H30+I30+J30+K30+L30+M30+N30+O30+P30+Q30</f>
        <v>575650</v>
      </c>
    </row>
    <row r="31" customFormat="false" ht="14.25" hidden="false" customHeight="false" outlineLevel="0" collapsed="false">
      <c r="D31" s="1" t="s">
        <v>29</v>
      </c>
      <c r="F31" s="35" t="n">
        <v>43516</v>
      </c>
      <c r="G31" s="35" t="n">
        <v>26097</v>
      </c>
      <c r="H31" s="35" t="n">
        <v>27549</v>
      </c>
      <c r="I31" s="35" t="n">
        <v>23172</v>
      </c>
      <c r="J31" s="35" t="n">
        <v>21111</v>
      </c>
      <c r="K31" s="35" t="n">
        <v>24065</v>
      </c>
      <c r="L31" s="35" t="n">
        <v>44841</v>
      </c>
      <c r="M31" s="35" t="n">
        <v>28301</v>
      </c>
      <c r="N31" s="35" t="n">
        <v>32675</v>
      </c>
      <c r="O31" s="35" t="n">
        <v>24015</v>
      </c>
      <c r="P31" s="35" t="n">
        <v>24660</v>
      </c>
      <c r="Q31" s="35" t="n">
        <v>29213</v>
      </c>
      <c r="R31" s="35" t="n">
        <f aca="false">+F31+G31+H31+I31+J31+K31+L31+M31+N31+O31+P31+Q31</f>
        <v>349215</v>
      </c>
    </row>
    <row r="32" customFormat="false" ht="14.25" hidden="false" customHeight="false" outlineLevel="0" collapsed="false">
      <c r="D32" s="1" t="s">
        <v>30</v>
      </c>
      <c r="F32" s="35" t="n">
        <v>1441</v>
      </c>
      <c r="G32" s="35" t="n">
        <v>354</v>
      </c>
      <c r="H32" s="35" t="n">
        <v>2584</v>
      </c>
      <c r="I32" s="35" t="n">
        <v>2513</v>
      </c>
      <c r="J32" s="35" t="n">
        <v>574</v>
      </c>
      <c r="K32" s="35" t="n">
        <v>744</v>
      </c>
      <c r="L32" s="35" t="n">
        <v>1524</v>
      </c>
      <c r="M32" s="35" t="n">
        <v>2272</v>
      </c>
      <c r="N32" s="35" t="n">
        <v>1982</v>
      </c>
      <c r="O32" s="35" t="n">
        <v>831</v>
      </c>
      <c r="P32" s="35" t="n">
        <v>690</v>
      </c>
      <c r="Q32" s="35" t="n">
        <v>6083</v>
      </c>
      <c r="R32" s="35" t="n">
        <f aca="false">+F32+G32+H32+I32+J32+K32+L32+M32+N32+O32+P32+Q32</f>
        <v>21592</v>
      </c>
    </row>
    <row r="33" customFormat="false" ht="13.5" hidden="false" customHeight="true" outlineLevel="0" collapsed="false">
      <c r="D33" s="1" t="s">
        <v>77</v>
      </c>
      <c r="F33" s="35" t="n">
        <v>922</v>
      </c>
      <c r="G33" s="35" t="n">
        <v>9126</v>
      </c>
      <c r="H33" s="35" t="n">
        <v>35240</v>
      </c>
      <c r="I33" s="35" t="n">
        <v>3874</v>
      </c>
      <c r="J33" s="35" t="n">
        <v>3832</v>
      </c>
      <c r="K33" s="35" t="n">
        <v>14750</v>
      </c>
      <c r="L33" s="35" t="n">
        <v>32470</v>
      </c>
      <c r="M33" s="35" t="n">
        <v>5037</v>
      </c>
      <c r="N33" s="35" t="n">
        <v>19583</v>
      </c>
      <c r="O33" s="35" t="n">
        <v>1551</v>
      </c>
      <c r="P33" s="35" t="n">
        <v>8086</v>
      </c>
      <c r="Q33" s="35" t="n">
        <v>2181</v>
      </c>
      <c r="R33" s="35" t="n">
        <f aca="false">+F33+G33+H33+I33+J33+K33+L33+M33+N33+O33+P33+Q33</f>
        <v>136652</v>
      </c>
    </row>
    <row r="34" customFormat="false" ht="14.25" hidden="false" customHeight="false" outlineLevel="0" collapsed="false">
      <c r="D34" s="1" t="s">
        <v>32</v>
      </c>
      <c r="F34" s="35" t="n">
        <v>0</v>
      </c>
      <c r="G34" s="35" t="n">
        <v>31</v>
      </c>
      <c r="H34" s="35" t="n">
        <v>2000</v>
      </c>
      <c r="I34" s="35" t="n">
        <v>18</v>
      </c>
      <c r="J34" s="35" t="n">
        <v>0</v>
      </c>
      <c r="K34" s="35" t="n">
        <v>538</v>
      </c>
      <c r="L34" s="35" t="n">
        <v>484</v>
      </c>
      <c r="M34" s="35" t="n">
        <v>6</v>
      </c>
      <c r="N34" s="35" t="n">
        <v>770</v>
      </c>
      <c r="O34" s="35" t="n">
        <v>25</v>
      </c>
      <c r="P34" s="35" t="n">
        <v>90</v>
      </c>
      <c r="Q34" s="35" t="n">
        <v>23</v>
      </c>
      <c r="R34" s="35" t="n">
        <f aca="false">+F34+G34+H34+I34+J34+K34+L34+M34+N34+O34+P34+Q34</f>
        <v>3985</v>
      </c>
    </row>
    <row r="35" customFormat="false" ht="14.25" hidden="false" customHeight="false" outlineLevel="0" collapsed="false">
      <c r="D35" s="1" t="s">
        <v>78</v>
      </c>
      <c r="F35" s="35" t="n">
        <v>20</v>
      </c>
      <c r="G35" s="35" t="n">
        <v>-1078</v>
      </c>
      <c r="H35" s="35" t="n">
        <v>817</v>
      </c>
      <c r="I35" s="35" t="n">
        <v>25</v>
      </c>
      <c r="J35" s="35" t="n">
        <v>1412</v>
      </c>
      <c r="K35" s="35" t="n">
        <v>174</v>
      </c>
      <c r="L35" s="35" t="n">
        <v>1322</v>
      </c>
      <c r="M35" s="35" t="n">
        <v>3067</v>
      </c>
      <c r="N35" s="35" t="n">
        <v>1078</v>
      </c>
      <c r="O35" s="35" t="n">
        <v>-1316</v>
      </c>
      <c r="P35" s="35" t="n">
        <v>990</v>
      </c>
      <c r="Q35" s="35" t="n">
        <v>-1636</v>
      </c>
      <c r="R35" s="35" t="n">
        <f aca="false">+F35+G35+H35+I35+J35+K35+L35+M35+N35+O35+P35+Q35</f>
        <v>4875</v>
      </c>
    </row>
    <row r="36" customFormat="false" ht="14.25" hidden="false" customHeight="false" outlineLevel="0" collapsed="false">
      <c r="D36" s="1" t="s">
        <v>79</v>
      </c>
      <c r="F36" s="35" t="n">
        <f aca="false">127345+13599-F32</f>
        <v>139503</v>
      </c>
      <c r="G36" s="35" t="n">
        <f aca="false">129388+7478-G32</f>
        <v>136512</v>
      </c>
      <c r="H36" s="35" t="n">
        <f aca="false">187338+13837-H32</f>
        <v>198591</v>
      </c>
      <c r="I36" s="35" t="n">
        <f aca="false">161653+13665-I32</f>
        <v>172805</v>
      </c>
      <c r="J36" s="35" t="n">
        <f aca="false">206956+9897-J32</f>
        <v>216279</v>
      </c>
      <c r="K36" s="35" t="n">
        <f aca="false">180928+11605-K32</f>
        <v>191789</v>
      </c>
      <c r="L36" s="35" t="n">
        <f aca="false">188057+14596-L32</f>
        <v>201129</v>
      </c>
      <c r="M36" s="35" t="n">
        <f aca="false">164157+12955-M32</f>
        <v>174840</v>
      </c>
      <c r="N36" s="35" t="n">
        <f aca="false">183440+13184-N32</f>
        <v>194642</v>
      </c>
      <c r="O36" s="35" t="n">
        <f aca="false">225241+12510-O32</f>
        <v>236920</v>
      </c>
      <c r="P36" s="35" t="n">
        <f aca="false">206144+14791-P32</f>
        <v>220245</v>
      </c>
      <c r="Q36" s="35" t="n">
        <f aca="false">220718+18584-Q32</f>
        <v>233219</v>
      </c>
      <c r="R36" s="35" t="n">
        <f aca="false">+F36+G36+H36+I36+J36+K36+L36+M36+N36+O36+P36+Q36</f>
        <v>2316474</v>
      </c>
    </row>
    <row r="37" customFormat="false" ht="14.25" hidden="false" customHeight="false" outlineLevel="0" collapsed="false">
      <c r="F37" s="39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customFormat="false" ht="15" hidden="false" customHeight="false" outlineLevel="0" collapsed="false">
      <c r="B38" s="7" t="s">
        <v>35</v>
      </c>
      <c r="C38" s="7"/>
      <c r="D38" s="7"/>
      <c r="E38" s="7"/>
      <c r="F38" s="38" t="n">
        <f aca="false">+F8-F28</f>
        <v>10191.023</v>
      </c>
      <c r="G38" s="38" t="n">
        <f aca="false">+G8-G28</f>
        <v>-51669.424</v>
      </c>
      <c r="H38" s="38" t="n">
        <f aca="false">+H8-H28</f>
        <v>-110693.333</v>
      </c>
      <c r="I38" s="38" t="n">
        <f aca="false">+I8-I28</f>
        <v>46315.26</v>
      </c>
      <c r="J38" s="38" t="n">
        <f aca="false">+J8-J28</f>
        <v>-32873.014</v>
      </c>
      <c r="K38" s="38" t="n">
        <f aca="false">+K8-K28</f>
        <v>-54287.882</v>
      </c>
      <c r="L38" s="38" t="n">
        <f aca="false">+L8-L28</f>
        <v>-86383.051</v>
      </c>
      <c r="M38" s="38" t="n">
        <f aca="false">+M8-M28</f>
        <v>-2587.27100000001</v>
      </c>
      <c r="N38" s="38" t="n">
        <f aca="false">+N8-N28</f>
        <v>-96247.351</v>
      </c>
      <c r="O38" s="38" t="n">
        <f aca="false">+O8-O28</f>
        <v>-59864.998</v>
      </c>
      <c r="P38" s="38" t="n">
        <f aca="false">+P8-P28</f>
        <v>-39117.834</v>
      </c>
      <c r="Q38" s="38" t="n">
        <f aca="false">+Q8-Q28</f>
        <v>-81041.811</v>
      </c>
      <c r="R38" s="38" t="n">
        <f aca="false">+F38+G38+H38+I38+J38+K38+L38+M38+N38+O38+P38+Q38+1</f>
        <v>-558258.686</v>
      </c>
    </row>
    <row r="39" customFormat="false" ht="14.25" hidden="false" customHeight="false" outlineLevel="0" collapsed="false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r="40" customFormat="false" ht="15" hidden="false" customHeight="false" outlineLevel="0" collapsed="false">
      <c r="B40" s="7" t="s">
        <v>36</v>
      </c>
      <c r="C40" s="7"/>
      <c r="D40" s="7"/>
      <c r="E40" s="7"/>
      <c r="F40" s="34" t="n">
        <f aca="false">+F41+F45</f>
        <v>44661</v>
      </c>
      <c r="G40" s="34" t="n">
        <f aca="false">+G41+G45</f>
        <v>54479</v>
      </c>
      <c r="H40" s="34" t="n">
        <f aca="false">+H41+H45</f>
        <v>44993</v>
      </c>
      <c r="I40" s="34" t="n">
        <f aca="false">+I41+I45</f>
        <v>32018</v>
      </c>
      <c r="J40" s="34" t="n">
        <f aca="false">+J41+J45</f>
        <v>50509</v>
      </c>
      <c r="K40" s="34" t="n">
        <f aca="false">+K41+K45</f>
        <v>153291</v>
      </c>
      <c r="L40" s="34" t="n">
        <f aca="false">+L41+L45</f>
        <v>42026</v>
      </c>
      <c r="M40" s="34" t="n">
        <f aca="false">+M41+M45</f>
        <v>129601</v>
      </c>
      <c r="N40" s="34" t="n">
        <f aca="false">+N41+N45</f>
        <v>38061</v>
      </c>
      <c r="O40" s="34" t="n">
        <f aca="false">+O41+O45</f>
        <v>28937</v>
      </c>
      <c r="P40" s="34" t="n">
        <f aca="false">+P41+P45</f>
        <v>90380</v>
      </c>
      <c r="Q40" s="34" t="n">
        <f aca="false">+Q41+Q45</f>
        <v>74321</v>
      </c>
      <c r="R40" s="34" t="n">
        <f aca="false">+R41+R45</f>
        <v>783277</v>
      </c>
    </row>
    <row r="41" customFormat="false" ht="14.25" hidden="false" customHeight="false" outlineLevel="0" collapsed="false">
      <c r="C41" s="1" t="s">
        <v>37</v>
      </c>
      <c r="F41" s="39" t="n">
        <f aca="false">+F42-F43</f>
        <v>16980</v>
      </c>
      <c r="G41" s="39" t="n">
        <f aca="false">+G42-G43</f>
        <v>55948</v>
      </c>
      <c r="H41" s="39" t="n">
        <f aca="false">+H42-H43</f>
        <v>9893</v>
      </c>
      <c r="I41" s="39" t="n">
        <f aca="false">+I42-I43</f>
        <v>-1103</v>
      </c>
      <c r="J41" s="39" t="n">
        <f aca="false">+J42-J43</f>
        <v>-4815</v>
      </c>
      <c r="K41" s="39" t="n">
        <f aca="false">+K42-K43</f>
        <v>-1118</v>
      </c>
      <c r="L41" s="39" t="n">
        <f aca="false">+L42-L43</f>
        <v>20975</v>
      </c>
      <c r="M41" s="39" t="n">
        <f aca="false">+M42-M43</f>
        <v>71668</v>
      </c>
      <c r="N41" s="39" t="n">
        <f aca="false">+N42-N43</f>
        <v>23614</v>
      </c>
      <c r="O41" s="39" t="n">
        <f aca="false">+O42-O43</f>
        <v>-2629</v>
      </c>
      <c r="P41" s="39" t="n">
        <f aca="false">+P42-P43</f>
        <v>-3930</v>
      </c>
      <c r="Q41" s="39" t="n">
        <f aca="false">+Q42-Q43</f>
        <v>6269</v>
      </c>
      <c r="R41" s="39" t="n">
        <f aca="false">+R42-R43</f>
        <v>191752</v>
      </c>
    </row>
    <row r="42" customFormat="false" ht="14.25" hidden="false" customHeight="false" outlineLevel="0" collapsed="false">
      <c r="D42" s="1" t="s">
        <v>38</v>
      </c>
      <c r="F42" s="35" t="n">
        <v>18278</v>
      </c>
      <c r="G42" s="35" t="n">
        <v>110339</v>
      </c>
      <c r="H42" s="35" t="n">
        <v>15785</v>
      </c>
      <c r="I42" s="35" t="n">
        <v>3455</v>
      </c>
      <c r="J42" s="35" t="n">
        <v>2534</v>
      </c>
      <c r="K42" s="35" t="n">
        <v>5394</v>
      </c>
      <c r="L42" s="35" t="n">
        <v>23072</v>
      </c>
      <c r="M42" s="35" t="n">
        <v>75853</v>
      </c>
      <c r="N42" s="35" t="n">
        <v>29532</v>
      </c>
      <c r="O42" s="35" t="n">
        <v>1810</v>
      </c>
      <c r="P42" s="35" t="n">
        <v>3410</v>
      </c>
      <c r="Q42" s="35" t="n">
        <v>13615</v>
      </c>
      <c r="R42" s="35" t="n">
        <f aca="false">+F42+G42+H42+I42+J42+K42+L42+M42+N42+O42+P42+Q42</f>
        <v>303077</v>
      </c>
    </row>
    <row r="43" customFormat="false" ht="14.25" hidden="false" customHeight="false" outlineLevel="0" collapsed="false">
      <c r="D43" s="1" t="s">
        <v>39</v>
      </c>
      <c r="F43" s="35" t="n">
        <v>1298</v>
      </c>
      <c r="G43" s="35" t="n">
        <v>54391</v>
      </c>
      <c r="H43" s="35" t="n">
        <v>5892</v>
      </c>
      <c r="I43" s="35" t="n">
        <v>4558</v>
      </c>
      <c r="J43" s="35" t="n">
        <v>7349</v>
      </c>
      <c r="K43" s="35" t="n">
        <v>6512</v>
      </c>
      <c r="L43" s="35" t="n">
        <v>2097</v>
      </c>
      <c r="M43" s="35" t="n">
        <v>4185</v>
      </c>
      <c r="N43" s="35" t="n">
        <v>5918</v>
      </c>
      <c r="O43" s="35" t="n">
        <v>4439</v>
      </c>
      <c r="P43" s="35" t="n">
        <v>7340</v>
      </c>
      <c r="Q43" s="35" t="n">
        <v>7346</v>
      </c>
      <c r="R43" s="35" t="n">
        <f aca="false">+F43+G43+H43+I43+J43+K43+L43+M43+N43+O43+P43+Q43</f>
        <v>111325</v>
      </c>
    </row>
    <row r="44" customFormat="false" ht="14.25" hidden="false" customHeight="false" outlineLevel="0" collapsed="false"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 customFormat="false" ht="14.25" hidden="false" customHeight="false" outlineLevel="0" collapsed="false">
      <c r="C45" s="1" t="s">
        <v>40</v>
      </c>
      <c r="F45" s="39" t="n">
        <f aca="false">+F46-F47</f>
        <v>27681</v>
      </c>
      <c r="G45" s="39" t="n">
        <f aca="false">+G46-G47</f>
        <v>-1469</v>
      </c>
      <c r="H45" s="39" t="n">
        <f aca="false">+H46-H47</f>
        <v>35100</v>
      </c>
      <c r="I45" s="39" t="n">
        <f aca="false">+I46-I47</f>
        <v>33121</v>
      </c>
      <c r="J45" s="39" t="n">
        <f aca="false">+J46-J47</f>
        <v>55324</v>
      </c>
      <c r="K45" s="39" t="n">
        <f aca="false">+K46-K47</f>
        <v>154409</v>
      </c>
      <c r="L45" s="39" t="n">
        <f aca="false">+L46-L47</f>
        <v>21051</v>
      </c>
      <c r="M45" s="39" t="n">
        <f aca="false">+M46-M47</f>
        <v>57933</v>
      </c>
      <c r="N45" s="39" t="n">
        <f aca="false">+N46-N47</f>
        <v>14447</v>
      </c>
      <c r="O45" s="39" t="n">
        <f aca="false">+O46-O47</f>
        <v>31566</v>
      </c>
      <c r="P45" s="39" t="n">
        <f aca="false">+P46-P47</f>
        <v>94310</v>
      </c>
      <c r="Q45" s="39" t="n">
        <f aca="false">+Q46-Q47</f>
        <v>68052</v>
      </c>
      <c r="R45" s="39" t="n">
        <f aca="false">+R46-R47</f>
        <v>591525</v>
      </c>
    </row>
    <row r="46" customFormat="false" ht="14.25" hidden="false" customHeight="false" outlineLevel="0" collapsed="false">
      <c r="D46" s="1" t="s">
        <v>41</v>
      </c>
      <c r="F46" s="35" t="n">
        <v>27681</v>
      </c>
      <c r="G46" s="35" t="n">
        <v>-1469</v>
      </c>
      <c r="H46" s="35" t="n">
        <v>35565</v>
      </c>
      <c r="I46" s="35" t="n">
        <v>33237</v>
      </c>
      <c r="J46" s="35" t="n">
        <v>55435</v>
      </c>
      <c r="K46" s="35" t="n">
        <v>154588</v>
      </c>
      <c r="L46" s="35" t="n">
        <v>21324</v>
      </c>
      <c r="M46" s="35" t="n">
        <v>58196</v>
      </c>
      <c r="N46" s="35" t="n">
        <v>14447</v>
      </c>
      <c r="O46" s="35" t="n">
        <v>32292</v>
      </c>
      <c r="P46" s="35" t="n">
        <v>94502</v>
      </c>
      <c r="Q46" s="35" t="n">
        <v>68676</v>
      </c>
      <c r="R46" s="35" t="n">
        <f aca="false">+F46+G46+H46+I46+J46+K46+L46+M46+N46+O46+P46+Q46</f>
        <v>594474</v>
      </c>
    </row>
    <row r="47" customFormat="false" ht="14.25" hidden="false" customHeight="false" outlineLevel="0" collapsed="false">
      <c r="D47" s="1" t="s">
        <v>42</v>
      </c>
      <c r="F47" s="36" t="n">
        <f aca="false">F48-F49</f>
        <v>0</v>
      </c>
      <c r="G47" s="36" t="n">
        <f aca="false">G48-G49</f>
        <v>0</v>
      </c>
      <c r="H47" s="36" t="n">
        <f aca="false">H48-H49</f>
        <v>465</v>
      </c>
      <c r="I47" s="36" t="n">
        <f aca="false">I48-I49</f>
        <v>116</v>
      </c>
      <c r="J47" s="36" t="n">
        <f aca="false">J48-J49</f>
        <v>111</v>
      </c>
      <c r="K47" s="36" t="n">
        <f aca="false">K48-K49</f>
        <v>179</v>
      </c>
      <c r="L47" s="36" t="n">
        <f aca="false">L48-L49</f>
        <v>273</v>
      </c>
      <c r="M47" s="36" t="n">
        <f aca="false">M48-M49</f>
        <v>263</v>
      </c>
      <c r="N47" s="36" t="n">
        <f aca="false">N48-N49</f>
        <v>0</v>
      </c>
      <c r="O47" s="36" t="n">
        <f aca="false">O48-O49</f>
        <v>726</v>
      </c>
      <c r="P47" s="36" t="n">
        <f aca="false">P48-P49</f>
        <v>192</v>
      </c>
      <c r="Q47" s="36" t="n">
        <f aca="false">Q48-Q49</f>
        <v>624</v>
      </c>
      <c r="R47" s="35" t="n">
        <f aca="false">+F47+G47+H47+I47+J47+K47+L47+M47+N47+O47+P47+Q47</f>
        <v>2949</v>
      </c>
    </row>
    <row r="48" customFormat="false" ht="14.25" hidden="false" customHeight="false" outlineLevel="0" collapsed="false">
      <c r="E48" s="1" t="s">
        <v>67</v>
      </c>
      <c r="F48" s="36" t="n">
        <v>38992</v>
      </c>
      <c r="G48" s="35" t="n">
        <v>0</v>
      </c>
      <c r="H48" s="35" t="n">
        <v>465</v>
      </c>
      <c r="I48" s="35" t="n">
        <v>116</v>
      </c>
      <c r="J48" s="35" t="n">
        <v>130636</v>
      </c>
      <c r="K48" s="35" t="n">
        <v>179</v>
      </c>
      <c r="L48" s="35" t="n">
        <v>273</v>
      </c>
      <c r="M48" s="35" t="n">
        <v>86350</v>
      </c>
      <c r="N48" s="35" t="n">
        <v>0</v>
      </c>
      <c r="O48" s="35" t="n">
        <v>726</v>
      </c>
      <c r="P48" s="35" t="n">
        <v>6688</v>
      </c>
      <c r="Q48" s="35" t="n">
        <v>624</v>
      </c>
      <c r="R48" s="35" t="n">
        <f aca="false">+F48+G48+H48+I48+J48+K48+L48+M48+N48+O48+P48+Q48</f>
        <v>265049</v>
      </c>
    </row>
    <row r="49" customFormat="false" ht="14.25" hidden="false" customHeight="false" outlineLevel="0" collapsed="false">
      <c r="E49" s="16" t="s">
        <v>80</v>
      </c>
      <c r="F49" s="36" t="n">
        <v>38992</v>
      </c>
      <c r="G49" s="35" t="n">
        <v>0</v>
      </c>
      <c r="H49" s="35" t="n">
        <v>0</v>
      </c>
      <c r="I49" s="35" t="n">
        <v>0</v>
      </c>
      <c r="J49" s="35" t="n">
        <v>130525</v>
      </c>
      <c r="K49" s="35" t="n">
        <v>0</v>
      </c>
      <c r="L49" s="35" t="n">
        <v>0</v>
      </c>
      <c r="M49" s="35" t="n">
        <v>86087</v>
      </c>
      <c r="N49" s="35" t="n">
        <v>0</v>
      </c>
      <c r="O49" s="35" t="n">
        <v>0</v>
      </c>
      <c r="P49" s="35" t="n">
        <v>6496</v>
      </c>
      <c r="Q49" s="35" t="n">
        <v>0</v>
      </c>
      <c r="R49" s="35" t="n">
        <f aca="false">+F49+G49+H49+I49+J49+K49+L49+M49+N49+O49+P49+Q49</f>
        <v>262100</v>
      </c>
    </row>
    <row r="50" customFormat="false" ht="14.25" hidden="false" customHeight="true" outlineLevel="0" collapsed="false"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r="51" customFormat="false" ht="16.5" hidden="false" customHeight="true" outlineLevel="0" collapsed="false">
      <c r="B51" s="7" t="s">
        <v>45</v>
      </c>
      <c r="C51" s="7"/>
      <c r="D51" s="7"/>
      <c r="E51" s="7"/>
      <c r="F51" s="38" t="n">
        <v>18778</v>
      </c>
      <c r="G51" s="38" t="n">
        <v>-17787</v>
      </c>
      <c r="H51" s="38" t="n">
        <v>-62866</v>
      </c>
      <c r="I51" s="38" t="n">
        <v>86260</v>
      </c>
      <c r="J51" s="38" t="n">
        <v>-114512</v>
      </c>
      <c r="K51" s="38" t="n">
        <v>64604</v>
      </c>
      <c r="L51" s="38" t="n">
        <v>-51342</v>
      </c>
      <c r="M51" s="38" t="n">
        <v>82270</v>
      </c>
      <c r="N51" s="38" t="n">
        <v>-57505</v>
      </c>
      <c r="O51" s="38" t="n">
        <v>-32374</v>
      </c>
      <c r="P51" s="38" t="n">
        <v>38315</v>
      </c>
      <c r="Q51" s="38" t="n">
        <v>-6492</v>
      </c>
      <c r="R51" s="38" t="n">
        <f aca="false">+F51+G51+H51+I51+J51+K51+L51+M51+N51+O51+P51+Q51</f>
        <v>-52651</v>
      </c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91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="41" customFormat="true" ht="13.5" hidden="false" customHeight="false" outlineLevel="0" collapsed="false">
      <c r="B53" s="77" t="s">
        <v>46</v>
      </c>
      <c r="S53" s="96"/>
    </row>
    <row r="54" s="41" customFormat="true" ht="12.75" hidden="false" customHeight="true" outlineLevel="0" collapsed="false">
      <c r="B54" s="77"/>
      <c r="C54" s="21" t="s">
        <v>47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96"/>
    </row>
    <row r="55" s="41" customFormat="true" ht="12.75" hidden="false" customHeight="true" outlineLevel="0" collapsed="false">
      <c r="B55" s="7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96"/>
    </row>
    <row r="56" s="41" customFormat="true" ht="12.75" hidden="false" customHeight="true" outlineLevel="0" collapsed="false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96"/>
    </row>
    <row r="57" s="41" customFormat="true" ht="12.75" hidden="false" customHeight="false" outlineLevel="0" collapsed="false">
      <c r="S57" s="96"/>
    </row>
    <row r="58" s="41" customFormat="true" ht="12.75" hidden="false" customHeight="false" outlineLevel="0" collapsed="false">
      <c r="B58" s="41" t="s">
        <v>51</v>
      </c>
      <c r="S58" s="96"/>
    </row>
    <row r="59" s="41" customFormat="true" ht="12.75" hidden="false" customHeight="false" outlineLevel="0" collapsed="false">
      <c r="B59" s="41" t="s">
        <v>93</v>
      </c>
      <c r="S59" s="96"/>
    </row>
    <row r="61" customFormat="false" ht="14.25" hidden="false" customHeight="false" outlineLevel="0" collapsed="false">
      <c r="A61" s="6"/>
    </row>
  </sheetData>
  <mergeCells count="2">
    <mergeCell ref="A6:E6"/>
    <mergeCell ref="C54:R5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S25" activeCellId="0" sqref="S25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22.43"/>
    <col collapsed="false" customWidth="false" hidden="false" outlineLevel="0" max="6" min="6" style="1" width="9.14"/>
    <col collapsed="false" customWidth="true" hidden="false" outlineLevel="0" max="16" min="7" style="1" width="9.58"/>
    <col collapsed="false" customWidth="true" hidden="false" outlineLevel="0" max="17" min="17" style="1" width="10.14"/>
    <col collapsed="false" customWidth="true" hidden="false" outlineLevel="0" max="18" min="18" style="1" width="11.14"/>
    <col collapsed="false" customWidth="false" hidden="false" outlineLevel="0" max="1024" min="19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2" t="s">
        <v>94</v>
      </c>
      <c r="B2" s="2"/>
      <c r="C2" s="2"/>
      <c r="D2" s="2"/>
      <c r="E2" s="2"/>
      <c r="F2" s="2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3"/>
    </row>
    <row r="4" customFormat="false" ht="14.25" hidden="false" customHeight="false" outlineLevel="0" collapsed="false">
      <c r="A4" s="4" t="s">
        <v>95</v>
      </c>
      <c r="B4" s="3"/>
    </row>
    <row r="5" customFormat="false" ht="6" hidden="false" customHeight="true" outlineLevel="0" collapsed="false"/>
    <row r="6" customFormat="false" ht="22.5" hidden="false" customHeight="true" outlineLevel="0" collapsed="false">
      <c r="A6" s="97"/>
      <c r="B6" s="5" t="s">
        <v>4</v>
      </c>
      <c r="C6" s="5"/>
      <c r="D6" s="5"/>
      <c r="E6" s="5"/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53</v>
      </c>
      <c r="M6" s="5" t="s">
        <v>54</v>
      </c>
      <c r="N6" s="5" t="s">
        <v>55</v>
      </c>
      <c r="O6" s="5" t="s">
        <v>56</v>
      </c>
      <c r="P6" s="5" t="s">
        <v>57</v>
      </c>
      <c r="Q6" s="5" t="s">
        <v>58</v>
      </c>
      <c r="R6" s="5" t="s">
        <v>11</v>
      </c>
    </row>
    <row r="7" customFormat="false" ht="15" hidden="false" customHeight="true" outlineLevel="0" collapsed="false"/>
    <row r="8" customFormat="false" ht="15" hidden="false" customHeight="true" outlineLevel="0" collapsed="false">
      <c r="B8" s="7" t="s">
        <v>12</v>
      </c>
      <c r="C8" s="7"/>
      <c r="D8" s="7"/>
      <c r="E8" s="7"/>
      <c r="F8" s="34" t="n">
        <f aca="false">F9+F19+F26</f>
        <v>200314</v>
      </c>
      <c r="G8" s="34" t="n">
        <f aca="false">G9+G19+G26</f>
        <v>151838</v>
      </c>
      <c r="H8" s="34" t="n">
        <f aca="false">H9+H19+H26</f>
        <v>180237</v>
      </c>
      <c r="I8" s="34" t="n">
        <f aca="false">I9+I19+I26</f>
        <v>235876</v>
      </c>
      <c r="J8" s="34" t="n">
        <f aca="false">J9+J19+J26</f>
        <v>228251</v>
      </c>
      <c r="K8" s="34" t="n">
        <f aca="false">K9+K19+K26</f>
        <v>179844</v>
      </c>
      <c r="L8" s="34" t="n">
        <f aca="false">L9+L19+L26</f>
        <v>194621</v>
      </c>
      <c r="M8" s="34" t="n">
        <f aca="false">M9+M19+M26</f>
        <v>230408</v>
      </c>
      <c r="N8" s="34" t="n">
        <f aca="false">N9+N19+N26</f>
        <v>200091</v>
      </c>
      <c r="O8" s="34" t="n">
        <f aca="false">O9+O19+O26</f>
        <v>205068</v>
      </c>
      <c r="P8" s="34" t="n">
        <f aca="false">P9+P19+P26</f>
        <v>243492</v>
      </c>
      <c r="Q8" s="34" t="n">
        <f aca="false">Q9+Q19+Q26</f>
        <v>223092</v>
      </c>
      <c r="R8" s="34" t="n">
        <f aca="false">R9+R19+R26</f>
        <v>2473132</v>
      </c>
    </row>
    <row r="9" customFormat="false" ht="15" hidden="false" customHeight="true" outlineLevel="0" collapsed="false">
      <c r="C9" s="1" t="s">
        <v>13</v>
      </c>
      <c r="F9" s="39" t="n">
        <v>184663</v>
      </c>
      <c r="G9" s="39" t="n">
        <v>138977</v>
      </c>
      <c r="H9" s="39" t="n">
        <v>156313</v>
      </c>
      <c r="I9" s="39" t="n">
        <v>220077</v>
      </c>
      <c r="J9" s="39" t="n">
        <v>200736</v>
      </c>
      <c r="K9" s="39" t="n">
        <v>168137</v>
      </c>
      <c r="L9" s="39" t="n">
        <v>174656</v>
      </c>
      <c r="M9" s="39" t="n">
        <v>212211</v>
      </c>
      <c r="N9" s="39" t="n">
        <v>183154</v>
      </c>
      <c r="O9" s="39" t="n">
        <v>186493</v>
      </c>
      <c r="P9" s="39" t="n">
        <v>228254</v>
      </c>
      <c r="Q9" s="39" t="n">
        <v>197007</v>
      </c>
      <c r="R9" s="39" t="n">
        <v>2250678</v>
      </c>
    </row>
    <row r="10" customFormat="false" ht="15" hidden="false" customHeight="true" outlineLevel="0" collapsed="false">
      <c r="D10" s="1" t="s">
        <v>14</v>
      </c>
      <c r="F10" s="35" t="n">
        <v>147393</v>
      </c>
      <c r="G10" s="35" t="n">
        <v>105862</v>
      </c>
      <c r="H10" s="35" t="n">
        <v>117149</v>
      </c>
      <c r="I10" s="35" t="n">
        <v>187670</v>
      </c>
      <c r="J10" s="35" t="n">
        <v>158694</v>
      </c>
      <c r="K10" s="35" t="n">
        <v>131245</v>
      </c>
      <c r="L10" s="35" t="n">
        <v>138080</v>
      </c>
      <c r="M10" s="35" t="n">
        <v>171654</v>
      </c>
      <c r="N10" s="35" t="n">
        <v>141431</v>
      </c>
      <c r="O10" s="35" t="n">
        <v>142542</v>
      </c>
      <c r="P10" s="35" t="n">
        <v>179355</v>
      </c>
      <c r="Q10" s="35" t="n">
        <v>151246</v>
      </c>
      <c r="R10" s="35" t="n">
        <v>1772321</v>
      </c>
    </row>
    <row r="11" customFormat="false" ht="15" hidden="false" customHeight="true" outlineLevel="0" collapsed="false">
      <c r="E11" s="6" t="s">
        <v>15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customFormat="false" ht="15" hidden="false" customHeight="true" outlineLevel="0" collapsed="false">
      <c r="E12" s="1" t="s">
        <v>16</v>
      </c>
      <c r="F12" s="35" t="n">
        <v>117</v>
      </c>
      <c r="G12" s="35" t="n">
        <v>582</v>
      </c>
      <c r="H12" s="35" t="n">
        <v>887</v>
      </c>
      <c r="I12" s="35" t="n">
        <v>330</v>
      </c>
      <c r="J12" s="35" t="n">
        <v>1049</v>
      </c>
      <c r="K12" s="35" t="n">
        <v>246</v>
      </c>
      <c r="L12" s="35" t="n">
        <v>398</v>
      </c>
      <c r="M12" s="35" t="n">
        <v>153</v>
      </c>
      <c r="N12" s="35" t="n">
        <v>435</v>
      </c>
      <c r="O12" s="35" t="n">
        <v>339</v>
      </c>
      <c r="P12" s="35" t="n">
        <v>282</v>
      </c>
      <c r="Q12" s="35" t="n">
        <v>125</v>
      </c>
      <c r="R12" s="35" t="n">
        <v>4943</v>
      </c>
    </row>
    <row r="13" customFormat="false" ht="15" hidden="false" customHeight="true" outlineLevel="0" collapsed="false">
      <c r="E13" s="1" t="s">
        <v>17</v>
      </c>
      <c r="F13" s="35" t="n">
        <v>7</v>
      </c>
      <c r="G13" s="35" t="n">
        <v>0</v>
      </c>
      <c r="H13" s="35" t="n">
        <v>0</v>
      </c>
      <c r="I13" s="35" t="n">
        <v>525</v>
      </c>
      <c r="J13" s="35" t="n">
        <v>267</v>
      </c>
      <c r="K13" s="35" t="n">
        <v>108</v>
      </c>
      <c r="L13" s="35" t="n">
        <v>7</v>
      </c>
      <c r="M13" s="35" t="n">
        <v>7</v>
      </c>
      <c r="N13" s="35" t="n">
        <v>300</v>
      </c>
      <c r="O13" s="35" t="n">
        <v>69</v>
      </c>
      <c r="P13" s="35" t="n">
        <v>150</v>
      </c>
      <c r="Q13" s="35" t="n">
        <v>508</v>
      </c>
      <c r="R13" s="35" t="n">
        <v>1948</v>
      </c>
    </row>
    <row r="14" customFormat="false" ht="15" hidden="false" customHeight="true" outlineLevel="0" collapsed="false">
      <c r="D14" s="1" t="s">
        <v>18</v>
      </c>
      <c r="F14" s="35" t="n">
        <v>35943</v>
      </c>
      <c r="G14" s="35" t="n">
        <v>30854</v>
      </c>
      <c r="H14" s="35" t="n">
        <v>37333</v>
      </c>
      <c r="I14" s="35" t="n">
        <v>31142</v>
      </c>
      <c r="J14" s="35" t="n">
        <v>39592</v>
      </c>
      <c r="K14" s="35" t="n">
        <v>35417</v>
      </c>
      <c r="L14" s="35" t="n">
        <v>34994</v>
      </c>
      <c r="M14" s="35" t="n">
        <v>38289</v>
      </c>
      <c r="N14" s="35" t="n">
        <v>40261</v>
      </c>
      <c r="O14" s="35" t="n">
        <v>42915</v>
      </c>
      <c r="P14" s="35" t="n">
        <v>46366</v>
      </c>
      <c r="Q14" s="35" t="n">
        <v>45078</v>
      </c>
      <c r="R14" s="35" t="n">
        <v>458184</v>
      </c>
    </row>
    <row r="15" customFormat="false" ht="15" hidden="false" customHeight="true" outlineLevel="0" collapsed="false">
      <c r="E15" s="6" t="s">
        <v>15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customFormat="false" ht="15" hidden="false" customHeight="true" outlineLevel="0" collapsed="false">
      <c r="E16" s="1" t="s">
        <v>17</v>
      </c>
      <c r="F16" s="35" t="n">
        <v>0</v>
      </c>
      <c r="G16" s="35" t="n">
        <v>69</v>
      </c>
      <c r="H16" s="35" t="n">
        <v>81</v>
      </c>
      <c r="I16" s="35" t="n">
        <v>219</v>
      </c>
      <c r="J16" s="35" t="n">
        <v>120</v>
      </c>
      <c r="K16" s="35" t="n">
        <v>130</v>
      </c>
      <c r="L16" s="35" t="n">
        <v>163</v>
      </c>
      <c r="M16" s="35" t="n">
        <v>121</v>
      </c>
      <c r="N16" s="35" t="n">
        <v>78</v>
      </c>
      <c r="O16" s="35" t="n">
        <v>5</v>
      </c>
      <c r="P16" s="35" t="n">
        <v>183</v>
      </c>
      <c r="Q16" s="35" t="n">
        <v>271</v>
      </c>
      <c r="R16" s="35" t="n">
        <v>1440</v>
      </c>
      <c r="S16" s="35"/>
    </row>
    <row r="17" customFormat="false" ht="15" hidden="false" customHeight="true" outlineLevel="0" collapsed="false">
      <c r="D17" s="1" t="s">
        <v>87</v>
      </c>
      <c r="F17" s="35" t="n">
        <v>1327</v>
      </c>
      <c r="G17" s="35" t="n">
        <v>2261</v>
      </c>
      <c r="H17" s="35" t="n">
        <v>1831</v>
      </c>
      <c r="I17" s="35" t="n">
        <v>1265</v>
      </c>
      <c r="J17" s="35" t="n">
        <v>2450</v>
      </c>
      <c r="K17" s="35" t="n">
        <v>1475</v>
      </c>
      <c r="L17" s="35" t="n">
        <v>1582</v>
      </c>
      <c r="M17" s="35" t="n">
        <v>2268</v>
      </c>
      <c r="N17" s="35" t="n">
        <v>1462</v>
      </c>
      <c r="O17" s="35" t="n">
        <v>1036</v>
      </c>
      <c r="P17" s="35" t="n">
        <v>2533</v>
      </c>
      <c r="Q17" s="35" t="n">
        <v>683</v>
      </c>
      <c r="R17" s="35" t="n">
        <v>20173</v>
      </c>
      <c r="S17" s="35"/>
    </row>
    <row r="18" customFormat="false" ht="15" hidden="false" customHeight="true" outlineLevel="0" collapsed="false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customFormat="false" ht="15" hidden="false" customHeight="true" outlineLevel="0" collapsed="false">
      <c r="C19" s="1" t="s">
        <v>20</v>
      </c>
      <c r="F19" s="39" t="n">
        <f aca="false">SUM(F20:F24)</f>
        <v>15649</v>
      </c>
      <c r="G19" s="39" t="n">
        <f aca="false">SUM(G20:G24)</f>
        <v>12855</v>
      </c>
      <c r="H19" s="39" t="n">
        <f aca="false">SUM(H20:H24)</f>
        <v>23922</v>
      </c>
      <c r="I19" s="39" t="n">
        <f aca="false">SUM(I20:I24)</f>
        <v>15788</v>
      </c>
      <c r="J19" s="39" t="n">
        <f aca="false">SUM(J20:J24)</f>
        <v>27509</v>
      </c>
      <c r="K19" s="39" t="n">
        <f aca="false">SUM(K20:K24)</f>
        <v>11703</v>
      </c>
      <c r="L19" s="39" t="n">
        <f aca="false">SUM(L20:L24)</f>
        <v>19965</v>
      </c>
      <c r="M19" s="39" t="n">
        <f aca="false">SUM(M20:M24)</f>
        <v>18189</v>
      </c>
      <c r="N19" s="39" t="n">
        <f aca="false">SUM(N20:N24)</f>
        <v>16937</v>
      </c>
      <c r="O19" s="39" t="n">
        <f aca="false">SUM(O20:O24)</f>
        <v>18575</v>
      </c>
      <c r="P19" s="39" t="n">
        <f aca="false">SUM(P20:P24)</f>
        <v>15238</v>
      </c>
      <c r="Q19" s="39" t="n">
        <f aca="false">SUM(Q20:Q24)</f>
        <v>26085</v>
      </c>
      <c r="R19" s="39" t="n">
        <f aca="false">SUM(R20:R24)</f>
        <v>222415</v>
      </c>
    </row>
    <row r="20" customFormat="false" ht="15" hidden="false" customHeight="true" outlineLevel="0" collapsed="false">
      <c r="D20" s="1" t="s">
        <v>21</v>
      </c>
      <c r="F20" s="35" t="n">
        <v>8005</v>
      </c>
      <c r="G20" s="35" t="n">
        <v>5342</v>
      </c>
      <c r="H20" s="35" t="n">
        <v>9584</v>
      </c>
      <c r="I20" s="35" t="n">
        <v>7123</v>
      </c>
      <c r="J20" s="35" t="n">
        <v>17977</v>
      </c>
      <c r="K20" s="35" t="n">
        <v>4691</v>
      </c>
      <c r="L20" s="35" t="n">
        <v>8467</v>
      </c>
      <c r="M20" s="35" t="n">
        <v>6192</v>
      </c>
      <c r="N20" s="35" t="n">
        <v>7300</v>
      </c>
      <c r="O20" s="35" t="n">
        <v>7581</v>
      </c>
      <c r="P20" s="35" t="n">
        <v>4287</v>
      </c>
      <c r="Q20" s="35" t="n">
        <v>13356</v>
      </c>
      <c r="R20" s="35" t="n">
        <f aca="false">SUM(F20:Q20)</f>
        <v>99905</v>
      </c>
    </row>
    <row r="21" customFormat="false" ht="15" hidden="false" customHeight="true" outlineLevel="0" collapsed="false">
      <c r="D21" s="1" t="s">
        <v>88</v>
      </c>
      <c r="F21" s="35" t="n">
        <v>3344</v>
      </c>
      <c r="G21" s="35" t="n">
        <v>3345</v>
      </c>
      <c r="H21" s="35" t="n">
        <v>3284</v>
      </c>
      <c r="I21" s="35" t="n">
        <v>2113</v>
      </c>
      <c r="J21" s="35" t="n">
        <v>4186</v>
      </c>
      <c r="K21" s="35" t="n">
        <v>2847</v>
      </c>
      <c r="L21" s="35" t="n">
        <v>2762</v>
      </c>
      <c r="M21" s="35" t="n">
        <v>3870</v>
      </c>
      <c r="N21" s="35" t="n">
        <v>3748</v>
      </c>
      <c r="O21" s="35" t="n">
        <v>3357</v>
      </c>
      <c r="P21" s="35" t="n">
        <v>5339</v>
      </c>
      <c r="Q21" s="35" t="n">
        <v>2576</v>
      </c>
      <c r="R21" s="35" t="n">
        <f aca="false">SUM(F21:Q21)</f>
        <v>40771</v>
      </c>
    </row>
    <row r="22" customFormat="false" ht="15" hidden="false" customHeight="true" outlineLevel="0" collapsed="false">
      <c r="D22" s="1" t="s">
        <v>23</v>
      </c>
      <c r="F22" s="35" t="n">
        <v>8</v>
      </c>
      <c r="G22" s="35" t="n">
        <v>4</v>
      </c>
      <c r="H22" s="35" t="n">
        <v>30</v>
      </c>
      <c r="I22" s="35" t="n">
        <v>5</v>
      </c>
      <c r="J22" s="35" t="n">
        <v>196</v>
      </c>
      <c r="K22" s="35" t="n">
        <v>8</v>
      </c>
      <c r="L22" s="35" t="n">
        <v>16</v>
      </c>
      <c r="M22" s="35" t="n">
        <v>256</v>
      </c>
      <c r="N22" s="35" t="n">
        <v>1</v>
      </c>
      <c r="O22" s="35" t="n">
        <v>289</v>
      </c>
      <c r="P22" s="35" t="n">
        <v>4</v>
      </c>
      <c r="Q22" s="35" t="n">
        <v>13</v>
      </c>
      <c r="R22" s="35" t="n">
        <f aca="false">SUM(F22:Q22)</f>
        <v>830</v>
      </c>
    </row>
    <row r="23" customFormat="false" ht="15" hidden="false" customHeight="true" outlineLevel="0" collapsed="false">
      <c r="D23" s="1" t="s">
        <v>24</v>
      </c>
      <c r="F23" s="35" t="n">
        <v>1025.342</v>
      </c>
      <c r="G23" s="35" t="n">
        <v>966.942</v>
      </c>
      <c r="H23" s="35" t="n">
        <v>1018.322</v>
      </c>
      <c r="I23" s="35" t="n">
        <v>421.643</v>
      </c>
      <c r="J23" s="35" t="n">
        <v>1288.892</v>
      </c>
      <c r="K23" s="35" t="n">
        <v>1011.615</v>
      </c>
      <c r="L23" s="35" t="n">
        <v>1773.372</v>
      </c>
      <c r="M23" s="35" t="n">
        <v>1623.534</v>
      </c>
      <c r="N23" s="35" t="n">
        <v>1539.41</v>
      </c>
      <c r="O23" s="35" t="n">
        <v>2130.498</v>
      </c>
      <c r="P23" s="35" t="n">
        <v>1827.498</v>
      </c>
      <c r="Q23" s="35" t="n">
        <v>1623.621</v>
      </c>
      <c r="R23" s="35" t="n">
        <f aca="false">SUM(F23:Q23)</f>
        <v>16250.689</v>
      </c>
    </row>
    <row r="24" customFormat="false" ht="15" hidden="false" customHeight="true" outlineLevel="0" collapsed="false">
      <c r="D24" s="1" t="s">
        <v>25</v>
      </c>
      <c r="F24" s="35" t="n">
        <v>3266.658</v>
      </c>
      <c r="G24" s="35" t="n">
        <v>3197.058</v>
      </c>
      <c r="H24" s="35" t="n">
        <v>10005.678</v>
      </c>
      <c r="I24" s="35" t="n">
        <v>6125.357</v>
      </c>
      <c r="J24" s="35" t="n">
        <v>3861.108</v>
      </c>
      <c r="K24" s="35" t="n">
        <v>3145.385</v>
      </c>
      <c r="L24" s="35" t="n">
        <v>6946.628</v>
      </c>
      <c r="M24" s="35" t="n">
        <v>6247.466</v>
      </c>
      <c r="N24" s="35" t="n">
        <v>4348.59</v>
      </c>
      <c r="O24" s="35" t="n">
        <v>5217.502</v>
      </c>
      <c r="P24" s="35" t="n">
        <v>3780.502</v>
      </c>
      <c r="Q24" s="35" t="n">
        <v>8516.379</v>
      </c>
      <c r="R24" s="35" t="n">
        <f aca="false">SUM(F24:Q24)</f>
        <v>64658.311</v>
      </c>
    </row>
    <row r="25" customFormat="false" ht="11.25" hidden="false" customHeight="true" outlineLevel="0" collapsed="false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customFormat="false" ht="15" hidden="false" customHeight="true" outlineLevel="0" collapsed="false">
      <c r="C26" s="1" t="s">
        <v>26</v>
      </c>
      <c r="F26" s="35" t="n">
        <v>2</v>
      </c>
      <c r="G26" s="35" t="n">
        <v>6</v>
      </c>
      <c r="H26" s="35" t="n">
        <v>2</v>
      </c>
      <c r="I26" s="35" t="n">
        <v>11</v>
      </c>
      <c r="J26" s="35" t="n">
        <v>6</v>
      </c>
      <c r="K26" s="35" t="n">
        <v>4</v>
      </c>
      <c r="L26" s="35" t="n">
        <v>0</v>
      </c>
      <c r="M26" s="35" t="n">
        <v>8</v>
      </c>
      <c r="N26" s="35" t="n">
        <v>0</v>
      </c>
      <c r="O26" s="35" t="n">
        <v>0</v>
      </c>
      <c r="P26" s="35" t="n">
        <v>0</v>
      </c>
      <c r="Q26" s="35" t="n">
        <v>0</v>
      </c>
      <c r="R26" s="35" t="n">
        <v>39</v>
      </c>
    </row>
    <row r="27" customFormat="false" ht="15" hidden="false" customHeight="true" outlineLevel="0" collapsed="false"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customFormat="false" ht="15" hidden="false" customHeight="true" outlineLevel="0" collapsed="false">
      <c r="B28" s="7" t="s">
        <v>27</v>
      </c>
      <c r="C28" s="7"/>
      <c r="D28" s="7"/>
      <c r="E28" s="7"/>
      <c r="F28" s="34" t="n">
        <f aca="false">SUM(F30:F36)</f>
        <v>198092.453</v>
      </c>
      <c r="G28" s="34" t="n">
        <f aca="false">SUM(G30:G36)</f>
        <v>175562</v>
      </c>
      <c r="H28" s="34" t="n">
        <f aca="false">SUM(H30:H36)</f>
        <v>241708</v>
      </c>
      <c r="I28" s="34" t="n">
        <f aca="false">SUM(I30:I36)</f>
        <v>183079</v>
      </c>
      <c r="J28" s="34" t="n">
        <f aca="false">SUM(J30:J36)</f>
        <v>261672</v>
      </c>
      <c r="K28" s="34" t="n">
        <f aca="false">SUM(K30:K36)</f>
        <v>270717</v>
      </c>
      <c r="L28" s="34" t="n">
        <f aca="false">SUM(L30:L36)</f>
        <v>245133</v>
      </c>
      <c r="M28" s="34" t="n">
        <f aca="false">SUM(M30:M36)</f>
        <v>201600</v>
      </c>
      <c r="N28" s="34" t="n">
        <f aca="false">SUM(N30:N36)</f>
        <v>236983</v>
      </c>
      <c r="O28" s="34" t="n">
        <f aca="false">SUM(O30:O36)</f>
        <v>226868</v>
      </c>
      <c r="P28" s="34" t="n">
        <f aca="false">SUM(P30:P36)</f>
        <v>252115</v>
      </c>
      <c r="Q28" s="34" t="n">
        <f aca="false">SUM(Q30:Q36)</f>
        <v>330239.82</v>
      </c>
      <c r="R28" s="34" t="n">
        <f aca="false">SUM(R30:R36)</f>
        <v>2823769.273</v>
      </c>
    </row>
    <row r="29" customFormat="false" ht="15" hidden="false" customHeight="true" outlineLevel="0" collapsed="false"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customFormat="false" ht="15" hidden="false" customHeight="true" outlineLevel="0" collapsed="false">
      <c r="D30" s="1" t="s">
        <v>28</v>
      </c>
      <c r="F30" s="35" t="n">
        <v>40844</v>
      </c>
      <c r="G30" s="35" t="n">
        <v>40792</v>
      </c>
      <c r="H30" s="35" t="n">
        <v>40773</v>
      </c>
      <c r="I30" s="35" t="n">
        <v>49670</v>
      </c>
      <c r="J30" s="35" t="n">
        <v>46519</v>
      </c>
      <c r="K30" s="35" t="n">
        <v>55084</v>
      </c>
      <c r="L30" s="35" t="n">
        <v>42712</v>
      </c>
      <c r="M30" s="35" t="n">
        <v>43690</v>
      </c>
      <c r="N30" s="35" t="n">
        <v>41871</v>
      </c>
      <c r="O30" s="35" t="n">
        <v>41595</v>
      </c>
      <c r="P30" s="35" t="n">
        <v>41839</v>
      </c>
      <c r="Q30" s="35" t="n">
        <v>44761</v>
      </c>
      <c r="R30" s="35" t="n">
        <f aca="false">SUM(F30:Q30)</f>
        <v>530150</v>
      </c>
    </row>
    <row r="31" customFormat="false" ht="15" hidden="false" customHeight="true" outlineLevel="0" collapsed="false">
      <c r="D31" s="1" t="s">
        <v>29</v>
      </c>
      <c r="F31" s="35" t="n">
        <v>42353.453</v>
      </c>
      <c r="G31" s="35" t="n">
        <v>24230</v>
      </c>
      <c r="H31" s="35" t="n">
        <v>31272</v>
      </c>
      <c r="I31" s="35" t="n">
        <v>13483</v>
      </c>
      <c r="J31" s="35" t="n">
        <v>20966</v>
      </c>
      <c r="K31" s="35" t="n">
        <v>19273</v>
      </c>
      <c r="L31" s="35" t="n">
        <v>44626</v>
      </c>
      <c r="M31" s="35" t="n">
        <v>26370</v>
      </c>
      <c r="N31" s="35" t="n">
        <v>26397</v>
      </c>
      <c r="O31" s="35" t="n">
        <v>20434</v>
      </c>
      <c r="P31" s="35" t="n">
        <v>20583</v>
      </c>
      <c r="Q31" s="35" t="n">
        <v>20553.82</v>
      </c>
      <c r="R31" s="35" t="n">
        <f aca="false">SUM(F31:Q31)</f>
        <v>310541.273</v>
      </c>
    </row>
    <row r="32" customFormat="false" ht="15" hidden="false" customHeight="true" outlineLevel="0" collapsed="false">
      <c r="D32" s="1" t="s">
        <v>30</v>
      </c>
      <c r="F32" s="35" t="n">
        <f aca="false">+F12+F13+F16</f>
        <v>124</v>
      </c>
      <c r="G32" s="35" t="n">
        <f aca="false">+G12+G13+G16</f>
        <v>651</v>
      </c>
      <c r="H32" s="35" t="n">
        <f aca="false">+H12+H13+H16</f>
        <v>968</v>
      </c>
      <c r="I32" s="35" t="n">
        <f aca="false">+I12+I13+I16</f>
        <v>1074</v>
      </c>
      <c r="J32" s="35" t="n">
        <f aca="false">+J12+J13+J16</f>
        <v>1436</v>
      </c>
      <c r="K32" s="35" t="n">
        <f aca="false">+K12+K13+K16</f>
        <v>484</v>
      </c>
      <c r="L32" s="35" t="n">
        <f aca="false">+L12+L13+L16</f>
        <v>568</v>
      </c>
      <c r="M32" s="35" t="n">
        <f aca="false">+M12+M13+M16</f>
        <v>281</v>
      </c>
      <c r="N32" s="35" t="n">
        <f aca="false">+N12+N13+N16</f>
        <v>813</v>
      </c>
      <c r="O32" s="35" t="n">
        <f aca="false">+O12+O13+O16</f>
        <v>413</v>
      </c>
      <c r="P32" s="35" t="n">
        <f aca="false">+P12+P13+P16</f>
        <v>615</v>
      </c>
      <c r="Q32" s="35" t="n">
        <f aca="false">+Q12+Q13+Q16</f>
        <v>904</v>
      </c>
      <c r="R32" s="35" t="n">
        <f aca="false">SUM(F32:Q32)</f>
        <v>8331</v>
      </c>
    </row>
    <row r="33" customFormat="false" ht="15" hidden="false" customHeight="true" outlineLevel="0" collapsed="false">
      <c r="D33" s="1" t="s">
        <v>77</v>
      </c>
      <c r="F33" s="35" t="n">
        <v>1266</v>
      </c>
      <c r="G33" s="35" t="n">
        <v>9993</v>
      </c>
      <c r="H33" s="35" t="n">
        <v>8407</v>
      </c>
      <c r="I33" s="35" t="n">
        <v>2150</v>
      </c>
      <c r="J33" s="35" t="n">
        <v>4097</v>
      </c>
      <c r="K33" s="35" t="n">
        <v>32306</v>
      </c>
      <c r="L33" s="35" t="n">
        <v>16867</v>
      </c>
      <c r="M33" s="35" t="n">
        <v>6085</v>
      </c>
      <c r="N33" s="35" t="n">
        <v>2454</v>
      </c>
      <c r="O33" s="35" t="n">
        <v>10275</v>
      </c>
      <c r="P33" s="35" t="n">
        <v>5961</v>
      </c>
      <c r="Q33" s="35" t="n">
        <v>31227</v>
      </c>
      <c r="R33" s="35" t="n">
        <f aca="false">SUM(F33:Q33)</f>
        <v>131088</v>
      </c>
    </row>
    <row r="34" customFormat="false" ht="15" hidden="false" customHeight="true" outlineLevel="0" collapsed="false">
      <c r="D34" s="1" t="s">
        <v>32</v>
      </c>
      <c r="F34" s="35" t="n">
        <v>0</v>
      </c>
      <c r="G34" s="35" t="n">
        <v>0</v>
      </c>
      <c r="H34" s="35" t="n">
        <v>0</v>
      </c>
      <c r="I34" s="35" t="n">
        <v>48</v>
      </c>
      <c r="J34" s="35" t="n">
        <v>6</v>
      </c>
      <c r="K34" s="35" t="n">
        <v>3186</v>
      </c>
      <c r="L34" s="35" t="n">
        <v>22</v>
      </c>
      <c r="M34" s="35" t="n">
        <v>15</v>
      </c>
      <c r="N34" s="35" t="n">
        <v>4</v>
      </c>
      <c r="O34" s="35" t="n">
        <v>144</v>
      </c>
      <c r="P34" s="35" t="n">
        <v>1280</v>
      </c>
      <c r="Q34" s="35" t="n">
        <v>653</v>
      </c>
      <c r="R34" s="35" t="n">
        <f aca="false">SUM(F34:Q34)</f>
        <v>5358</v>
      </c>
    </row>
    <row r="35" customFormat="false" ht="15" hidden="false" customHeight="true" outlineLevel="0" collapsed="false">
      <c r="D35" s="1" t="s">
        <v>78</v>
      </c>
      <c r="F35" s="35" t="n">
        <v>-278</v>
      </c>
      <c r="G35" s="35" t="n">
        <v>-823</v>
      </c>
      <c r="H35" s="35" t="n">
        <v>-634</v>
      </c>
      <c r="I35" s="35" t="n">
        <v>115</v>
      </c>
      <c r="J35" s="35" t="n">
        <v>160</v>
      </c>
      <c r="K35" s="35" t="n">
        <v>132</v>
      </c>
      <c r="L35" s="35" t="n">
        <v>3</v>
      </c>
      <c r="M35" s="35" t="n">
        <v>2</v>
      </c>
      <c r="N35" s="35" t="n">
        <v>-4136</v>
      </c>
      <c r="O35" s="35" t="n">
        <v>2195</v>
      </c>
      <c r="P35" s="35" t="n">
        <v>3151</v>
      </c>
      <c r="Q35" s="35" t="n">
        <v>-4124</v>
      </c>
      <c r="R35" s="35" t="n">
        <f aca="false">SUM(F35:Q35)</f>
        <v>-4237</v>
      </c>
    </row>
    <row r="36" customFormat="false" ht="15" hidden="false" customHeight="true" outlineLevel="0" collapsed="false">
      <c r="D36" s="1" t="s">
        <v>79</v>
      </c>
      <c r="F36" s="35" t="n">
        <v>113783</v>
      </c>
      <c r="G36" s="35" t="n">
        <v>100719</v>
      </c>
      <c r="H36" s="35" t="n">
        <v>160922</v>
      </c>
      <c r="I36" s="35" t="n">
        <v>116539</v>
      </c>
      <c r="J36" s="35" t="n">
        <v>188488</v>
      </c>
      <c r="K36" s="35" t="n">
        <v>160252</v>
      </c>
      <c r="L36" s="35" t="n">
        <v>140335</v>
      </c>
      <c r="M36" s="35" t="n">
        <v>125157</v>
      </c>
      <c r="N36" s="35" t="n">
        <v>169580</v>
      </c>
      <c r="O36" s="35" t="n">
        <v>151812</v>
      </c>
      <c r="P36" s="35" t="n">
        <f aca="false">165107+14194-P32</f>
        <v>178686</v>
      </c>
      <c r="Q36" s="35" t="n">
        <v>236265</v>
      </c>
      <c r="R36" s="35" t="n">
        <f aca="false">SUM(F36:Q36)</f>
        <v>1842538</v>
      </c>
      <c r="S36" s="35"/>
    </row>
    <row r="37" customFormat="false" ht="15" hidden="false" customHeight="true" outlineLevel="0" collapsed="false"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 customFormat="false" ht="15" hidden="false" customHeight="true" outlineLevel="0" collapsed="false">
      <c r="B38" s="7" t="s">
        <v>35</v>
      </c>
      <c r="C38" s="7"/>
      <c r="D38" s="7"/>
      <c r="E38" s="7"/>
      <c r="F38" s="38" t="n">
        <f aca="false">F8-F28</f>
        <v>2221.54699999999</v>
      </c>
      <c r="G38" s="38" t="n">
        <f aca="false">G8-G28</f>
        <v>-23724</v>
      </c>
      <c r="H38" s="38" t="n">
        <f aca="false">H8-H28</f>
        <v>-61471</v>
      </c>
      <c r="I38" s="38" t="n">
        <f aca="false">I8-I28</f>
        <v>52797</v>
      </c>
      <c r="J38" s="38" t="n">
        <f aca="false">J8-J28</f>
        <v>-33421</v>
      </c>
      <c r="K38" s="38" t="n">
        <f aca="false">K8-K28</f>
        <v>-90873</v>
      </c>
      <c r="L38" s="38" t="n">
        <f aca="false">L8-L28</f>
        <v>-50512</v>
      </c>
      <c r="M38" s="38" t="n">
        <f aca="false">M8-M28</f>
        <v>28808</v>
      </c>
      <c r="N38" s="38" t="n">
        <f aca="false">N8-N28</f>
        <v>-36892</v>
      </c>
      <c r="O38" s="38" t="n">
        <f aca="false">O8-O28</f>
        <v>-21800</v>
      </c>
      <c r="P38" s="38" t="n">
        <f aca="false">P8-P28</f>
        <v>-8623</v>
      </c>
      <c r="Q38" s="38" t="n">
        <f aca="false">Q8-Q28</f>
        <v>-107147.82</v>
      </c>
      <c r="R38" s="38" t="n">
        <f aca="false">SUM(F38:Q38)</f>
        <v>-350637.273</v>
      </c>
    </row>
    <row r="39" customFormat="false" ht="15" hidden="false" customHeight="true" outlineLevel="0" collapsed="false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customFormat="false" ht="15" hidden="false" customHeight="true" outlineLevel="0" collapsed="false">
      <c r="B40" s="7" t="s">
        <v>36</v>
      </c>
      <c r="C40" s="7"/>
      <c r="D40" s="7"/>
      <c r="E40" s="7"/>
      <c r="F40" s="34" t="n">
        <v>-8526</v>
      </c>
      <c r="G40" s="34" t="n">
        <v>69888</v>
      </c>
      <c r="H40" s="34" t="n">
        <v>26084</v>
      </c>
      <c r="I40" s="34" t="n">
        <v>187652</v>
      </c>
      <c r="J40" s="34" t="n">
        <v>26553</v>
      </c>
      <c r="K40" s="34" t="n">
        <v>47185.18</v>
      </c>
      <c r="L40" s="34" t="n">
        <v>12217</v>
      </c>
      <c r="M40" s="34" t="n">
        <v>56552</v>
      </c>
      <c r="N40" s="34" t="n">
        <v>37191</v>
      </c>
      <c r="O40" s="34" t="n">
        <v>33587</v>
      </c>
      <c r="P40" s="34" t="n">
        <v>-54402</v>
      </c>
      <c r="Q40" s="34" t="n">
        <v>229948</v>
      </c>
      <c r="R40" s="34" t="n">
        <v>663929.18</v>
      </c>
    </row>
    <row r="41" customFormat="false" ht="15" hidden="false" customHeight="true" outlineLevel="0" collapsed="false">
      <c r="C41" s="1" t="s">
        <v>37</v>
      </c>
      <c r="F41" s="39" t="n">
        <v>-7552</v>
      </c>
      <c r="G41" s="39" t="n">
        <v>38226</v>
      </c>
      <c r="H41" s="39" t="n">
        <v>-895</v>
      </c>
      <c r="I41" s="39" t="n">
        <v>1279</v>
      </c>
      <c r="J41" s="39" t="n">
        <v>-1339</v>
      </c>
      <c r="K41" s="39" t="n">
        <v>-1563.82</v>
      </c>
      <c r="L41" s="39" t="n">
        <v>-663</v>
      </c>
      <c r="M41" s="39" t="n">
        <v>9487</v>
      </c>
      <c r="N41" s="39" t="n">
        <v>499</v>
      </c>
      <c r="O41" s="39" t="n">
        <v>-2183</v>
      </c>
      <c r="P41" s="39" t="n">
        <v>-4998</v>
      </c>
      <c r="Q41" s="39" t="n">
        <v>-2728</v>
      </c>
      <c r="R41" s="39" t="n">
        <v>27569.18</v>
      </c>
    </row>
    <row r="42" customFormat="false" ht="15" hidden="false" customHeight="true" outlineLevel="0" collapsed="false">
      <c r="D42" s="1" t="s">
        <v>38</v>
      </c>
      <c r="F42" s="35" t="n">
        <v>20037</v>
      </c>
      <c r="G42" s="35" t="n">
        <v>42591</v>
      </c>
      <c r="H42" s="35" t="n">
        <v>4333</v>
      </c>
      <c r="I42" s="35" t="n">
        <v>5101</v>
      </c>
      <c r="J42" s="35" t="n">
        <v>5182</v>
      </c>
      <c r="K42" s="35" t="n">
        <v>3987.18</v>
      </c>
      <c r="L42" s="35" t="n">
        <v>1181</v>
      </c>
      <c r="M42" s="35" t="n">
        <v>14244</v>
      </c>
      <c r="N42" s="35" t="n">
        <v>5501</v>
      </c>
      <c r="O42" s="35" t="n">
        <v>2016</v>
      </c>
      <c r="P42" s="35" t="n">
        <v>1846</v>
      </c>
      <c r="Q42" s="35" t="n">
        <v>4106</v>
      </c>
      <c r="R42" s="35" t="n">
        <v>110125.18</v>
      </c>
    </row>
    <row r="43" customFormat="false" ht="15" hidden="false" customHeight="true" outlineLevel="0" collapsed="false">
      <c r="D43" s="1" t="s">
        <v>96</v>
      </c>
      <c r="F43" s="35" t="n">
        <v>27589</v>
      </c>
      <c r="G43" s="35" t="n">
        <v>4365</v>
      </c>
      <c r="H43" s="35" t="n">
        <v>5228</v>
      </c>
      <c r="I43" s="35" t="n">
        <v>3822</v>
      </c>
      <c r="J43" s="35" t="n">
        <v>6521</v>
      </c>
      <c r="K43" s="35" t="n">
        <v>5551</v>
      </c>
      <c r="L43" s="35" t="n">
        <v>1844</v>
      </c>
      <c r="M43" s="35" t="n">
        <v>4757</v>
      </c>
      <c r="N43" s="35" t="n">
        <v>5002</v>
      </c>
      <c r="O43" s="35" t="n">
        <v>4199</v>
      </c>
      <c r="P43" s="35" t="n">
        <v>6844</v>
      </c>
      <c r="Q43" s="35" t="n">
        <v>6834</v>
      </c>
      <c r="R43" s="35" t="n">
        <v>82556</v>
      </c>
    </row>
    <row r="44" customFormat="false" ht="15" hidden="false" customHeight="true" outlineLevel="0" collapsed="false"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customFormat="false" ht="15" hidden="false" customHeight="true" outlineLevel="0" collapsed="false">
      <c r="C45" s="1" t="s">
        <v>40</v>
      </c>
      <c r="F45" s="39" t="n">
        <v>-974</v>
      </c>
      <c r="G45" s="39" t="n">
        <v>31662</v>
      </c>
      <c r="H45" s="39" t="n">
        <v>26979</v>
      </c>
      <c r="I45" s="39" t="n">
        <v>186373</v>
      </c>
      <c r="J45" s="39" t="n">
        <v>27892</v>
      </c>
      <c r="K45" s="39" t="n">
        <v>48749</v>
      </c>
      <c r="L45" s="39" t="n">
        <v>12880</v>
      </c>
      <c r="M45" s="39" t="n">
        <v>47065</v>
      </c>
      <c r="N45" s="39" t="n">
        <v>36692</v>
      </c>
      <c r="O45" s="39" t="n">
        <v>35770</v>
      </c>
      <c r="P45" s="39" t="n">
        <v>-49404</v>
      </c>
      <c r="Q45" s="39" t="n">
        <v>232676</v>
      </c>
      <c r="R45" s="39" t="n">
        <v>636360</v>
      </c>
    </row>
    <row r="46" customFormat="false" ht="15" hidden="false" customHeight="true" outlineLevel="0" collapsed="false">
      <c r="D46" s="1" t="s">
        <v>41</v>
      </c>
      <c r="F46" s="35" t="n">
        <v>19090</v>
      </c>
      <c r="G46" s="35" t="n">
        <v>31662</v>
      </c>
      <c r="H46" s="35" t="n">
        <v>37430</v>
      </c>
      <c r="I46" s="35" t="n">
        <v>201373</v>
      </c>
      <c r="J46" s="35" t="n">
        <v>28028</v>
      </c>
      <c r="K46" s="35" t="n">
        <v>48968</v>
      </c>
      <c r="L46" s="35" t="n">
        <v>13028</v>
      </c>
      <c r="M46" s="35" t="n">
        <v>47065</v>
      </c>
      <c r="N46" s="35" t="n">
        <v>37000</v>
      </c>
      <c r="O46" s="35" t="n">
        <v>35963</v>
      </c>
      <c r="P46" s="35" t="n">
        <v>711</v>
      </c>
      <c r="Q46" s="35" t="n">
        <v>233251</v>
      </c>
      <c r="R46" s="35" t="n">
        <v>733569</v>
      </c>
    </row>
    <row r="47" customFormat="false" ht="15" hidden="false" customHeight="true" outlineLevel="0" collapsed="false">
      <c r="D47" s="1" t="s">
        <v>97</v>
      </c>
      <c r="F47" s="35" t="n">
        <v>20064</v>
      </c>
      <c r="G47" s="35" t="n">
        <v>0</v>
      </c>
      <c r="H47" s="35" t="n">
        <v>10451</v>
      </c>
      <c r="I47" s="35" t="n">
        <v>15000</v>
      </c>
      <c r="J47" s="35" t="n">
        <v>136</v>
      </c>
      <c r="K47" s="35" t="n">
        <v>219</v>
      </c>
      <c r="L47" s="35" t="n">
        <v>148</v>
      </c>
      <c r="M47" s="35" t="n">
        <v>0</v>
      </c>
      <c r="N47" s="35" t="n">
        <v>308</v>
      </c>
      <c r="O47" s="35" t="n">
        <v>193</v>
      </c>
      <c r="P47" s="35" t="n">
        <v>50115</v>
      </c>
      <c r="Q47" s="35" t="n">
        <v>575</v>
      </c>
      <c r="R47" s="35" t="n">
        <v>97209</v>
      </c>
    </row>
    <row r="48" customFormat="false" ht="15" hidden="false" customHeight="true" outlineLevel="0" collapsed="false"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customFormat="false" ht="15" hidden="false" customHeight="true" outlineLevel="0" collapsed="false">
      <c r="B49" s="7" t="s">
        <v>45</v>
      </c>
      <c r="C49" s="7"/>
      <c r="D49" s="7"/>
      <c r="E49" s="7"/>
      <c r="F49" s="34" t="n">
        <v>30319.547</v>
      </c>
      <c r="G49" s="34" t="n">
        <v>49268</v>
      </c>
      <c r="H49" s="34" t="n">
        <v>-29130</v>
      </c>
      <c r="I49" s="34" t="n">
        <v>217436</v>
      </c>
      <c r="J49" s="34" t="n">
        <v>-50398</v>
      </c>
      <c r="K49" s="34" t="n">
        <v>-40708.82</v>
      </c>
      <c r="L49" s="34" t="n">
        <v>-65161</v>
      </c>
      <c r="M49" s="34" t="n">
        <v>44987</v>
      </c>
      <c r="N49" s="34" t="n">
        <v>-3870</v>
      </c>
      <c r="O49" s="34" t="n">
        <v>8473</v>
      </c>
      <c r="P49" s="34" t="n">
        <v>-21901</v>
      </c>
      <c r="Q49" s="34" t="n">
        <v>116088.18</v>
      </c>
      <c r="R49" s="34" t="n">
        <v>255402.907</v>
      </c>
    </row>
    <row r="50" customFormat="false" ht="14.25" hidden="false" customHeight="false" outlineLevel="0" collapsed="false"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customFormat="false" ht="15" hidden="false" customHeight="false" outlineLevel="0" collapsed="false">
      <c r="B52" s="4" t="s">
        <v>46</v>
      </c>
    </row>
    <row r="53" customFormat="false" ht="14.25" hidden="false" customHeight="false" outlineLevel="0" collapsed="false">
      <c r="B53" s="4"/>
      <c r="C53" s="6" t="s">
        <v>98</v>
      </c>
    </row>
    <row r="54" customFormat="false" ht="14.25" hidden="false" customHeight="false" outlineLevel="0" collapsed="false">
      <c r="B54" s="6"/>
      <c r="C54" s="6" t="s">
        <v>99</v>
      </c>
    </row>
    <row r="55" customFormat="false" ht="14.25" hidden="false" customHeight="false" outlineLevel="0" collapsed="false">
      <c r="A55" s="6"/>
    </row>
    <row r="57" customFormat="false" ht="14.25" hidden="false" customHeight="false" outlineLevel="0" collapsed="false">
      <c r="B57" s="6" t="s">
        <v>51</v>
      </c>
    </row>
    <row r="58" customFormat="false" ht="14.25" hidden="false" customHeight="false" outlineLevel="0" collapsed="false">
      <c r="B58" s="6" t="s">
        <v>93</v>
      </c>
    </row>
  </sheetData>
  <mergeCells count="1">
    <mergeCell ref="B6:E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38" activeCellId="0" sqref="R38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22.86"/>
    <col collapsed="false" customWidth="false" hidden="false" outlineLevel="0" max="16" min="6" style="1" width="9.14"/>
    <col collapsed="false" customWidth="true" hidden="false" outlineLevel="0" max="17" min="17" style="1" width="10"/>
    <col collapsed="false" customWidth="true" hidden="false" outlineLevel="0" max="18" min="18" style="1" width="10.99"/>
    <col collapsed="false" customWidth="true" hidden="false" outlineLevel="0" max="19" min="19" style="1" width="9.58"/>
    <col collapsed="false" customWidth="false" hidden="false" outlineLevel="0" max="1024" min="20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5" hidden="false" customHeight="false" outlineLevel="0" collapsed="false">
      <c r="A2" s="2" t="s">
        <v>94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4.25" hidden="false" customHeight="false" outlineLevel="0" collapsed="false">
      <c r="A4" s="4" t="s">
        <v>3</v>
      </c>
      <c r="B4" s="3"/>
    </row>
    <row r="5" customFormat="false" ht="6" hidden="false" customHeight="true" outlineLevel="0" collapsed="false"/>
    <row r="6" customFormat="false" ht="22.5" hidden="false" customHeight="true" outlineLevel="0" collapsed="false">
      <c r="A6" s="86" t="s">
        <v>4</v>
      </c>
      <c r="B6" s="86"/>
      <c r="C6" s="86"/>
      <c r="D6" s="86"/>
      <c r="E6" s="86"/>
      <c r="F6" s="87" t="s">
        <v>5</v>
      </c>
      <c r="G6" s="87" t="s">
        <v>6</v>
      </c>
      <c r="H6" s="87" t="s">
        <v>7</v>
      </c>
      <c r="I6" s="87" t="s">
        <v>8</v>
      </c>
      <c r="J6" s="87" t="s">
        <v>9</v>
      </c>
      <c r="K6" s="87" t="s">
        <v>10</v>
      </c>
      <c r="L6" s="87" t="s">
        <v>53</v>
      </c>
      <c r="M6" s="87" t="s">
        <v>54</v>
      </c>
      <c r="N6" s="87" t="s">
        <v>64</v>
      </c>
      <c r="O6" s="87" t="s">
        <v>56</v>
      </c>
      <c r="P6" s="87" t="s">
        <v>57</v>
      </c>
      <c r="Q6" s="87" t="s">
        <v>58</v>
      </c>
      <c r="R6" s="88" t="s">
        <v>11</v>
      </c>
    </row>
    <row r="7" customFormat="false" ht="15.75" hidden="false" customHeight="true" outlineLevel="0" collapsed="false"/>
    <row r="8" customFormat="false" ht="15.75" hidden="false" customHeight="true" outlineLevel="0" collapsed="false">
      <c r="B8" s="7" t="s">
        <v>12</v>
      </c>
      <c r="C8" s="7"/>
      <c r="D8" s="7"/>
      <c r="E8" s="7"/>
      <c r="F8" s="34" t="n">
        <f aca="false">F9+F19+F26</f>
        <v>200314</v>
      </c>
      <c r="G8" s="34" t="n">
        <f aca="false">G9+G19+G26</f>
        <v>151838</v>
      </c>
      <c r="H8" s="34" t="n">
        <f aca="false">H9+H19+H26</f>
        <v>180237</v>
      </c>
      <c r="I8" s="34" t="n">
        <f aca="false">I9+I19+I26</f>
        <v>235876</v>
      </c>
      <c r="J8" s="34" t="n">
        <f aca="false">J9+J19+J26</f>
        <v>228251</v>
      </c>
      <c r="K8" s="34" t="n">
        <f aca="false">K9+K19+K26</f>
        <v>179844</v>
      </c>
      <c r="L8" s="34" t="n">
        <f aca="false">L9+L19+L26</f>
        <v>194621</v>
      </c>
      <c r="M8" s="34" t="n">
        <f aca="false">M9+M19+M26</f>
        <v>230408</v>
      </c>
      <c r="N8" s="34" t="n">
        <f aca="false">N9+N19+N26</f>
        <v>200091</v>
      </c>
      <c r="O8" s="34" t="n">
        <f aca="false">O9+O19+O26</f>
        <v>205068</v>
      </c>
      <c r="P8" s="34" t="n">
        <f aca="false">P9+P19+P26</f>
        <v>243492</v>
      </c>
      <c r="Q8" s="34" t="n">
        <f aca="false">Q9+Q19+Q26</f>
        <v>223092</v>
      </c>
      <c r="R8" s="34" t="n">
        <f aca="false">R9+R19+R26</f>
        <v>2473132</v>
      </c>
      <c r="S8" s="1" t="s">
        <v>59</v>
      </c>
    </row>
    <row r="9" customFormat="false" ht="15.75" hidden="false" customHeight="true" outlineLevel="0" collapsed="false">
      <c r="C9" s="1" t="s">
        <v>13</v>
      </c>
      <c r="F9" s="39" t="n">
        <f aca="false">F10+F14+F17</f>
        <v>184663</v>
      </c>
      <c r="G9" s="39" t="n">
        <f aca="false">G10+G14+G17</f>
        <v>138977</v>
      </c>
      <c r="H9" s="39" t="n">
        <f aca="false">H10+H14+H17</f>
        <v>156313</v>
      </c>
      <c r="I9" s="39" t="n">
        <f aca="false">I10+I14+I17</f>
        <v>220077</v>
      </c>
      <c r="J9" s="39" t="n">
        <f aca="false">J10+J14+J17</f>
        <v>200736</v>
      </c>
      <c r="K9" s="39" t="n">
        <f aca="false">K10+K14+K17</f>
        <v>168137</v>
      </c>
      <c r="L9" s="39" t="n">
        <f aca="false">L10+L14+L17</f>
        <v>174656</v>
      </c>
      <c r="M9" s="39" t="n">
        <f aca="false">M10+M14+M17</f>
        <v>212211</v>
      </c>
      <c r="N9" s="39" t="n">
        <f aca="false">N10+N14+N17</f>
        <v>183154</v>
      </c>
      <c r="O9" s="39" t="n">
        <f aca="false">O10+O14+O17</f>
        <v>186493</v>
      </c>
      <c r="P9" s="39" t="n">
        <f aca="false">P10+P14+P17</f>
        <v>228254</v>
      </c>
      <c r="Q9" s="39" t="n">
        <f aca="false">Q10+Q14+Q17</f>
        <v>197007</v>
      </c>
      <c r="R9" s="39" t="n">
        <f aca="false">R10+R14+R17</f>
        <v>2250678</v>
      </c>
    </row>
    <row r="10" customFormat="false" ht="15.75" hidden="false" customHeight="true" outlineLevel="0" collapsed="false">
      <c r="D10" s="1" t="s">
        <v>14</v>
      </c>
      <c r="F10" s="35" t="n">
        <v>147393</v>
      </c>
      <c r="G10" s="35" t="n">
        <v>105862</v>
      </c>
      <c r="H10" s="35" t="n">
        <v>117149</v>
      </c>
      <c r="I10" s="35" t="n">
        <v>187670</v>
      </c>
      <c r="J10" s="35" t="n">
        <v>158694</v>
      </c>
      <c r="K10" s="35" t="n">
        <v>131245</v>
      </c>
      <c r="L10" s="35" t="n">
        <v>138080</v>
      </c>
      <c r="M10" s="35" t="n">
        <v>171654</v>
      </c>
      <c r="N10" s="35" t="n">
        <v>141431</v>
      </c>
      <c r="O10" s="35" t="n">
        <v>142542</v>
      </c>
      <c r="P10" s="35" t="n">
        <v>179355</v>
      </c>
      <c r="Q10" s="35" t="n">
        <v>151246</v>
      </c>
      <c r="R10" s="35" t="n">
        <f aca="false">SUM(F10:Q10)</f>
        <v>1772321</v>
      </c>
    </row>
    <row r="11" customFormat="false" ht="15.75" hidden="false" customHeight="true" outlineLevel="0" collapsed="false">
      <c r="E11" s="6" t="s">
        <v>15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customFormat="false" ht="15.75" hidden="false" customHeight="true" outlineLevel="0" collapsed="false">
      <c r="E12" s="1" t="s">
        <v>16</v>
      </c>
      <c r="F12" s="35" t="n">
        <v>117</v>
      </c>
      <c r="G12" s="35" t="n">
        <v>582</v>
      </c>
      <c r="H12" s="35" t="n">
        <v>887</v>
      </c>
      <c r="I12" s="35" t="n">
        <v>330</v>
      </c>
      <c r="J12" s="35" t="n">
        <v>1049</v>
      </c>
      <c r="K12" s="35" t="n">
        <v>246</v>
      </c>
      <c r="L12" s="35" t="n">
        <v>398</v>
      </c>
      <c r="M12" s="35" t="n">
        <v>153</v>
      </c>
      <c r="N12" s="35" t="n">
        <v>435</v>
      </c>
      <c r="O12" s="35" t="n">
        <v>339</v>
      </c>
      <c r="P12" s="35" t="n">
        <v>282</v>
      </c>
      <c r="Q12" s="35" t="n">
        <v>125</v>
      </c>
      <c r="R12" s="35" t="n">
        <f aca="false">SUM(F12:Q12)</f>
        <v>4943</v>
      </c>
    </row>
    <row r="13" customFormat="false" ht="15.75" hidden="false" customHeight="true" outlineLevel="0" collapsed="false">
      <c r="E13" s="1" t="s">
        <v>17</v>
      </c>
      <c r="F13" s="35" t="n">
        <v>7</v>
      </c>
      <c r="G13" s="35" t="n">
        <v>0</v>
      </c>
      <c r="H13" s="35" t="n">
        <v>0</v>
      </c>
      <c r="I13" s="35" t="n">
        <v>525</v>
      </c>
      <c r="J13" s="35" t="n">
        <v>267</v>
      </c>
      <c r="K13" s="35" t="n">
        <v>108</v>
      </c>
      <c r="L13" s="35" t="n">
        <v>7</v>
      </c>
      <c r="M13" s="35" t="n">
        <v>7</v>
      </c>
      <c r="N13" s="35" t="n">
        <v>300</v>
      </c>
      <c r="O13" s="35" t="n">
        <v>69</v>
      </c>
      <c r="P13" s="35" t="n">
        <v>150</v>
      </c>
      <c r="Q13" s="35" t="n">
        <v>508</v>
      </c>
      <c r="R13" s="35" t="n">
        <f aca="false">SUM(F13:Q13)</f>
        <v>1948</v>
      </c>
    </row>
    <row r="14" customFormat="false" ht="15.75" hidden="false" customHeight="true" outlineLevel="0" collapsed="false">
      <c r="D14" s="1" t="s">
        <v>18</v>
      </c>
      <c r="F14" s="35" t="n">
        <v>35943</v>
      </c>
      <c r="G14" s="35" t="n">
        <v>30854</v>
      </c>
      <c r="H14" s="35" t="n">
        <v>37333</v>
      </c>
      <c r="I14" s="35" t="n">
        <v>31142</v>
      </c>
      <c r="J14" s="35" t="n">
        <v>39592</v>
      </c>
      <c r="K14" s="35" t="n">
        <v>35417</v>
      </c>
      <c r="L14" s="35" t="n">
        <v>34994</v>
      </c>
      <c r="M14" s="35" t="n">
        <v>38289</v>
      </c>
      <c r="N14" s="35" t="n">
        <v>40261</v>
      </c>
      <c r="O14" s="35" t="n">
        <v>42915</v>
      </c>
      <c r="P14" s="35" t="n">
        <v>46366</v>
      </c>
      <c r="Q14" s="35" t="n">
        <v>45078</v>
      </c>
      <c r="R14" s="35" t="n">
        <f aca="false">SUM(F14:Q14)</f>
        <v>458184</v>
      </c>
    </row>
    <row r="15" customFormat="false" ht="15.75" hidden="false" customHeight="true" outlineLevel="0" collapsed="false">
      <c r="E15" s="6" t="s">
        <v>15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customFormat="false" ht="15.75" hidden="false" customHeight="true" outlineLevel="0" collapsed="false">
      <c r="E16" s="1" t="s">
        <v>17</v>
      </c>
      <c r="F16" s="35" t="n">
        <v>0</v>
      </c>
      <c r="G16" s="35" t="n">
        <v>69</v>
      </c>
      <c r="H16" s="35" t="n">
        <v>81</v>
      </c>
      <c r="I16" s="35" t="n">
        <v>219</v>
      </c>
      <c r="J16" s="35" t="n">
        <v>120</v>
      </c>
      <c r="K16" s="35" t="n">
        <v>130</v>
      </c>
      <c r="L16" s="35" t="n">
        <v>163</v>
      </c>
      <c r="M16" s="35" t="n">
        <v>121</v>
      </c>
      <c r="N16" s="35" t="n">
        <v>78</v>
      </c>
      <c r="O16" s="35" t="n">
        <v>5</v>
      </c>
      <c r="P16" s="35" t="n">
        <v>183</v>
      </c>
      <c r="Q16" s="35" t="n">
        <v>271</v>
      </c>
      <c r="R16" s="35" t="n">
        <f aca="false">SUM(F16:Q16)</f>
        <v>1440</v>
      </c>
      <c r="T16" s="1" t="s">
        <v>59</v>
      </c>
    </row>
    <row r="17" customFormat="false" ht="15.75" hidden="false" customHeight="true" outlineLevel="0" collapsed="false">
      <c r="D17" s="1" t="s">
        <v>87</v>
      </c>
      <c r="F17" s="35" t="n">
        <v>1327</v>
      </c>
      <c r="G17" s="35" t="n">
        <v>2261</v>
      </c>
      <c r="H17" s="35" t="n">
        <v>1831</v>
      </c>
      <c r="I17" s="35" t="n">
        <v>1265</v>
      </c>
      <c r="J17" s="35" t="n">
        <v>2450</v>
      </c>
      <c r="K17" s="35" t="n">
        <v>1475</v>
      </c>
      <c r="L17" s="35" t="n">
        <v>1582</v>
      </c>
      <c r="M17" s="35" t="n">
        <v>2268</v>
      </c>
      <c r="N17" s="35" t="n">
        <v>1462</v>
      </c>
      <c r="O17" s="35" t="n">
        <v>1036</v>
      </c>
      <c r="P17" s="35" t="n">
        <v>2533</v>
      </c>
      <c r="Q17" s="35" t="n">
        <v>683</v>
      </c>
      <c r="R17" s="35" t="n">
        <f aca="false">SUM(F17:Q17)</f>
        <v>20173</v>
      </c>
    </row>
    <row r="18" customFormat="false" ht="15.75" hidden="false" customHeight="true" outlineLevel="0" collapsed="false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customFormat="false" ht="15.75" hidden="false" customHeight="true" outlineLevel="0" collapsed="false">
      <c r="C19" s="1" t="s">
        <v>20</v>
      </c>
      <c r="F19" s="39" t="n">
        <f aca="false">SUM(F20:F24)</f>
        <v>15649</v>
      </c>
      <c r="G19" s="39" t="n">
        <f aca="false">SUM(G20:G24)</f>
        <v>12855</v>
      </c>
      <c r="H19" s="39" t="n">
        <f aca="false">SUM(H20:H24)</f>
        <v>23922</v>
      </c>
      <c r="I19" s="39" t="n">
        <f aca="false">SUM(I20:I24)</f>
        <v>15788</v>
      </c>
      <c r="J19" s="39" t="n">
        <f aca="false">SUM(J20:J24)</f>
        <v>27509</v>
      </c>
      <c r="K19" s="39" t="n">
        <f aca="false">SUM(K20:K24)</f>
        <v>11703</v>
      </c>
      <c r="L19" s="39" t="n">
        <f aca="false">SUM(L20:L24)</f>
        <v>19965</v>
      </c>
      <c r="M19" s="39" t="n">
        <f aca="false">SUM(M20:M24)</f>
        <v>18189</v>
      </c>
      <c r="N19" s="39" t="n">
        <f aca="false">SUM(N20:N24)</f>
        <v>16937</v>
      </c>
      <c r="O19" s="39" t="n">
        <f aca="false">SUM(O20:O24)</f>
        <v>18575</v>
      </c>
      <c r="P19" s="39" t="n">
        <f aca="false">SUM(P20:P24)</f>
        <v>15238</v>
      </c>
      <c r="Q19" s="39" t="n">
        <f aca="false">SUM(Q20:Q24)</f>
        <v>26085</v>
      </c>
      <c r="R19" s="39" t="n">
        <f aca="false">SUM(R20:R24)</f>
        <v>222415</v>
      </c>
      <c r="S19" s="35"/>
    </row>
    <row r="20" customFormat="false" ht="15.75" hidden="false" customHeight="true" outlineLevel="0" collapsed="false">
      <c r="D20" s="1" t="s">
        <v>21</v>
      </c>
      <c r="F20" s="35" t="n">
        <v>8005</v>
      </c>
      <c r="G20" s="35" t="n">
        <v>5342</v>
      </c>
      <c r="H20" s="35" t="n">
        <v>9584</v>
      </c>
      <c r="I20" s="35" t="n">
        <v>7123</v>
      </c>
      <c r="J20" s="35" t="n">
        <v>17977</v>
      </c>
      <c r="K20" s="35" t="n">
        <v>4691</v>
      </c>
      <c r="L20" s="35" t="n">
        <v>8467</v>
      </c>
      <c r="M20" s="35" t="n">
        <v>6192</v>
      </c>
      <c r="N20" s="35" t="n">
        <v>7300</v>
      </c>
      <c r="O20" s="35" t="n">
        <v>7581</v>
      </c>
      <c r="P20" s="35" t="n">
        <v>4287</v>
      </c>
      <c r="Q20" s="35" t="n">
        <v>13356</v>
      </c>
      <c r="R20" s="35" t="n">
        <f aca="false">SUM(F20:Q20)</f>
        <v>99905</v>
      </c>
    </row>
    <row r="21" customFormat="false" ht="15.75" hidden="false" customHeight="true" outlineLevel="0" collapsed="false">
      <c r="D21" s="1" t="s">
        <v>88</v>
      </c>
      <c r="F21" s="35" t="n">
        <v>3344</v>
      </c>
      <c r="G21" s="35" t="n">
        <v>3345</v>
      </c>
      <c r="H21" s="35" t="n">
        <v>3284</v>
      </c>
      <c r="I21" s="35" t="n">
        <v>2113</v>
      </c>
      <c r="J21" s="35" t="n">
        <v>4186</v>
      </c>
      <c r="K21" s="35" t="n">
        <v>2847</v>
      </c>
      <c r="L21" s="35" t="n">
        <v>2762</v>
      </c>
      <c r="M21" s="35" t="n">
        <v>3870</v>
      </c>
      <c r="N21" s="35" t="n">
        <v>3748</v>
      </c>
      <c r="O21" s="35" t="n">
        <v>3357</v>
      </c>
      <c r="P21" s="35" t="n">
        <v>5339</v>
      </c>
      <c r="Q21" s="35" t="n">
        <v>2576</v>
      </c>
      <c r="R21" s="35" t="n">
        <f aca="false">SUM(F21:Q21)</f>
        <v>40771</v>
      </c>
      <c r="S21" s="35"/>
    </row>
    <row r="22" customFormat="false" ht="15.75" hidden="false" customHeight="true" outlineLevel="0" collapsed="false">
      <c r="D22" s="1" t="s">
        <v>23</v>
      </c>
      <c r="F22" s="35" t="n">
        <v>8</v>
      </c>
      <c r="G22" s="35" t="n">
        <v>4</v>
      </c>
      <c r="H22" s="35" t="n">
        <v>30</v>
      </c>
      <c r="I22" s="35" t="n">
        <v>5</v>
      </c>
      <c r="J22" s="35" t="n">
        <v>196</v>
      </c>
      <c r="K22" s="35" t="n">
        <v>8</v>
      </c>
      <c r="L22" s="35" t="n">
        <v>16</v>
      </c>
      <c r="M22" s="35" t="n">
        <v>256</v>
      </c>
      <c r="N22" s="35" t="n">
        <v>1</v>
      </c>
      <c r="O22" s="35" t="n">
        <v>289</v>
      </c>
      <c r="P22" s="35" t="n">
        <v>4</v>
      </c>
      <c r="Q22" s="35" t="n">
        <v>13</v>
      </c>
      <c r="R22" s="35" t="n">
        <f aca="false">SUM(F22:Q22)</f>
        <v>830</v>
      </c>
      <c r="S22" s="35"/>
    </row>
    <row r="23" customFormat="false" ht="15.75" hidden="false" customHeight="true" outlineLevel="0" collapsed="false">
      <c r="D23" s="1" t="s">
        <v>24</v>
      </c>
      <c r="F23" s="35" t="n">
        <v>1025.342</v>
      </c>
      <c r="G23" s="35" t="n">
        <v>966.942</v>
      </c>
      <c r="H23" s="35" t="n">
        <v>1018.322</v>
      </c>
      <c r="I23" s="35" t="n">
        <v>421.643</v>
      </c>
      <c r="J23" s="35" t="n">
        <v>1288.892</v>
      </c>
      <c r="K23" s="35" t="n">
        <v>1011.615</v>
      </c>
      <c r="L23" s="35" t="n">
        <v>1773.372</v>
      </c>
      <c r="M23" s="35" t="n">
        <v>1623.534</v>
      </c>
      <c r="N23" s="35" t="n">
        <v>1539.41</v>
      </c>
      <c r="O23" s="35" t="n">
        <v>2130.498</v>
      </c>
      <c r="P23" s="35" t="n">
        <v>1827.498</v>
      </c>
      <c r="Q23" s="35" t="n">
        <v>1623.621</v>
      </c>
      <c r="R23" s="35" t="n">
        <f aca="false">SUM(F23:Q23)</f>
        <v>16250.689</v>
      </c>
      <c r="S23" s="95"/>
      <c r="T23" s="35"/>
    </row>
    <row r="24" customFormat="false" ht="15.75" hidden="false" customHeight="true" outlineLevel="0" collapsed="false">
      <c r="D24" s="1" t="s">
        <v>25</v>
      </c>
      <c r="F24" s="35" t="n">
        <v>3266.658</v>
      </c>
      <c r="G24" s="35" t="n">
        <v>3197.058</v>
      </c>
      <c r="H24" s="35" t="n">
        <v>10005.678</v>
      </c>
      <c r="I24" s="35" t="n">
        <v>6125.357</v>
      </c>
      <c r="J24" s="35" t="n">
        <v>3861.108</v>
      </c>
      <c r="K24" s="35" t="n">
        <v>3145.385</v>
      </c>
      <c r="L24" s="35" t="n">
        <v>6946.628</v>
      </c>
      <c r="M24" s="35" t="n">
        <v>6247.466</v>
      </c>
      <c r="N24" s="35" t="n">
        <v>4348.59</v>
      </c>
      <c r="O24" s="35" t="n">
        <v>5217.502</v>
      </c>
      <c r="P24" s="35" t="n">
        <v>3780.502</v>
      </c>
      <c r="Q24" s="35" t="n">
        <v>8516.379</v>
      </c>
      <c r="R24" s="35" t="n">
        <f aca="false">SUM(F24:Q24)</f>
        <v>64658.311</v>
      </c>
      <c r="S24" s="95"/>
    </row>
    <row r="25" customFormat="false" ht="15.75" hidden="false" customHeight="true" outlineLevel="0" collapsed="false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customFormat="false" ht="15.75" hidden="false" customHeight="true" outlineLevel="0" collapsed="false">
      <c r="C26" s="1" t="s">
        <v>26</v>
      </c>
      <c r="F26" s="35" t="n">
        <v>2</v>
      </c>
      <c r="G26" s="35" t="n">
        <v>6</v>
      </c>
      <c r="H26" s="35" t="n">
        <v>2</v>
      </c>
      <c r="I26" s="35" t="n">
        <v>11</v>
      </c>
      <c r="J26" s="35" t="n">
        <v>6</v>
      </c>
      <c r="K26" s="35" t="n">
        <v>4</v>
      </c>
      <c r="L26" s="35" t="n">
        <v>0</v>
      </c>
      <c r="M26" s="35" t="n">
        <v>8</v>
      </c>
      <c r="N26" s="35" t="n">
        <v>0</v>
      </c>
      <c r="O26" s="35" t="n">
        <v>0</v>
      </c>
      <c r="P26" s="35" t="n">
        <v>0</v>
      </c>
      <c r="Q26" s="35" t="n">
        <v>0</v>
      </c>
      <c r="R26" s="35" t="n">
        <f aca="false">SUM(F26:Q26)</f>
        <v>39</v>
      </c>
    </row>
    <row r="27" customFormat="false" ht="15.75" hidden="false" customHeight="true" outlineLevel="0" collapsed="false">
      <c r="F27" s="35" t="s">
        <v>59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customFormat="false" ht="15.75" hidden="false" customHeight="true" outlineLevel="0" collapsed="false">
      <c r="B28" s="7" t="s">
        <v>27</v>
      </c>
      <c r="C28" s="7"/>
      <c r="D28" s="7"/>
      <c r="E28" s="7"/>
      <c r="F28" s="34" t="n">
        <f aca="false">SUM(F30:F36)</f>
        <v>198092.453</v>
      </c>
      <c r="G28" s="34" t="n">
        <f aca="false">SUM(G30:G36)</f>
        <v>175562</v>
      </c>
      <c r="H28" s="34" t="n">
        <f aca="false">SUM(H30:H36)</f>
        <v>241708</v>
      </c>
      <c r="I28" s="34" t="n">
        <f aca="false">SUM(I30:I36)</f>
        <v>183079</v>
      </c>
      <c r="J28" s="34" t="n">
        <f aca="false">SUM(J30:J36)</f>
        <v>261672</v>
      </c>
      <c r="K28" s="34" t="n">
        <f aca="false">SUM(K30:K36)</f>
        <v>270717</v>
      </c>
      <c r="L28" s="34" t="n">
        <f aca="false">SUM(L30:L36)</f>
        <v>245133</v>
      </c>
      <c r="M28" s="34" t="n">
        <f aca="false">SUM(M30:M36)</f>
        <v>201600</v>
      </c>
      <c r="N28" s="34" t="n">
        <f aca="false">SUM(N30:N36)</f>
        <v>236983</v>
      </c>
      <c r="O28" s="34" t="n">
        <f aca="false">SUM(O30:O36)</f>
        <v>226868</v>
      </c>
      <c r="P28" s="34" t="n">
        <f aca="false">SUM(P30:P36)</f>
        <v>252115</v>
      </c>
      <c r="Q28" s="34" t="n">
        <f aca="false">SUM(Q30:Q36)</f>
        <v>330239.82</v>
      </c>
      <c r="R28" s="34" t="n">
        <f aca="false">SUM(R30:R36)</f>
        <v>2823769.273</v>
      </c>
      <c r="S28" s="35" t="s">
        <v>59</v>
      </c>
    </row>
    <row r="29" customFormat="false" ht="15.75" hidden="false" customHeight="true" outlineLevel="0" collapsed="false"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customFormat="false" ht="15.75" hidden="false" customHeight="true" outlineLevel="0" collapsed="false">
      <c r="D30" s="1" t="s">
        <v>28</v>
      </c>
      <c r="F30" s="35" t="n">
        <v>40844</v>
      </c>
      <c r="G30" s="35" t="n">
        <v>40792</v>
      </c>
      <c r="H30" s="35" t="n">
        <v>40773</v>
      </c>
      <c r="I30" s="35" t="n">
        <v>49670</v>
      </c>
      <c r="J30" s="35" t="n">
        <v>46519</v>
      </c>
      <c r="K30" s="35" t="n">
        <v>55084</v>
      </c>
      <c r="L30" s="35" t="n">
        <v>42712</v>
      </c>
      <c r="M30" s="35" t="n">
        <v>43690</v>
      </c>
      <c r="N30" s="35" t="n">
        <v>41871</v>
      </c>
      <c r="O30" s="35" t="n">
        <v>41595</v>
      </c>
      <c r="P30" s="35" t="n">
        <v>41839</v>
      </c>
      <c r="Q30" s="35" t="n">
        <v>44761</v>
      </c>
      <c r="R30" s="35" t="n">
        <f aca="false">SUM(F30:Q30)</f>
        <v>530150</v>
      </c>
      <c r="S30" s="35"/>
    </row>
    <row r="31" customFormat="false" ht="15.75" hidden="false" customHeight="true" outlineLevel="0" collapsed="false">
      <c r="D31" s="1" t="s">
        <v>29</v>
      </c>
      <c r="F31" s="35" t="n">
        <v>42353.453</v>
      </c>
      <c r="G31" s="35" t="n">
        <v>24230</v>
      </c>
      <c r="H31" s="35" t="n">
        <v>31272</v>
      </c>
      <c r="I31" s="35" t="n">
        <v>13483</v>
      </c>
      <c r="J31" s="35" t="n">
        <v>20966</v>
      </c>
      <c r="K31" s="35" t="n">
        <v>19273</v>
      </c>
      <c r="L31" s="35" t="n">
        <v>44626</v>
      </c>
      <c r="M31" s="35" t="n">
        <v>26370</v>
      </c>
      <c r="N31" s="35" t="n">
        <v>26397</v>
      </c>
      <c r="O31" s="35" t="n">
        <v>20434</v>
      </c>
      <c r="P31" s="35" t="n">
        <v>20583</v>
      </c>
      <c r="Q31" s="35" t="n">
        <v>20553.82</v>
      </c>
      <c r="R31" s="35" t="n">
        <f aca="false">SUM(F31:Q31)</f>
        <v>310541.273</v>
      </c>
      <c r="S31" s="35"/>
    </row>
    <row r="32" customFormat="false" ht="15.75" hidden="false" customHeight="true" outlineLevel="0" collapsed="false">
      <c r="D32" s="1" t="s">
        <v>30</v>
      </c>
      <c r="F32" s="35" t="n">
        <v>124</v>
      </c>
      <c r="G32" s="35" t="n">
        <v>651</v>
      </c>
      <c r="H32" s="35" t="n">
        <v>968</v>
      </c>
      <c r="I32" s="35" t="n">
        <v>1074</v>
      </c>
      <c r="J32" s="35" t="n">
        <v>1436</v>
      </c>
      <c r="K32" s="35" t="n">
        <v>484</v>
      </c>
      <c r="L32" s="35" t="n">
        <v>568</v>
      </c>
      <c r="M32" s="35" t="n">
        <v>281</v>
      </c>
      <c r="N32" s="35" t="n">
        <v>813</v>
      </c>
      <c r="O32" s="35" t="n">
        <v>413</v>
      </c>
      <c r="P32" s="35" t="n">
        <v>615</v>
      </c>
      <c r="Q32" s="35" t="n">
        <v>904</v>
      </c>
      <c r="R32" s="35" t="n">
        <f aca="false">SUM(F32:Q32)</f>
        <v>8331</v>
      </c>
    </row>
    <row r="33" customFormat="false" ht="15.75" hidden="false" customHeight="true" outlineLevel="0" collapsed="false">
      <c r="D33" s="1" t="s">
        <v>77</v>
      </c>
      <c r="F33" s="35" t="n">
        <v>1266</v>
      </c>
      <c r="G33" s="35" t="n">
        <v>9993</v>
      </c>
      <c r="H33" s="35" t="n">
        <v>8407</v>
      </c>
      <c r="I33" s="35" t="n">
        <v>2150</v>
      </c>
      <c r="J33" s="35" t="n">
        <v>4097</v>
      </c>
      <c r="K33" s="35" t="n">
        <v>32306</v>
      </c>
      <c r="L33" s="35" t="n">
        <v>16867</v>
      </c>
      <c r="M33" s="35" t="n">
        <v>6085</v>
      </c>
      <c r="N33" s="35" t="n">
        <v>2454</v>
      </c>
      <c r="O33" s="35" t="n">
        <v>10275</v>
      </c>
      <c r="P33" s="35" t="n">
        <v>5961</v>
      </c>
      <c r="Q33" s="35" t="n">
        <v>31227</v>
      </c>
      <c r="R33" s="35" t="n">
        <f aca="false">SUM(F33:Q33)</f>
        <v>131088</v>
      </c>
      <c r="S33" s="35"/>
    </row>
    <row r="34" customFormat="false" ht="15.75" hidden="false" customHeight="true" outlineLevel="0" collapsed="false">
      <c r="D34" s="1" t="s">
        <v>32</v>
      </c>
      <c r="F34" s="35" t="n">
        <v>0</v>
      </c>
      <c r="G34" s="35" t="n">
        <v>0</v>
      </c>
      <c r="H34" s="35" t="n">
        <v>0</v>
      </c>
      <c r="I34" s="35" t="n">
        <v>48</v>
      </c>
      <c r="J34" s="35" t="n">
        <v>6</v>
      </c>
      <c r="K34" s="35" t="n">
        <v>3186</v>
      </c>
      <c r="L34" s="35" t="n">
        <v>22</v>
      </c>
      <c r="M34" s="35" t="n">
        <v>15</v>
      </c>
      <c r="N34" s="35" t="n">
        <v>4</v>
      </c>
      <c r="O34" s="35" t="n">
        <v>144</v>
      </c>
      <c r="P34" s="35" t="n">
        <v>1280</v>
      </c>
      <c r="Q34" s="35" t="n">
        <v>653</v>
      </c>
      <c r="R34" s="35" t="n">
        <f aca="false">SUM(F34:Q34)</f>
        <v>5358</v>
      </c>
    </row>
    <row r="35" customFormat="false" ht="15.75" hidden="false" customHeight="true" outlineLevel="0" collapsed="false">
      <c r="D35" s="1" t="s">
        <v>78</v>
      </c>
      <c r="F35" s="35" t="n">
        <v>-278</v>
      </c>
      <c r="G35" s="35" t="n">
        <v>-823</v>
      </c>
      <c r="H35" s="35" t="n">
        <v>-634</v>
      </c>
      <c r="I35" s="35" t="n">
        <v>115</v>
      </c>
      <c r="J35" s="35" t="n">
        <v>160</v>
      </c>
      <c r="K35" s="35" t="n">
        <v>132</v>
      </c>
      <c r="L35" s="35" t="n">
        <v>3</v>
      </c>
      <c r="M35" s="35" t="n">
        <v>2</v>
      </c>
      <c r="N35" s="35" t="n">
        <v>-4136</v>
      </c>
      <c r="O35" s="35" t="n">
        <v>2195</v>
      </c>
      <c r="P35" s="35" t="n">
        <v>3151</v>
      </c>
      <c r="Q35" s="35" t="n">
        <v>-4124</v>
      </c>
      <c r="R35" s="35" t="n">
        <f aca="false">SUM(F35:Q35)</f>
        <v>-4237</v>
      </c>
    </row>
    <row r="36" customFormat="false" ht="15.75" hidden="false" customHeight="true" outlineLevel="0" collapsed="false">
      <c r="D36" s="1" t="s">
        <v>79</v>
      </c>
      <c r="F36" s="35" t="n">
        <v>113783</v>
      </c>
      <c r="G36" s="35" t="n">
        <v>100719</v>
      </c>
      <c r="H36" s="35" t="n">
        <v>160922</v>
      </c>
      <c r="I36" s="35" t="n">
        <v>116539</v>
      </c>
      <c r="J36" s="35" t="n">
        <v>188488</v>
      </c>
      <c r="K36" s="35" t="n">
        <v>160252</v>
      </c>
      <c r="L36" s="35" t="n">
        <v>140335</v>
      </c>
      <c r="M36" s="35" t="n">
        <v>125157</v>
      </c>
      <c r="N36" s="35" t="n">
        <v>169580</v>
      </c>
      <c r="O36" s="35" t="n">
        <v>151812</v>
      </c>
      <c r="P36" s="35" t="n">
        <f aca="false">165107+14194-P32</f>
        <v>178686</v>
      </c>
      <c r="Q36" s="35" t="n">
        <v>236265</v>
      </c>
      <c r="R36" s="35" t="n">
        <f aca="false">SUM(F36:Q36)</f>
        <v>1842538</v>
      </c>
      <c r="S36" s="35" t="s">
        <v>59</v>
      </c>
    </row>
    <row r="37" customFormat="false" ht="15.75" hidden="false" customHeight="true" outlineLevel="0" collapsed="false"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5"/>
      <c r="S37" s="35"/>
    </row>
    <row r="38" customFormat="false" ht="15.75" hidden="false" customHeight="true" outlineLevel="0" collapsed="false">
      <c r="B38" s="7" t="s">
        <v>35</v>
      </c>
      <c r="C38" s="7"/>
      <c r="D38" s="7"/>
      <c r="E38" s="7"/>
      <c r="F38" s="38" t="n">
        <f aca="false">F8-F28</f>
        <v>2221.54699999999</v>
      </c>
      <c r="G38" s="38" t="n">
        <f aca="false">G8-G28</f>
        <v>-23724</v>
      </c>
      <c r="H38" s="38" t="n">
        <f aca="false">H8-H28</f>
        <v>-61471</v>
      </c>
      <c r="I38" s="38" t="n">
        <f aca="false">I8-I28</f>
        <v>52797</v>
      </c>
      <c r="J38" s="38" t="n">
        <f aca="false">J8-J28</f>
        <v>-33421</v>
      </c>
      <c r="K38" s="38" t="n">
        <f aca="false">K8-K28</f>
        <v>-90873</v>
      </c>
      <c r="L38" s="38" t="n">
        <f aca="false">L8-L28</f>
        <v>-50512</v>
      </c>
      <c r="M38" s="38" t="n">
        <f aca="false">M8-M28</f>
        <v>28808</v>
      </c>
      <c r="N38" s="38" t="n">
        <f aca="false">N8-N28</f>
        <v>-36892</v>
      </c>
      <c r="O38" s="38" t="n">
        <f aca="false">O8-O28</f>
        <v>-21800</v>
      </c>
      <c r="P38" s="38" t="n">
        <f aca="false">P8-P28</f>
        <v>-8623</v>
      </c>
      <c r="Q38" s="38" t="n">
        <f aca="false">Q8-Q28</f>
        <v>-107147.82</v>
      </c>
      <c r="R38" s="38" t="n">
        <f aca="false">SUM(F38:Q38)</f>
        <v>-350637.273</v>
      </c>
    </row>
    <row r="39" customFormat="false" ht="15.75" hidden="false" customHeight="true" outlineLevel="0" collapsed="false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customFormat="false" ht="15.75" hidden="false" customHeight="true" outlineLevel="0" collapsed="false">
      <c r="B40" s="7" t="s">
        <v>36</v>
      </c>
      <c r="C40" s="7"/>
      <c r="D40" s="7"/>
      <c r="E40" s="7"/>
      <c r="F40" s="34" t="n">
        <v>11474</v>
      </c>
      <c r="G40" s="34" t="n">
        <v>69888</v>
      </c>
      <c r="H40" s="34" t="n">
        <v>36084</v>
      </c>
      <c r="I40" s="34" t="n">
        <v>202652</v>
      </c>
      <c r="J40" s="34" t="n">
        <v>26553</v>
      </c>
      <c r="K40" s="34" t="n">
        <v>47185</v>
      </c>
      <c r="L40" s="34" t="n">
        <v>12217.42</v>
      </c>
      <c r="M40" s="34" t="n">
        <v>56552</v>
      </c>
      <c r="N40" s="34" t="n">
        <v>37191</v>
      </c>
      <c r="O40" s="34" t="n">
        <v>33587</v>
      </c>
      <c r="P40" s="34" t="n">
        <v>-4402</v>
      </c>
      <c r="Q40" s="34" t="n">
        <v>229948</v>
      </c>
      <c r="R40" s="34" t="n">
        <v>758929.42</v>
      </c>
    </row>
    <row r="41" customFormat="false" ht="15.75" hidden="false" customHeight="true" outlineLevel="0" collapsed="false">
      <c r="C41" s="1" t="s">
        <v>37</v>
      </c>
      <c r="F41" s="39" t="n">
        <v>-7552</v>
      </c>
      <c r="G41" s="39" t="n">
        <v>38226</v>
      </c>
      <c r="H41" s="39" t="n">
        <v>-895</v>
      </c>
      <c r="I41" s="39" t="n">
        <v>1279</v>
      </c>
      <c r="J41" s="39" t="n">
        <v>-1339</v>
      </c>
      <c r="K41" s="39" t="n">
        <v>-1564</v>
      </c>
      <c r="L41" s="39" t="n">
        <v>-662.58</v>
      </c>
      <c r="M41" s="39" t="n">
        <v>9487</v>
      </c>
      <c r="N41" s="39" t="n">
        <v>499</v>
      </c>
      <c r="O41" s="39" t="n">
        <v>-2183</v>
      </c>
      <c r="P41" s="39" t="n">
        <v>-4998</v>
      </c>
      <c r="Q41" s="39" t="n">
        <v>-2728</v>
      </c>
      <c r="R41" s="39" t="n">
        <v>27569.42</v>
      </c>
      <c r="S41" s="35"/>
    </row>
    <row r="42" customFormat="false" ht="15.75" hidden="false" customHeight="true" outlineLevel="0" collapsed="false">
      <c r="D42" s="1" t="s">
        <v>38</v>
      </c>
      <c r="F42" s="35" t="n">
        <v>20037</v>
      </c>
      <c r="G42" s="35" t="n">
        <v>100569</v>
      </c>
      <c r="H42" s="35" t="n">
        <v>4333</v>
      </c>
      <c r="I42" s="35" t="n">
        <v>5101</v>
      </c>
      <c r="J42" s="35" t="n">
        <v>5182</v>
      </c>
      <c r="K42" s="35" t="n">
        <v>3987</v>
      </c>
      <c r="L42" s="35" t="n">
        <v>1181</v>
      </c>
      <c r="M42" s="35" t="n">
        <v>14244</v>
      </c>
      <c r="N42" s="35" t="n">
        <v>5501</v>
      </c>
      <c r="O42" s="35" t="n">
        <v>2016</v>
      </c>
      <c r="P42" s="35" t="n">
        <v>1846</v>
      </c>
      <c r="Q42" s="35" t="n">
        <v>4106</v>
      </c>
      <c r="R42" s="35" t="n">
        <v>168103</v>
      </c>
    </row>
    <row r="43" customFormat="false" ht="15.75" hidden="false" customHeight="true" outlineLevel="0" collapsed="false">
      <c r="D43" s="1" t="s">
        <v>39</v>
      </c>
      <c r="F43" s="35" t="n">
        <v>27589</v>
      </c>
      <c r="G43" s="35" t="n">
        <v>62343</v>
      </c>
      <c r="H43" s="35" t="n">
        <v>5228</v>
      </c>
      <c r="I43" s="35" t="n">
        <v>3822</v>
      </c>
      <c r="J43" s="35" t="n">
        <v>6521</v>
      </c>
      <c r="K43" s="35" t="n">
        <v>5551</v>
      </c>
      <c r="L43" s="35" t="n">
        <v>1843.58</v>
      </c>
      <c r="M43" s="35" t="n">
        <v>4757</v>
      </c>
      <c r="N43" s="35" t="n">
        <v>5002</v>
      </c>
      <c r="O43" s="35" t="n">
        <v>4199</v>
      </c>
      <c r="P43" s="35" t="n">
        <v>6844</v>
      </c>
      <c r="Q43" s="35" t="n">
        <v>6834</v>
      </c>
      <c r="R43" s="35" t="n">
        <v>140533.58</v>
      </c>
    </row>
    <row r="44" customFormat="false" ht="15.75" hidden="false" customHeight="true" outlineLevel="0" collapsed="false"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customFormat="false" ht="15.75" hidden="false" customHeight="true" outlineLevel="0" collapsed="false">
      <c r="C45" s="1" t="s">
        <v>40</v>
      </c>
      <c r="F45" s="39" t="n">
        <v>19026</v>
      </c>
      <c r="G45" s="39" t="n">
        <v>31662</v>
      </c>
      <c r="H45" s="39" t="n">
        <v>36979</v>
      </c>
      <c r="I45" s="39" t="n">
        <v>201373</v>
      </c>
      <c r="J45" s="39" t="n">
        <v>27892</v>
      </c>
      <c r="K45" s="39" t="n">
        <v>48749</v>
      </c>
      <c r="L45" s="39" t="n">
        <v>12880</v>
      </c>
      <c r="M45" s="39" t="n">
        <v>47065</v>
      </c>
      <c r="N45" s="39" t="n">
        <v>36692</v>
      </c>
      <c r="O45" s="39" t="n">
        <v>35770</v>
      </c>
      <c r="P45" s="39" t="n">
        <v>596</v>
      </c>
      <c r="Q45" s="39" t="n">
        <v>232676</v>
      </c>
      <c r="R45" s="39" t="n">
        <v>731360</v>
      </c>
    </row>
    <row r="46" customFormat="false" ht="15.75" hidden="false" customHeight="true" outlineLevel="0" collapsed="false">
      <c r="D46" s="1" t="s">
        <v>41</v>
      </c>
      <c r="F46" s="35" t="n">
        <v>19090</v>
      </c>
      <c r="G46" s="35" t="n">
        <v>31662</v>
      </c>
      <c r="H46" s="35" t="n">
        <v>37430</v>
      </c>
      <c r="I46" s="35" t="n">
        <v>201373</v>
      </c>
      <c r="J46" s="35" t="n">
        <v>28028</v>
      </c>
      <c r="K46" s="35" t="n">
        <v>48968</v>
      </c>
      <c r="L46" s="35" t="n">
        <v>13028</v>
      </c>
      <c r="M46" s="35" t="n">
        <v>47065</v>
      </c>
      <c r="N46" s="35" t="n">
        <v>37000</v>
      </c>
      <c r="O46" s="35" t="n">
        <v>35963</v>
      </c>
      <c r="P46" s="35" t="n">
        <v>711</v>
      </c>
      <c r="Q46" s="35" t="n">
        <v>233251</v>
      </c>
      <c r="R46" s="35" t="n">
        <v>733569</v>
      </c>
    </row>
    <row r="47" customFormat="false" ht="15.75" hidden="false" customHeight="true" outlineLevel="0" collapsed="false">
      <c r="D47" s="1" t="s">
        <v>42</v>
      </c>
      <c r="F47" s="36" t="n">
        <v>64</v>
      </c>
      <c r="G47" s="36" t="n">
        <v>0</v>
      </c>
      <c r="H47" s="36" t="n">
        <v>451</v>
      </c>
      <c r="I47" s="36" t="n">
        <v>0</v>
      </c>
      <c r="J47" s="36" t="n">
        <v>136</v>
      </c>
      <c r="K47" s="36" t="n">
        <v>219</v>
      </c>
      <c r="L47" s="36" t="n">
        <v>148</v>
      </c>
      <c r="M47" s="36" t="n">
        <v>0</v>
      </c>
      <c r="N47" s="36" t="n">
        <v>308</v>
      </c>
      <c r="O47" s="36" t="n">
        <v>193</v>
      </c>
      <c r="P47" s="36" t="n">
        <v>115</v>
      </c>
      <c r="Q47" s="36" t="n">
        <v>575</v>
      </c>
      <c r="R47" s="35" t="n">
        <v>2209</v>
      </c>
    </row>
    <row r="48" customFormat="false" ht="15.75" hidden="false" customHeight="true" outlineLevel="0" collapsed="false">
      <c r="E48" s="1" t="s">
        <v>67</v>
      </c>
      <c r="F48" s="36" t="n">
        <v>64</v>
      </c>
      <c r="G48" s="36" t="n">
        <v>0</v>
      </c>
      <c r="H48" s="36" t="n">
        <v>55571</v>
      </c>
      <c r="I48" s="36" t="n">
        <v>8984</v>
      </c>
      <c r="J48" s="36" t="n">
        <v>50900</v>
      </c>
      <c r="K48" s="36" t="n">
        <v>219</v>
      </c>
      <c r="L48" s="36" t="n">
        <v>53190</v>
      </c>
      <c r="M48" s="36" t="n">
        <v>42041</v>
      </c>
      <c r="N48" s="36" t="n">
        <v>308</v>
      </c>
      <c r="O48" s="36" t="n">
        <v>9325</v>
      </c>
      <c r="P48" s="36" t="n">
        <v>8215</v>
      </c>
      <c r="Q48" s="36" t="n">
        <v>575</v>
      </c>
      <c r="R48" s="35" t="n">
        <v>229392</v>
      </c>
    </row>
    <row r="49" customFormat="false" ht="15.75" hidden="false" customHeight="true" outlineLevel="0" collapsed="false">
      <c r="E49" s="98" t="s">
        <v>80</v>
      </c>
      <c r="F49" s="36" t="n">
        <v>0</v>
      </c>
      <c r="G49" s="36" t="n">
        <v>0</v>
      </c>
      <c r="H49" s="36" t="n">
        <v>55120</v>
      </c>
      <c r="I49" s="36" t="n">
        <v>8984</v>
      </c>
      <c r="J49" s="36" t="n">
        <v>50764</v>
      </c>
      <c r="K49" s="36" t="n">
        <v>0</v>
      </c>
      <c r="L49" s="36" t="n">
        <v>53042</v>
      </c>
      <c r="M49" s="36" t="n">
        <v>42041</v>
      </c>
      <c r="N49" s="36" t="n">
        <v>0</v>
      </c>
      <c r="O49" s="36" t="n">
        <v>9132</v>
      </c>
      <c r="P49" s="36" t="n">
        <v>8100</v>
      </c>
      <c r="Q49" s="36" t="n">
        <v>0</v>
      </c>
      <c r="R49" s="35" t="n">
        <v>227183</v>
      </c>
    </row>
    <row r="50" customFormat="false" ht="15.75" hidden="false" customHeight="true" outlineLevel="0" collapsed="false"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customFormat="false" ht="15.75" hidden="false" customHeight="true" outlineLevel="0" collapsed="false">
      <c r="B51" s="7" t="s">
        <v>45</v>
      </c>
      <c r="C51" s="7"/>
      <c r="D51" s="7"/>
      <c r="E51" s="7"/>
      <c r="F51" s="34" t="n">
        <v>30319.547</v>
      </c>
      <c r="G51" s="34" t="n">
        <v>49268</v>
      </c>
      <c r="H51" s="34" t="n">
        <v>-29130</v>
      </c>
      <c r="I51" s="34" t="n">
        <v>217436</v>
      </c>
      <c r="J51" s="34" t="n">
        <v>-50398</v>
      </c>
      <c r="K51" s="34" t="n">
        <v>-40709</v>
      </c>
      <c r="L51" s="34" t="n">
        <v>-65160.58</v>
      </c>
      <c r="M51" s="34" t="n">
        <v>44987</v>
      </c>
      <c r="N51" s="34" t="n">
        <v>-3870</v>
      </c>
      <c r="O51" s="34" t="n">
        <v>8473</v>
      </c>
      <c r="P51" s="34" t="n">
        <v>-21901</v>
      </c>
      <c r="Q51" s="34" t="n">
        <v>116088.18</v>
      </c>
      <c r="R51" s="34" t="n">
        <v>255403.147</v>
      </c>
      <c r="S51" s="35"/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="20" customFormat="true" ht="13.5" hidden="false" customHeight="false" outlineLevel="0" collapsed="false">
      <c r="B53" s="99" t="s">
        <v>46</v>
      </c>
    </row>
    <row r="54" s="20" customFormat="true" ht="12.75" hidden="false" customHeight="true" outlineLevel="0" collapsed="false">
      <c r="B54" s="99"/>
      <c r="C54" s="21" t="s">
        <v>47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="20" customFormat="true" ht="12.75" hidden="false" customHeight="false" outlineLevel="0" collapsed="false">
      <c r="B55" s="99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="20" customFormat="true" ht="23.25" hidden="false" customHeight="true" outlineLevel="0" collapsed="false">
      <c r="B56" s="4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="20" customFormat="true" ht="12.75" hidden="false" customHeight="false" outlineLevel="0" collapsed="false">
      <c r="B57" s="41"/>
    </row>
    <row r="58" s="20" customFormat="true" ht="12.75" hidden="false" customHeight="false" outlineLevel="0" collapsed="false">
      <c r="B58" s="41" t="s">
        <v>51</v>
      </c>
    </row>
    <row r="59" s="20" customFormat="true" ht="12.75" hidden="false" customHeight="false" outlineLevel="0" collapsed="false">
      <c r="B59" s="41" t="s">
        <v>93</v>
      </c>
    </row>
    <row r="61" customFormat="false" ht="14.25" hidden="false" customHeight="false" outlineLevel="0" collapsed="false">
      <c r="A61" s="6"/>
    </row>
  </sheetData>
  <mergeCells count="2">
    <mergeCell ref="A6:E6"/>
    <mergeCell ref="C54:Q56"/>
  </mergeCells>
  <printOptions headings="false" gridLines="false" gridLinesSet="true" horizontalCentered="true" verticalCentered="false"/>
  <pageMargins left="0.25" right="0.25" top="1.1" bottom="0" header="0.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S34" activeCellId="0" sqref="S34"/>
    </sheetView>
  </sheetViews>
  <sheetFormatPr defaultColWidth="9.15625" defaultRowHeight="14.25" zeroHeight="false" outlineLevelRow="0" outlineLevelCol="0"/>
  <cols>
    <col collapsed="false" customWidth="true" hidden="false" outlineLevel="0" max="1" min="1" style="100" width="1.71"/>
    <col collapsed="false" customWidth="true" hidden="false" outlineLevel="0" max="2" min="2" style="100" width="1.58"/>
    <col collapsed="false" customWidth="true" hidden="false" outlineLevel="0" max="3" min="3" style="100" width="1.85"/>
    <col collapsed="false" customWidth="true" hidden="false" outlineLevel="0" max="4" min="4" style="100" width="2.14"/>
    <col collapsed="false" customWidth="true" hidden="false" outlineLevel="0" max="5" min="5" style="100" width="22.43"/>
    <col collapsed="false" customWidth="false" hidden="false" outlineLevel="0" max="16" min="6" style="100" width="9.14"/>
    <col collapsed="false" customWidth="true" hidden="false" outlineLevel="0" max="17" min="17" style="100" width="10"/>
    <col collapsed="false" customWidth="true" hidden="false" outlineLevel="0" max="18" min="18" style="100" width="10.99"/>
    <col collapsed="false" customWidth="false" hidden="false" outlineLevel="0" max="1024" min="19" style="100" width="9.14"/>
  </cols>
  <sheetData>
    <row r="1" customFormat="false" ht="15" hidden="false" customHeight="false" outlineLevel="0" collapsed="false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customFormat="false" ht="15" hidden="false" customHeight="false" outlineLevel="0" collapsed="false">
      <c r="A2" s="101" t="s">
        <v>100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customFormat="false" ht="14.25" hidden="false" customHeight="false" outlineLevel="0" collapsed="false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customFormat="false" ht="14.25" hidden="false" customHeight="false" outlineLevel="0" collapsed="false">
      <c r="A4" s="103" t="s">
        <v>95</v>
      </c>
      <c r="B4" s="102"/>
    </row>
    <row r="5" customFormat="false" ht="6" hidden="false" customHeight="true" outlineLevel="0" collapsed="false"/>
    <row r="6" customFormat="false" ht="21" hidden="false" customHeight="true" outlineLevel="0" collapsed="false">
      <c r="A6" s="104"/>
      <c r="B6" s="105" t="s">
        <v>4</v>
      </c>
      <c r="C6" s="105"/>
      <c r="D6" s="105"/>
      <c r="E6" s="105"/>
      <c r="F6" s="105" t="s">
        <v>5</v>
      </c>
      <c r="G6" s="105" t="s">
        <v>6</v>
      </c>
      <c r="H6" s="105" t="s">
        <v>7</v>
      </c>
      <c r="I6" s="105" t="s">
        <v>8</v>
      </c>
      <c r="J6" s="105" t="s">
        <v>9</v>
      </c>
      <c r="K6" s="105" t="s">
        <v>101</v>
      </c>
      <c r="L6" s="105" t="s">
        <v>102</v>
      </c>
      <c r="M6" s="105" t="s">
        <v>54</v>
      </c>
      <c r="N6" s="105" t="s">
        <v>55</v>
      </c>
      <c r="O6" s="105" t="s">
        <v>56</v>
      </c>
      <c r="P6" s="105" t="s">
        <v>57</v>
      </c>
      <c r="Q6" s="105" t="s">
        <v>58</v>
      </c>
      <c r="R6" s="106" t="s">
        <v>11</v>
      </c>
    </row>
    <row r="7" customFormat="false" ht="15.75" hidden="false" customHeight="true" outlineLevel="0" collapsed="false"/>
    <row r="8" customFormat="false" ht="15.75" hidden="false" customHeight="true" outlineLevel="0" collapsed="false">
      <c r="B8" s="107" t="s">
        <v>12</v>
      </c>
      <c r="C8" s="107"/>
      <c r="D8" s="107"/>
      <c r="E8" s="107"/>
      <c r="F8" s="108" t="n">
        <f aca="false">+F9+F19+F26</f>
        <v>182226</v>
      </c>
      <c r="G8" s="108" t="n">
        <f aca="false">+G9+G19+G26</f>
        <v>138952</v>
      </c>
      <c r="H8" s="108" t="n">
        <f aca="false">+H9+H19+H26</f>
        <v>157800</v>
      </c>
      <c r="I8" s="108" t="n">
        <f aca="false">+I9+I19+I26</f>
        <v>246633</v>
      </c>
      <c r="J8" s="108" t="n">
        <f aca="false">+J9+J19+J26</f>
        <v>199759</v>
      </c>
      <c r="K8" s="108" t="n">
        <f aca="false">+K9+K19+K26</f>
        <v>175585</v>
      </c>
      <c r="L8" s="108" t="n">
        <f aca="false">+L9+L19+L26</f>
        <v>170250</v>
      </c>
      <c r="M8" s="108" t="n">
        <f aca="false">+M9+M19+M26</f>
        <v>209569</v>
      </c>
      <c r="N8" s="108" t="n">
        <f aca="false">+N9+N19+N26</f>
        <v>165960</v>
      </c>
      <c r="O8" s="108" t="n">
        <f aca="false">+O9+O19+O26</f>
        <v>174642</v>
      </c>
      <c r="P8" s="108" t="n">
        <f aca="false">+P9+P19+P26</f>
        <v>209212</v>
      </c>
      <c r="Q8" s="108" t="n">
        <f aca="false">+Q9+Q19+Q26</f>
        <v>165326</v>
      </c>
      <c r="R8" s="108" t="n">
        <f aca="false">SUM(F8:Q8)</f>
        <v>2195914</v>
      </c>
      <c r="S8" s="100" t="s">
        <v>59</v>
      </c>
    </row>
    <row r="9" customFormat="false" ht="15.75" hidden="false" customHeight="true" outlineLevel="0" collapsed="false">
      <c r="C9" s="100" t="s">
        <v>13</v>
      </c>
      <c r="F9" s="109" t="n">
        <f aca="false">F10+F14+F17</f>
        <v>161896</v>
      </c>
      <c r="G9" s="109" t="n">
        <f aca="false">G10+G14+G17</f>
        <v>123936</v>
      </c>
      <c r="H9" s="109" t="n">
        <f aca="false">H10+H14+H17</f>
        <v>139503</v>
      </c>
      <c r="I9" s="109" t="n">
        <f aca="false">I10+I14+I17</f>
        <v>211765</v>
      </c>
      <c r="J9" s="109" t="n">
        <f aca="false">J10+J14+J17</f>
        <v>185077</v>
      </c>
      <c r="K9" s="109" t="n">
        <f aca="false">K10+K14+K17</f>
        <v>160759</v>
      </c>
      <c r="L9" s="109" t="n">
        <f aca="false">L10+L14+L17</f>
        <v>149963</v>
      </c>
      <c r="M9" s="109" t="n">
        <f aca="false">M10+M14+M17</f>
        <v>191975</v>
      </c>
      <c r="N9" s="109" t="n">
        <f aca="false">N10+N14+N17</f>
        <v>147772</v>
      </c>
      <c r="O9" s="109" t="n">
        <f aca="false">O10+O14+O17</f>
        <v>157378</v>
      </c>
      <c r="P9" s="109" t="n">
        <f aca="false">P10+P14+P17</f>
        <v>197758</v>
      </c>
      <c r="Q9" s="109" t="n">
        <f aca="false">Q10+Q14+Q17</f>
        <v>152608</v>
      </c>
      <c r="R9" s="109" t="n">
        <f aca="false">R10+R14+R17</f>
        <v>1980390</v>
      </c>
    </row>
    <row r="10" customFormat="false" ht="15.75" hidden="false" customHeight="true" outlineLevel="0" collapsed="false">
      <c r="D10" s="100" t="s">
        <v>14</v>
      </c>
      <c r="F10" s="110" t="n">
        <v>129652</v>
      </c>
      <c r="G10" s="110" t="n">
        <v>94837</v>
      </c>
      <c r="H10" s="110" t="n">
        <v>105683</v>
      </c>
      <c r="I10" s="110" t="n">
        <v>177656</v>
      </c>
      <c r="J10" s="110" t="n">
        <v>151575</v>
      </c>
      <c r="K10" s="110" t="n">
        <v>124018</v>
      </c>
      <c r="L10" s="110" t="n">
        <v>117448</v>
      </c>
      <c r="M10" s="110" t="n">
        <v>157468</v>
      </c>
      <c r="N10" s="110" t="n">
        <v>112996</v>
      </c>
      <c r="O10" s="110" t="n">
        <v>121893</v>
      </c>
      <c r="P10" s="110" t="n">
        <v>156772</v>
      </c>
      <c r="Q10" s="110" t="n">
        <v>117216</v>
      </c>
      <c r="R10" s="110" t="n">
        <v>1567214</v>
      </c>
    </row>
    <row r="11" customFormat="false" ht="15.75" hidden="false" customHeight="true" outlineLevel="0" collapsed="false">
      <c r="E11" s="31" t="s">
        <v>15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2" customFormat="false" ht="15.75" hidden="false" customHeight="true" outlineLevel="0" collapsed="false">
      <c r="E12" s="100" t="s">
        <v>16</v>
      </c>
      <c r="F12" s="110" t="n">
        <v>132</v>
      </c>
      <c r="G12" s="110" t="n">
        <v>191</v>
      </c>
      <c r="H12" s="110" t="n">
        <v>327</v>
      </c>
      <c r="I12" s="110" t="n">
        <v>286</v>
      </c>
      <c r="J12" s="110" t="n">
        <v>671</v>
      </c>
      <c r="K12" s="110" t="n">
        <v>202</v>
      </c>
      <c r="L12" s="110" t="n">
        <v>0</v>
      </c>
      <c r="M12" s="110" t="n">
        <v>491</v>
      </c>
      <c r="N12" s="110" t="n">
        <v>336</v>
      </c>
      <c r="O12" s="110" t="n">
        <v>655</v>
      </c>
      <c r="P12" s="110" t="n">
        <v>128</v>
      </c>
      <c r="Q12" s="110" t="n">
        <v>177</v>
      </c>
      <c r="R12" s="110" t="n">
        <v>3596</v>
      </c>
      <c r="S12" s="110" t="s">
        <v>59</v>
      </c>
    </row>
    <row r="13" customFormat="false" ht="15.75" hidden="false" customHeight="true" outlineLevel="0" collapsed="false">
      <c r="E13" s="100" t="s">
        <v>17</v>
      </c>
      <c r="F13" s="110" t="n">
        <v>28</v>
      </c>
      <c r="G13" s="110" t="n">
        <v>28</v>
      </c>
      <c r="H13" s="110" t="n">
        <v>18</v>
      </c>
      <c r="I13" s="110" t="n">
        <v>874</v>
      </c>
      <c r="J13" s="110" t="n">
        <v>296</v>
      </c>
      <c r="K13" s="110" t="n">
        <v>2178</v>
      </c>
      <c r="L13" s="110" t="n">
        <v>0</v>
      </c>
      <c r="M13" s="110" t="n">
        <v>77</v>
      </c>
      <c r="N13" s="110" t="n">
        <v>291</v>
      </c>
      <c r="O13" s="110" t="n">
        <v>29</v>
      </c>
      <c r="P13" s="110" t="n">
        <v>435</v>
      </c>
      <c r="Q13" s="110" t="n">
        <v>192</v>
      </c>
      <c r="R13" s="110" t="n">
        <v>4446</v>
      </c>
    </row>
    <row r="14" customFormat="false" ht="15.75" hidden="false" customHeight="true" outlineLevel="0" collapsed="false">
      <c r="D14" s="100" t="s">
        <v>18</v>
      </c>
      <c r="F14" s="110" t="n">
        <v>31083</v>
      </c>
      <c r="G14" s="110" t="n">
        <v>27035</v>
      </c>
      <c r="H14" s="110" t="n">
        <v>32383</v>
      </c>
      <c r="I14" s="110" t="n">
        <v>32712</v>
      </c>
      <c r="J14" s="110" t="n">
        <v>32070</v>
      </c>
      <c r="K14" s="110" t="n">
        <v>35268</v>
      </c>
      <c r="L14" s="110" t="n">
        <v>30987</v>
      </c>
      <c r="M14" s="110" t="n">
        <v>33069</v>
      </c>
      <c r="N14" s="110" t="n">
        <v>33326</v>
      </c>
      <c r="O14" s="110" t="n">
        <v>33365</v>
      </c>
      <c r="P14" s="110" t="n">
        <v>40227</v>
      </c>
      <c r="Q14" s="110" t="n">
        <v>34840</v>
      </c>
      <c r="R14" s="110" t="n">
        <v>396365</v>
      </c>
    </row>
    <row r="15" customFormat="false" ht="15.75" hidden="false" customHeight="true" outlineLevel="0" collapsed="false">
      <c r="E15" s="31" t="s">
        <v>15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  <row r="16" customFormat="false" ht="15.75" hidden="false" customHeight="true" outlineLevel="0" collapsed="false">
      <c r="E16" s="100" t="s">
        <v>17</v>
      </c>
      <c r="F16" s="110" t="n">
        <v>0</v>
      </c>
      <c r="G16" s="110" t="n">
        <v>0</v>
      </c>
      <c r="H16" s="110" t="n">
        <v>0</v>
      </c>
      <c r="I16" s="110" t="n">
        <v>17</v>
      </c>
      <c r="J16" s="110" t="n">
        <v>0</v>
      </c>
      <c r="K16" s="110" t="n">
        <v>99</v>
      </c>
      <c r="L16" s="110" t="n">
        <v>104</v>
      </c>
      <c r="M16" s="110" t="n">
        <v>333</v>
      </c>
      <c r="N16" s="110" t="n">
        <v>66</v>
      </c>
      <c r="O16" s="110" t="n">
        <v>195</v>
      </c>
      <c r="P16" s="110" t="n">
        <v>4816</v>
      </c>
      <c r="Q16" s="110" t="n">
        <v>2122</v>
      </c>
      <c r="R16" s="110" t="n">
        <v>7752</v>
      </c>
      <c r="T16" s="100" t="s">
        <v>59</v>
      </c>
    </row>
    <row r="17" customFormat="false" ht="15.75" hidden="false" customHeight="true" outlineLevel="0" collapsed="false">
      <c r="D17" s="100" t="s">
        <v>87</v>
      </c>
      <c r="F17" s="110" t="n">
        <v>1161</v>
      </c>
      <c r="G17" s="110" t="n">
        <v>2064</v>
      </c>
      <c r="H17" s="110" t="n">
        <v>1437</v>
      </c>
      <c r="I17" s="110" t="n">
        <v>1397</v>
      </c>
      <c r="J17" s="110" t="n">
        <v>1432</v>
      </c>
      <c r="K17" s="110" t="n">
        <v>1473</v>
      </c>
      <c r="L17" s="110" t="n">
        <v>1528</v>
      </c>
      <c r="M17" s="110" t="n">
        <v>1438</v>
      </c>
      <c r="N17" s="110" t="n">
        <v>1450</v>
      </c>
      <c r="O17" s="110" t="n">
        <v>2120</v>
      </c>
      <c r="P17" s="110" t="n">
        <v>759</v>
      </c>
      <c r="Q17" s="110" t="n">
        <v>552</v>
      </c>
      <c r="R17" s="110" t="n">
        <v>16811</v>
      </c>
    </row>
    <row r="18" customFormat="false" ht="15.75" hidden="false" customHeight="true" outlineLevel="0" collapsed="false"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customFormat="false" ht="15.75" hidden="false" customHeight="true" outlineLevel="0" collapsed="false">
      <c r="C19" s="100" t="s">
        <v>20</v>
      </c>
      <c r="F19" s="109" t="n">
        <f aca="false">SUM(F20:F24)</f>
        <v>20325</v>
      </c>
      <c r="G19" s="109" t="n">
        <f aca="false">SUM(G20:G24)</f>
        <v>15004</v>
      </c>
      <c r="H19" s="109" t="n">
        <f aca="false">SUM(H20:H24)</f>
        <v>18294</v>
      </c>
      <c r="I19" s="109" t="n">
        <f aca="false">SUM(I20:I24)</f>
        <v>34866</v>
      </c>
      <c r="J19" s="109" t="n">
        <f aca="false">SUM(J20:J24)</f>
        <v>14677</v>
      </c>
      <c r="K19" s="109" t="n">
        <f aca="false">SUM(K20:K24)</f>
        <v>14825</v>
      </c>
      <c r="L19" s="109" t="n">
        <f aca="false">SUM(L20:L24)</f>
        <v>20275</v>
      </c>
      <c r="M19" s="109" t="n">
        <f aca="false">SUM(M20:M24)</f>
        <v>17594</v>
      </c>
      <c r="N19" s="109" t="n">
        <f aca="false">SUM(N20:N24)</f>
        <v>18188</v>
      </c>
      <c r="O19" s="109" t="n">
        <f aca="false">SUM(O20:O24)</f>
        <v>17251</v>
      </c>
      <c r="P19" s="109" t="n">
        <f aca="false">SUM(P20:P24)</f>
        <v>11447</v>
      </c>
      <c r="Q19" s="109" t="n">
        <f aca="false">SUM(Q20:Q24)</f>
        <v>12700</v>
      </c>
      <c r="R19" s="109" t="n">
        <f aca="false">SUM(R20:R24)</f>
        <v>215446</v>
      </c>
      <c r="S19" s="110"/>
    </row>
    <row r="20" customFormat="false" ht="15.75" hidden="false" customHeight="true" outlineLevel="0" collapsed="false">
      <c r="D20" s="1" t="s">
        <v>21</v>
      </c>
      <c r="E20" s="1"/>
      <c r="F20" s="110" t="n">
        <v>7930</v>
      </c>
      <c r="G20" s="110" t="n">
        <v>5834</v>
      </c>
      <c r="H20" s="110" t="n">
        <v>11150</v>
      </c>
      <c r="I20" s="110" t="n">
        <v>27972</v>
      </c>
      <c r="J20" s="110" t="n">
        <v>5728</v>
      </c>
      <c r="K20" s="110" t="n">
        <v>5084</v>
      </c>
      <c r="L20" s="110" t="n">
        <v>9061</v>
      </c>
      <c r="M20" s="110" t="n">
        <v>5818</v>
      </c>
      <c r="N20" s="110" t="n">
        <v>7708</v>
      </c>
      <c r="O20" s="110" t="n">
        <v>4858</v>
      </c>
      <c r="P20" s="110" t="n">
        <v>4188</v>
      </c>
      <c r="Q20" s="110" t="n">
        <v>6406</v>
      </c>
      <c r="R20" s="110" t="n">
        <f aca="false">SUM(F20:Q20)</f>
        <v>101737</v>
      </c>
    </row>
    <row r="21" customFormat="false" ht="15.75" hidden="false" customHeight="true" outlineLevel="0" collapsed="false">
      <c r="D21" s="1" t="s">
        <v>88</v>
      </c>
      <c r="E21" s="1"/>
      <c r="F21" s="110" t="n">
        <v>3362</v>
      </c>
      <c r="G21" s="110" t="n">
        <v>2953</v>
      </c>
      <c r="H21" s="110" t="n">
        <v>2636</v>
      </c>
      <c r="I21" s="110" t="n">
        <v>3675</v>
      </c>
      <c r="J21" s="110" t="n">
        <v>3136</v>
      </c>
      <c r="K21" s="110" t="n">
        <v>2583</v>
      </c>
      <c r="L21" s="110" t="n">
        <v>3816</v>
      </c>
      <c r="M21" s="110" t="n">
        <v>2536</v>
      </c>
      <c r="N21" s="110" t="n">
        <v>3854</v>
      </c>
      <c r="O21" s="110" t="n">
        <v>4374</v>
      </c>
      <c r="P21" s="110" t="n">
        <v>4394</v>
      </c>
      <c r="Q21" s="110" t="n">
        <v>2500</v>
      </c>
      <c r="R21" s="110" t="n">
        <f aca="false">SUM(F21:Q21)</f>
        <v>39819</v>
      </c>
      <c r="S21" s="110"/>
    </row>
    <row r="22" customFormat="false" ht="15.75" hidden="false" customHeight="true" outlineLevel="0" collapsed="false">
      <c r="D22" s="1" t="s">
        <v>23</v>
      </c>
      <c r="E22" s="1"/>
      <c r="F22" s="110" t="n">
        <v>0</v>
      </c>
      <c r="G22" s="110" t="n">
        <v>0</v>
      </c>
      <c r="H22" s="110" t="n">
        <v>40</v>
      </c>
      <c r="I22" s="110" t="n">
        <v>60</v>
      </c>
      <c r="J22" s="110" t="n">
        <v>0</v>
      </c>
      <c r="K22" s="110" t="n">
        <v>345</v>
      </c>
      <c r="L22" s="110" t="n">
        <v>76</v>
      </c>
      <c r="M22" s="110" t="n">
        <v>24</v>
      </c>
      <c r="N22" s="110" t="n">
        <v>1</v>
      </c>
      <c r="O22" s="110" t="n">
        <v>17</v>
      </c>
      <c r="P22" s="110" t="n">
        <v>0</v>
      </c>
      <c r="Q22" s="110" t="n">
        <v>94</v>
      </c>
      <c r="R22" s="110" t="n">
        <f aca="false">SUM(F22:Q22)</f>
        <v>657</v>
      </c>
      <c r="S22" s="110"/>
    </row>
    <row r="23" customFormat="false" ht="15.75" hidden="false" customHeight="true" outlineLevel="0" collapsed="false">
      <c r="D23" s="1" t="s">
        <v>24</v>
      </c>
      <c r="E23" s="1"/>
      <c r="F23" s="111" t="n">
        <v>1393.796</v>
      </c>
      <c r="G23" s="35" t="n">
        <v>1047.33</v>
      </c>
      <c r="H23" s="35" t="n">
        <v>943.548</v>
      </c>
      <c r="I23" s="35" t="n">
        <v>988.974</v>
      </c>
      <c r="J23" s="35" t="n">
        <v>1448.579</v>
      </c>
      <c r="K23" s="35" t="n">
        <v>889.505</v>
      </c>
      <c r="L23" s="35" t="n">
        <v>1343.179</v>
      </c>
      <c r="M23" s="35" t="n">
        <v>1190.769</v>
      </c>
      <c r="N23" s="35" t="n">
        <v>1166.296</v>
      </c>
      <c r="O23" s="35" t="n">
        <v>872.434</v>
      </c>
      <c r="P23" s="35" t="n">
        <v>1041.93</v>
      </c>
      <c r="Q23" s="35" t="n">
        <v>1100.065</v>
      </c>
      <c r="R23" s="110" t="n">
        <f aca="false">SUM(F23:Q23)</f>
        <v>13426.405</v>
      </c>
      <c r="S23" s="110"/>
    </row>
    <row r="24" customFormat="false" ht="15.75" hidden="false" customHeight="true" outlineLevel="0" collapsed="false">
      <c r="D24" s="1" t="s">
        <v>25</v>
      </c>
      <c r="E24" s="1"/>
      <c r="F24" s="111" t="n">
        <f aca="false">9033-F23</f>
        <v>7639.204</v>
      </c>
      <c r="G24" s="35" t="n">
        <f aca="false">6217-G23</f>
        <v>5169.67</v>
      </c>
      <c r="H24" s="35" t="n">
        <f aca="false">4468-H23</f>
        <v>3524.452</v>
      </c>
      <c r="I24" s="35" t="n">
        <f aca="false">3159-I23</f>
        <v>2170.026</v>
      </c>
      <c r="J24" s="35" t="n">
        <f aca="false">5813-J23</f>
        <v>4364.421</v>
      </c>
      <c r="K24" s="35" t="n">
        <f aca="false">6813-K23</f>
        <v>5923.495</v>
      </c>
      <c r="L24" s="35" t="n">
        <f aca="false">7322-L23</f>
        <v>5978.821</v>
      </c>
      <c r="M24" s="35" t="n">
        <f aca="false">9216-M23</f>
        <v>8025.231</v>
      </c>
      <c r="N24" s="35" t="n">
        <f aca="false">6625-N23</f>
        <v>5458.704</v>
      </c>
      <c r="O24" s="35" t="n">
        <f aca="false">8002-O23</f>
        <v>7129.566</v>
      </c>
      <c r="P24" s="35" t="n">
        <f aca="false">2865-P23</f>
        <v>1823.07</v>
      </c>
      <c r="Q24" s="35" t="n">
        <f aca="false">3700-Q23</f>
        <v>2599.935</v>
      </c>
      <c r="R24" s="110" t="n">
        <f aca="false">SUM(F24:Q24)</f>
        <v>59806.595</v>
      </c>
    </row>
    <row r="25" customFormat="false" ht="15.75" hidden="false" customHeight="true" outlineLevel="0" collapsed="false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</row>
    <row r="26" customFormat="false" ht="15.75" hidden="false" customHeight="true" outlineLevel="0" collapsed="false">
      <c r="C26" s="100" t="s">
        <v>26</v>
      </c>
      <c r="F26" s="110" t="n">
        <v>5</v>
      </c>
      <c r="G26" s="110" t="n">
        <v>12</v>
      </c>
      <c r="H26" s="110" t="n">
        <v>3</v>
      </c>
      <c r="I26" s="110" t="n">
        <v>2</v>
      </c>
      <c r="J26" s="110" t="n">
        <v>5</v>
      </c>
      <c r="K26" s="110" t="n">
        <v>1</v>
      </c>
      <c r="L26" s="110" t="n">
        <v>12</v>
      </c>
      <c r="M26" s="110" t="n">
        <v>0</v>
      </c>
      <c r="N26" s="110" t="n">
        <v>0</v>
      </c>
      <c r="O26" s="110" t="n">
        <v>13</v>
      </c>
      <c r="P26" s="110" t="n">
        <v>7</v>
      </c>
      <c r="Q26" s="110" t="n">
        <v>18</v>
      </c>
      <c r="R26" s="110" t="n">
        <v>78</v>
      </c>
    </row>
    <row r="27" customFormat="false" ht="15.75" hidden="false" customHeight="true" outlineLevel="0" collapsed="false">
      <c r="F27" s="110" t="s">
        <v>59</v>
      </c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</row>
    <row r="28" customFormat="false" ht="15.75" hidden="false" customHeight="true" outlineLevel="0" collapsed="false">
      <c r="B28" s="107" t="s">
        <v>27</v>
      </c>
      <c r="C28" s="107"/>
      <c r="D28" s="107"/>
      <c r="E28" s="107"/>
      <c r="F28" s="108" t="n">
        <f aca="false">SUM(F30:F36)</f>
        <v>185700.453</v>
      </c>
      <c r="G28" s="108" t="n">
        <f aca="false">SUM(G30:G36)</f>
        <v>173577.87</v>
      </c>
      <c r="H28" s="108" t="n">
        <f aca="false">SUM(H30:H36)</f>
        <v>232188</v>
      </c>
      <c r="I28" s="108" t="n">
        <f aca="false">SUM(I30:I36)</f>
        <v>191611</v>
      </c>
      <c r="J28" s="108" t="n">
        <f aca="false">SUM(J30:J36)</f>
        <v>217415</v>
      </c>
      <c r="K28" s="108" t="n">
        <f aca="false">SUM(K30:K36)</f>
        <v>220779</v>
      </c>
      <c r="L28" s="108" t="n">
        <f aca="false">SUM(L30:L36)</f>
        <v>220917</v>
      </c>
      <c r="M28" s="108" t="n">
        <f aca="false">SUM(M30:M36)</f>
        <v>176962</v>
      </c>
      <c r="N28" s="108" t="n">
        <f aca="false">SUM(N30:N36)</f>
        <v>241287</v>
      </c>
      <c r="O28" s="108" t="n">
        <f aca="false">SUM(O30:O36)</f>
        <v>176987</v>
      </c>
      <c r="P28" s="108" t="n">
        <f aca="false">SUM(P30:P36)</f>
        <v>228357</v>
      </c>
      <c r="Q28" s="108" t="n">
        <f aca="false">SUM(Q30:Q36)</f>
        <v>283555</v>
      </c>
      <c r="R28" s="108" t="n">
        <f aca="false">SUM(F28:Q28)</f>
        <v>2549336.323</v>
      </c>
      <c r="S28" s="110" t="s">
        <v>59</v>
      </c>
    </row>
    <row r="29" customFormat="false" ht="15.75" hidden="false" customHeight="true" outlineLevel="0" collapsed="false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customFormat="false" ht="15.75" hidden="false" customHeight="true" outlineLevel="0" collapsed="false">
      <c r="D30" s="100" t="s">
        <v>28</v>
      </c>
      <c r="F30" s="110" t="n">
        <v>40501</v>
      </c>
      <c r="G30" s="110" t="n">
        <v>42204</v>
      </c>
      <c r="H30" s="110" t="n">
        <v>39020</v>
      </c>
      <c r="I30" s="110" t="n">
        <v>35849</v>
      </c>
      <c r="J30" s="110" t="n">
        <v>35725</v>
      </c>
      <c r="K30" s="110" t="n">
        <v>36877</v>
      </c>
      <c r="L30" s="110" t="n">
        <v>35801</v>
      </c>
      <c r="M30" s="110" t="n">
        <v>36290</v>
      </c>
      <c r="N30" s="110" t="n">
        <v>35977</v>
      </c>
      <c r="O30" s="110" t="n">
        <v>38987</v>
      </c>
      <c r="P30" s="110" t="n">
        <v>36177</v>
      </c>
      <c r="Q30" s="110" t="n">
        <v>36368</v>
      </c>
      <c r="R30" s="110" t="n">
        <f aca="false">SUM(F30:Q30)</f>
        <v>449776</v>
      </c>
      <c r="S30" s="110"/>
    </row>
    <row r="31" customFormat="false" ht="15.75" hidden="false" customHeight="true" outlineLevel="0" collapsed="false">
      <c r="D31" s="100" t="s">
        <v>29</v>
      </c>
      <c r="F31" s="110" t="n">
        <v>45594.453</v>
      </c>
      <c r="G31" s="110" t="n">
        <v>21280</v>
      </c>
      <c r="H31" s="110" t="n">
        <v>35749</v>
      </c>
      <c r="I31" s="110" t="n">
        <v>14765</v>
      </c>
      <c r="J31" s="110" t="n">
        <v>18658</v>
      </c>
      <c r="K31" s="110" t="n">
        <v>17666</v>
      </c>
      <c r="L31" s="110" t="n">
        <v>40020</v>
      </c>
      <c r="M31" s="110" t="n">
        <v>23442</v>
      </c>
      <c r="N31" s="110" t="n">
        <v>32602</v>
      </c>
      <c r="O31" s="110" t="n">
        <v>16054</v>
      </c>
      <c r="P31" s="110" t="n">
        <v>19551</v>
      </c>
      <c r="Q31" s="110" t="n">
        <v>19073</v>
      </c>
      <c r="R31" s="110" t="n">
        <f aca="false">SUM(F31:Q31)</f>
        <v>304454.453</v>
      </c>
      <c r="S31" s="110"/>
    </row>
    <row r="32" customFormat="false" ht="15.75" hidden="false" customHeight="true" outlineLevel="0" collapsed="false">
      <c r="D32" s="100" t="s">
        <v>30</v>
      </c>
      <c r="F32" s="110" t="n">
        <v>160</v>
      </c>
      <c r="G32" s="110" t="n">
        <v>219</v>
      </c>
      <c r="H32" s="110" t="n">
        <v>345</v>
      </c>
      <c r="I32" s="110" t="n">
        <v>1177</v>
      </c>
      <c r="J32" s="110" t="n">
        <v>967</v>
      </c>
      <c r="K32" s="110" t="n">
        <v>2479</v>
      </c>
      <c r="L32" s="110" t="n">
        <v>104</v>
      </c>
      <c r="M32" s="110" t="n">
        <v>901</v>
      </c>
      <c r="N32" s="110" t="n">
        <v>693</v>
      </c>
      <c r="O32" s="110" t="n">
        <v>879</v>
      </c>
      <c r="P32" s="110" t="n">
        <v>5379</v>
      </c>
      <c r="Q32" s="110" t="n">
        <v>2491</v>
      </c>
      <c r="R32" s="110" t="n">
        <f aca="false">SUM(F32:Q32)</f>
        <v>15794</v>
      </c>
    </row>
    <row r="33" customFormat="false" ht="15.75" hidden="false" customHeight="true" outlineLevel="0" collapsed="false">
      <c r="D33" s="100" t="s">
        <v>77</v>
      </c>
      <c r="F33" s="110" t="n">
        <v>1697</v>
      </c>
      <c r="G33" s="110" t="n">
        <v>2658</v>
      </c>
      <c r="H33" s="110" t="n">
        <v>3889</v>
      </c>
      <c r="I33" s="110" t="n">
        <v>4825</v>
      </c>
      <c r="J33" s="110" t="n">
        <v>7478</v>
      </c>
      <c r="K33" s="110" t="n">
        <v>16050</v>
      </c>
      <c r="L33" s="110" t="n">
        <v>35258</v>
      </c>
      <c r="M33" s="110" t="n">
        <v>7402</v>
      </c>
      <c r="N33" s="110" t="n">
        <v>3119</v>
      </c>
      <c r="O33" s="110" t="n">
        <v>1514</v>
      </c>
      <c r="P33" s="110" t="n">
        <v>14234</v>
      </c>
      <c r="Q33" s="110" t="n">
        <v>5066</v>
      </c>
      <c r="R33" s="110" t="n">
        <f aca="false">SUM(F33:Q33)</f>
        <v>103190</v>
      </c>
      <c r="S33" s="110"/>
    </row>
    <row r="34" customFormat="false" ht="15.75" hidden="false" customHeight="true" outlineLevel="0" collapsed="false">
      <c r="D34" s="100" t="s">
        <v>32</v>
      </c>
      <c r="F34" s="110" t="n">
        <v>3029</v>
      </c>
      <c r="G34" s="110" t="n">
        <v>6</v>
      </c>
      <c r="H34" s="110" t="n">
        <v>5138</v>
      </c>
      <c r="I34" s="110" t="n">
        <v>199</v>
      </c>
      <c r="J34" s="110" t="n">
        <v>17</v>
      </c>
      <c r="K34" s="110" t="n">
        <v>60</v>
      </c>
      <c r="L34" s="110" t="n">
        <v>0</v>
      </c>
      <c r="M34" s="110" t="n">
        <v>7</v>
      </c>
      <c r="N34" s="110" t="n">
        <v>41</v>
      </c>
      <c r="O34" s="110" t="n">
        <v>11</v>
      </c>
      <c r="P34" s="110" t="n">
        <v>16</v>
      </c>
      <c r="Q34" s="110" t="n">
        <v>3157</v>
      </c>
      <c r="R34" s="110" t="n">
        <f aca="false">SUM(F34:Q34)</f>
        <v>11681</v>
      </c>
    </row>
    <row r="35" customFormat="false" ht="15.75" hidden="false" customHeight="true" outlineLevel="0" collapsed="false">
      <c r="D35" s="100" t="s">
        <v>78</v>
      </c>
      <c r="F35" s="110" t="n">
        <v>31</v>
      </c>
      <c r="G35" s="110" t="n">
        <v>706</v>
      </c>
      <c r="H35" s="110" t="n">
        <v>2767</v>
      </c>
      <c r="I35" s="110" t="n">
        <v>215</v>
      </c>
      <c r="J35" s="110" t="n">
        <v>152</v>
      </c>
      <c r="K35" s="110" t="n">
        <v>220</v>
      </c>
      <c r="L35" s="110" t="n">
        <v>32</v>
      </c>
      <c r="M35" s="110" t="n">
        <v>-1148</v>
      </c>
      <c r="N35" s="110" t="n">
        <v>741</v>
      </c>
      <c r="O35" s="110" t="n">
        <v>763</v>
      </c>
      <c r="P35" s="110" t="n">
        <v>172</v>
      </c>
      <c r="Q35" s="110" t="n">
        <v>10647</v>
      </c>
      <c r="R35" s="110" t="n">
        <f aca="false">SUM(F35:Q35)</f>
        <v>15298</v>
      </c>
    </row>
    <row r="36" customFormat="false" ht="15.75" hidden="false" customHeight="true" outlineLevel="0" collapsed="false">
      <c r="D36" s="1" t="s">
        <v>79</v>
      </c>
      <c r="F36" s="110" t="n">
        <v>94688</v>
      </c>
      <c r="G36" s="110" t="n">
        <v>106504.87</v>
      </c>
      <c r="H36" s="110" t="n">
        <v>145280</v>
      </c>
      <c r="I36" s="110" t="n">
        <v>134581</v>
      </c>
      <c r="J36" s="110" t="n">
        <v>154418</v>
      </c>
      <c r="K36" s="110" t="n">
        <v>147427</v>
      </c>
      <c r="L36" s="110" t="n">
        <v>109702</v>
      </c>
      <c r="M36" s="110" t="n">
        <v>110068</v>
      </c>
      <c r="N36" s="110" t="n">
        <v>168114</v>
      </c>
      <c r="O36" s="110" t="n">
        <v>118779</v>
      </c>
      <c r="P36" s="110" t="n">
        <v>152828</v>
      </c>
      <c r="Q36" s="110" t="n">
        <v>206753</v>
      </c>
      <c r="R36" s="110" t="n">
        <f aca="false">SUM(F36:Q36)</f>
        <v>1649142.87</v>
      </c>
      <c r="S36" s="110" t="s">
        <v>59</v>
      </c>
    </row>
    <row r="37" customFormat="false" ht="15.75" hidden="false" customHeight="true" outlineLevel="0" collapsed="false"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10"/>
      <c r="S37" s="110"/>
    </row>
    <row r="38" customFormat="false" ht="15.75" hidden="false" customHeight="true" outlineLevel="0" collapsed="false">
      <c r="B38" s="107" t="s">
        <v>35</v>
      </c>
      <c r="C38" s="107"/>
      <c r="D38" s="107"/>
      <c r="E38" s="107"/>
      <c r="F38" s="112" t="n">
        <f aca="false">+F8-F28</f>
        <v>-3474.45300000001</v>
      </c>
      <c r="G38" s="112" t="n">
        <v>-34626</v>
      </c>
      <c r="H38" s="112" t="n">
        <v>-74388</v>
      </c>
      <c r="I38" s="112" t="n">
        <v>55022</v>
      </c>
      <c r="J38" s="112" t="n">
        <v>-17656</v>
      </c>
      <c r="K38" s="112" t="n">
        <v>-45194</v>
      </c>
      <c r="L38" s="112" t="n">
        <v>-50667</v>
      </c>
      <c r="M38" s="112" t="n">
        <v>32607</v>
      </c>
      <c r="N38" s="112" t="n">
        <v>-75327</v>
      </c>
      <c r="O38" s="112" t="n">
        <v>-2345</v>
      </c>
      <c r="P38" s="112" t="n">
        <v>-19145</v>
      </c>
      <c r="Q38" s="112" t="n">
        <v>-118229</v>
      </c>
      <c r="R38" s="112" t="n">
        <f aca="false">SUM(F38:Q38)</f>
        <v>-353422.453</v>
      </c>
    </row>
    <row r="39" customFormat="false" ht="15.75" hidden="false" customHeight="true" outlineLevel="0" collapsed="false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customFormat="false" ht="15.75" hidden="false" customHeight="true" outlineLevel="0" collapsed="false">
      <c r="B40" s="107" t="s">
        <v>36</v>
      </c>
      <c r="C40" s="107"/>
      <c r="D40" s="107"/>
      <c r="E40" s="107"/>
      <c r="F40" s="108" t="n">
        <v>19124</v>
      </c>
      <c r="G40" s="108" t="n">
        <v>22973</v>
      </c>
      <c r="H40" s="108" t="n">
        <v>44169</v>
      </c>
      <c r="I40" s="108" t="n">
        <v>-2409</v>
      </c>
      <c r="J40" s="108" t="n">
        <v>-211</v>
      </c>
      <c r="K40" s="108" t="n">
        <v>27642</v>
      </c>
      <c r="L40" s="108" t="n">
        <v>8808</v>
      </c>
      <c r="M40" s="108" t="n">
        <v>5331</v>
      </c>
      <c r="N40" s="108" t="n">
        <v>94970</v>
      </c>
      <c r="O40" s="108" t="n">
        <v>-9268</v>
      </c>
      <c r="P40" s="108" t="n">
        <v>14796</v>
      </c>
      <c r="Q40" s="108" t="n">
        <v>-4987</v>
      </c>
      <c r="R40" s="108" t="n">
        <v>220938</v>
      </c>
    </row>
    <row r="41" customFormat="false" ht="15.75" hidden="false" customHeight="true" outlineLevel="0" collapsed="false">
      <c r="C41" s="100" t="s">
        <v>37</v>
      </c>
      <c r="F41" s="109" t="n">
        <v>-12636</v>
      </c>
      <c r="G41" s="109" t="n">
        <v>-3154</v>
      </c>
      <c r="H41" s="109" t="n">
        <v>30418</v>
      </c>
      <c r="I41" s="109" t="n">
        <v>559</v>
      </c>
      <c r="J41" s="109" t="n">
        <v>-4457</v>
      </c>
      <c r="K41" s="109" t="n">
        <v>-3518</v>
      </c>
      <c r="L41" s="109" t="n">
        <v>-138</v>
      </c>
      <c r="M41" s="109" t="n">
        <v>-2509</v>
      </c>
      <c r="N41" s="109" t="n">
        <v>-2917</v>
      </c>
      <c r="O41" s="109" t="n">
        <v>-20466</v>
      </c>
      <c r="P41" s="109" t="n">
        <v>-5552</v>
      </c>
      <c r="Q41" s="109" t="n">
        <v>257</v>
      </c>
      <c r="R41" s="109" t="n">
        <v>-24113</v>
      </c>
      <c r="S41" s="110"/>
    </row>
    <row r="42" customFormat="false" ht="15.75" hidden="false" customHeight="true" outlineLevel="0" collapsed="false">
      <c r="D42" s="100" t="s">
        <v>38</v>
      </c>
      <c r="F42" s="110" t="n">
        <v>10292</v>
      </c>
      <c r="G42" s="110" t="n">
        <v>781</v>
      </c>
      <c r="H42" s="110" t="n">
        <v>61318</v>
      </c>
      <c r="I42" s="110" t="n">
        <v>3397</v>
      </c>
      <c r="J42" s="110" t="n">
        <v>2186</v>
      </c>
      <c r="K42" s="110" t="n">
        <v>1821</v>
      </c>
      <c r="L42" s="110" t="n">
        <v>1787</v>
      </c>
      <c r="M42" s="110" t="n">
        <v>1454</v>
      </c>
      <c r="N42" s="110" t="n">
        <v>2314</v>
      </c>
      <c r="O42" s="110" t="n">
        <v>3589</v>
      </c>
      <c r="P42" s="110" t="n">
        <v>801</v>
      </c>
      <c r="Q42" s="110" t="n">
        <v>5904</v>
      </c>
      <c r="R42" s="110" t="n">
        <v>95644</v>
      </c>
    </row>
    <row r="43" customFormat="false" ht="15.75" hidden="false" customHeight="true" outlineLevel="0" collapsed="false">
      <c r="D43" s="100" t="s">
        <v>96</v>
      </c>
      <c r="F43" s="110" t="n">
        <v>22928</v>
      </c>
      <c r="G43" s="110" t="n">
        <v>3935</v>
      </c>
      <c r="H43" s="110" t="n">
        <v>30900</v>
      </c>
      <c r="I43" s="110" t="n">
        <v>2838</v>
      </c>
      <c r="J43" s="110" t="n">
        <v>6643</v>
      </c>
      <c r="K43" s="110" t="n">
        <v>5339</v>
      </c>
      <c r="L43" s="110" t="n">
        <v>1925</v>
      </c>
      <c r="M43" s="110" t="n">
        <v>3963</v>
      </c>
      <c r="N43" s="110" t="n">
        <v>5231</v>
      </c>
      <c r="O43" s="110" t="n">
        <v>24055</v>
      </c>
      <c r="P43" s="110" t="n">
        <v>6353</v>
      </c>
      <c r="Q43" s="110" t="n">
        <v>5647</v>
      </c>
      <c r="R43" s="110" t="n">
        <v>119757</v>
      </c>
    </row>
    <row r="44" customFormat="false" ht="15.75" hidden="false" customHeight="true" outlineLevel="0" collapsed="false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customFormat="false" ht="15.75" hidden="false" customHeight="true" outlineLevel="0" collapsed="false">
      <c r="C45" s="100" t="s">
        <v>40</v>
      </c>
      <c r="F45" s="109" t="n">
        <v>31760</v>
      </c>
      <c r="G45" s="109" t="n">
        <v>26127</v>
      </c>
      <c r="H45" s="109" t="n">
        <v>13751</v>
      </c>
      <c r="I45" s="109" t="n">
        <v>-2968</v>
      </c>
      <c r="J45" s="109" t="n">
        <v>4246</v>
      </c>
      <c r="K45" s="109" t="n">
        <v>31160</v>
      </c>
      <c r="L45" s="109" t="n">
        <v>8946</v>
      </c>
      <c r="M45" s="109" t="n">
        <v>7840</v>
      </c>
      <c r="N45" s="109" t="n">
        <v>97887</v>
      </c>
      <c r="O45" s="109" t="n">
        <v>11198</v>
      </c>
      <c r="P45" s="109" t="n">
        <v>20348</v>
      </c>
      <c r="Q45" s="109" t="n">
        <v>-5244</v>
      </c>
      <c r="R45" s="109" t="n">
        <v>245051</v>
      </c>
    </row>
    <row r="46" customFormat="false" ht="15.75" hidden="false" customHeight="true" outlineLevel="0" collapsed="false">
      <c r="D46" s="100" t="s">
        <v>41</v>
      </c>
      <c r="F46" s="110" t="n">
        <v>31770</v>
      </c>
      <c r="G46" s="110" t="n">
        <v>26127</v>
      </c>
      <c r="H46" s="110" t="n">
        <v>28755</v>
      </c>
      <c r="I46" s="110" t="n">
        <v>24640</v>
      </c>
      <c r="J46" s="110" t="n">
        <v>27853</v>
      </c>
      <c r="K46" s="110" t="n">
        <v>31365</v>
      </c>
      <c r="L46" s="110" t="n">
        <v>28055</v>
      </c>
      <c r="M46" s="110" t="n">
        <v>27198</v>
      </c>
      <c r="N46" s="110" t="n">
        <v>100044</v>
      </c>
      <c r="O46" s="110" t="n">
        <v>13332</v>
      </c>
      <c r="P46" s="110" t="n">
        <v>23400</v>
      </c>
      <c r="Q46" s="110" t="n">
        <v>-5042</v>
      </c>
      <c r="R46" s="110" t="n">
        <v>357497</v>
      </c>
    </row>
    <row r="47" customFormat="false" ht="15.75" hidden="false" customHeight="true" outlineLevel="0" collapsed="false">
      <c r="D47" s="100" t="s">
        <v>97</v>
      </c>
      <c r="F47" s="110" t="n">
        <v>10</v>
      </c>
      <c r="G47" s="110" t="n">
        <v>0</v>
      </c>
      <c r="H47" s="110" t="n">
        <v>15004</v>
      </c>
      <c r="I47" s="110" t="n">
        <v>27608</v>
      </c>
      <c r="J47" s="110" t="n">
        <v>23607</v>
      </c>
      <c r="K47" s="110" t="n">
        <v>205</v>
      </c>
      <c r="L47" s="110" t="n">
        <v>19109</v>
      </c>
      <c r="M47" s="110" t="n">
        <v>19358</v>
      </c>
      <c r="N47" s="110" t="n">
        <v>2157</v>
      </c>
      <c r="O47" s="110" t="n">
        <v>2134</v>
      </c>
      <c r="P47" s="110" t="n">
        <v>3052</v>
      </c>
      <c r="Q47" s="110" t="n">
        <v>202</v>
      </c>
      <c r="R47" s="110" t="n">
        <v>112446</v>
      </c>
    </row>
    <row r="48" customFormat="false" ht="15.75" hidden="false" customHeight="true" outlineLevel="0" collapsed="false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customFormat="false" ht="15.75" hidden="false" customHeight="true" outlineLevel="0" collapsed="false">
      <c r="B49" s="107" t="s">
        <v>45</v>
      </c>
      <c r="C49" s="107"/>
      <c r="D49" s="107"/>
      <c r="E49" s="107"/>
      <c r="F49" s="108" t="n">
        <v>-68115.453</v>
      </c>
      <c r="G49" s="108" t="n">
        <v>-13090</v>
      </c>
      <c r="H49" s="108" t="n">
        <v>-35131</v>
      </c>
      <c r="I49" s="108" t="n">
        <v>-3428</v>
      </c>
      <c r="J49" s="108" t="n">
        <v>5118</v>
      </c>
      <c r="K49" s="108" t="n">
        <v>-10872</v>
      </c>
      <c r="L49" s="108" t="n">
        <v>-11356</v>
      </c>
      <c r="M49" s="108" t="n">
        <v>65448</v>
      </c>
      <c r="N49" s="108" t="n">
        <v>-69780</v>
      </c>
      <c r="O49" s="108" t="n">
        <v>-9827</v>
      </c>
      <c r="P49" s="108" t="n">
        <v>-1274</v>
      </c>
      <c r="Q49" s="108" t="n">
        <v>-105347</v>
      </c>
      <c r="R49" s="108" t="n">
        <v>-257654.453</v>
      </c>
      <c r="S49" s="110"/>
    </row>
    <row r="50" customFormat="false" ht="15" hidden="false" customHeight="false" outlineLevel="0" collapsed="false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</row>
    <row r="51" customFormat="false" ht="15" hidden="false" customHeight="false" outlineLevel="0" collapsed="false"/>
    <row r="52" s="26" customFormat="true" ht="12.75" hidden="false" customHeight="false" outlineLevel="0" collapsed="false">
      <c r="B52" s="114" t="s">
        <v>46</v>
      </c>
    </row>
    <row r="53" s="26" customFormat="true" ht="15.75" hidden="false" customHeight="true" outlineLevel="0" collapsed="false">
      <c r="B53" s="114"/>
      <c r="C53" s="26" t="s">
        <v>98</v>
      </c>
    </row>
    <row r="54" s="26" customFormat="true" ht="12.75" hidden="false" customHeight="false" outlineLevel="0" collapsed="false">
      <c r="C54" s="26" t="s">
        <v>99</v>
      </c>
    </row>
    <row r="55" s="26" customFormat="true" ht="12.75" hidden="false" customHeight="false" outlineLevel="0" collapsed="false"/>
    <row r="56" s="26" customFormat="true" ht="12.75" hidden="false" customHeight="false" outlineLevel="0" collapsed="false"/>
    <row r="57" s="26" customFormat="true" ht="12.75" hidden="false" customHeight="false" outlineLevel="0" collapsed="false">
      <c r="B57" s="26" t="s">
        <v>51</v>
      </c>
    </row>
    <row r="58" s="26" customFormat="true" ht="12.75" hidden="false" customHeight="false" outlineLevel="0" collapsed="false">
      <c r="B58" s="26" t="s">
        <v>93</v>
      </c>
    </row>
    <row r="59" customFormat="false" ht="14.25" hidden="false" customHeight="false" outlineLevel="0" collapsed="false">
      <c r="B59" s="31"/>
    </row>
    <row r="60" customFormat="false" ht="14.25" hidden="false" customHeight="false" outlineLevel="0" collapsed="false">
      <c r="B60" s="31"/>
    </row>
    <row r="63" customFormat="false" ht="14.25" hidden="false" customHeight="false" outlineLevel="0" collapsed="false">
      <c r="A63" s="31"/>
    </row>
  </sheetData>
  <mergeCells count="1">
    <mergeCell ref="B6:E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2000-04-11T06:45:00Z</dcterms:created>
  <dc:creator>castillogw</dc:creator>
  <dc:description/>
  <dc:language>en-PH</dc:language>
  <cp:lastModifiedBy/>
  <cp:lastPrinted>2023-08-16T06:00:24Z</cp:lastPrinted>
  <dcterms:modified xsi:type="dcterms:W3CDTF">2023-08-29T10:25:28Z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