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alyssajanoch/Desktop/"/>
    </mc:Choice>
  </mc:AlternateContent>
  <xr:revisionPtr revIDLastSave="0" documentId="8_{162F959D-4F34-5549-870F-102A44A3AC67}" xr6:coauthVersionLast="47" xr6:coauthVersionMax="47" xr10:uidLastSave="{00000000-0000-0000-0000-000000000000}"/>
  <bookViews>
    <workbookView xWindow="480" yWindow="500" windowWidth="28320" windowHeight="16440" activeTab="6" xr2:uid="{FD4428FA-0268-4543-A25D-E0A10B2F5B40}"/>
  </bookViews>
  <sheets>
    <sheet name="1" sheetId="5" state="hidden" r:id="rId1"/>
    <sheet name="2" sheetId="7" state="hidden" r:id="rId2"/>
    <sheet name="Valuation Models" sheetId="8" state="hidden" r:id="rId3"/>
    <sheet name="Income Statement" sheetId="6" r:id="rId4"/>
    <sheet name="Balance Sheet" sheetId="10" r:id="rId5"/>
    <sheet name="Cash Flow" sheetId="9" r:id="rId6"/>
    <sheet name="Valuation" sheetId="13" r:id="rId7"/>
  </sheets>
  <definedNames>
    <definedName name="_xlnm._FilterDatabase" localSheetId="0" hidden="1">'1'!$A$4:$A$10</definedName>
    <definedName name="_xlnm._FilterDatabase" localSheetId="4" hidden="1">'Balance Sheet'!$A$4:$A$10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7" i="9" l="1"/>
  <c r="B15" i="13"/>
  <c r="J25" i="10"/>
  <c r="L27" i="9" s="1"/>
  <c r="C15" i="13" s="1"/>
  <c r="G9" i="6"/>
  <c r="B29" i="13"/>
  <c r="H9" i="6"/>
  <c r="I9" i="6"/>
  <c r="J9" i="6"/>
  <c r="K9" i="6"/>
  <c r="H19" i="10"/>
  <c r="J19" i="10" s="1"/>
  <c r="L19" i="10" s="1"/>
  <c r="N19" i="10" s="1"/>
  <c r="P19" i="10" s="1"/>
  <c r="H11" i="10"/>
  <c r="J11" i="10" s="1"/>
  <c r="L11" i="10" s="1"/>
  <c r="N11" i="10" s="1"/>
  <c r="P11" i="10" s="1"/>
  <c r="L25" i="10"/>
  <c r="I11" i="10"/>
  <c r="K11" i="10"/>
  <c r="M11" i="10"/>
  <c r="O11" i="10"/>
  <c r="N25" i="10" l="1"/>
  <c r="M27" i="9"/>
  <c r="D15" i="13" s="1"/>
  <c r="J6" i="13"/>
  <c r="P25" i="10" l="1"/>
  <c r="O27" i="9" s="1"/>
  <c r="F15" i="13" s="1"/>
  <c r="N27" i="9"/>
  <c r="E15" i="13" s="1"/>
  <c r="B5" i="13"/>
  <c r="G4" i="6"/>
  <c r="B22" i="8"/>
  <c r="G7" i="6" l="1"/>
  <c r="G5" i="6"/>
  <c r="H4" i="6"/>
  <c r="B33" i="13"/>
  <c r="B19" i="13"/>
  <c r="B12" i="8"/>
  <c r="C12" i="8"/>
  <c r="D12" i="8"/>
  <c r="E12" i="8"/>
  <c r="F12" i="8"/>
  <c r="I4" i="6" l="1"/>
  <c r="C33" i="13"/>
  <c r="D19" i="13"/>
  <c r="J4" i="6" l="1"/>
  <c r="D33" i="13"/>
  <c r="E33" i="13"/>
  <c r="F33" i="13"/>
  <c r="F19" i="13"/>
  <c r="G19" i="13" s="1"/>
  <c r="E19" i="13"/>
  <c r="C19" i="13"/>
  <c r="F5" i="13"/>
  <c r="G5" i="13" s="1"/>
  <c r="K4" i="6" l="1"/>
  <c r="G33" i="13"/>
  <c r="C5" i="13"/>
  <c r="D5" i="13"/>
  <c r="E5" i="13"/>
  <c r="K7" i="9" l="1"/>
  <c r="K32" i="10"/>
  <c r="Q32" i="10"/>
  <c r="O32" i="10"/>
  <c r="M32" i="10"/>
  <c r="I32" i="10"/>
  <c r="G35" i="10"/>
  <c r="B27" i="13" s="1"/>
  <c r="F35" i="10"/>
  <c r="E35" i="10"/>
  <c r="D35" i="10"/>
  <c r="C35" i="10"/>
  <c r="H34" i="10"/>
  <c r="I34" i="10" s="1"/>
  <c r="H27" i="10"/>
  <c r="I27" i="10" s="1"/>
  <c r="I25" i="10"/>
  <c r="H24" i="10"/>
  <c r="I24" i="10" s="1"/>
  <c r="G23" i="10"/>
  <c r="G36" i="10" s="1"/>
  <c r="G5" i="10" s="1"/>
  <c r="G9" i="10" s="1"/>
  <c r="F23" i="10"/>
  <c r="E23" i="10"/>
  <c r="E36" i="10" s="1"/>
  <c r="D23" i="10"/>
  <c r="C23" i="10"/>
  <c r="H14" i="10"/>
  <c r="H13" i="10"/>
  <c r="H12" i="10"/>
  <c r="F9" i="10"/>
  <c r="E9" i="10"/>
  <c r="D9" i="10"/>
  <c r="C9" i="10"/>
  <c r="H8" i="10"/>
  <c r="H39" i="9"/>
  <c r="G39" i="9"/>
  <c r="F39" i="9"/>
  <c r="E39" i="9"/>
  <c r="D39" i="9"/>
  <c r="K38" i="9"/>
  <c r="H36" i="9"/>
  <c r="G36" i="9"/>
  <c r="F36" i="9"/>
  <c r="E36" i="9"/>
  <c r="D36" i="9"/>
  <c r="H23" i="9"/>
  <c r="G23" i="9"/>
  <c r="F23" i="9"/>
  <c r="E23" i="9"/>
  <c r="D23" i="9"/>
  <c r="H19" i="9"/>
  <c r="F19" i="9"/>
  <c r="M24" i="7"/>
  <c r="L30" i="7"/>
  <c r="L25" i="7"/>
  <c r="K24" i="7"/>
  <c r="J25" i="7"/>
  <c r="K30" i="7"/>
  <c r="I30" i="7"/>
  <c r="I26" i="7"/>
  <c r="J26" i="7" s="1"/>
  <c r="K26" i="7" s="1"/>
  <c r="L26" i="7" s="1"/>
  <c r="M26" i="7" s="1"/>
  <c r="J30" i="7"/>
  <c r="H18" i="7"/>
  <c r="I7" i="7"/>
  <c r="H12" i="5"/>
  <c r="I12" i="5"/>
  <c r="J12" i="5"/>
  <c r="K12" i="5"/>
  <c r="L12" i="5"/>
  <c r="I28" i="7"/>
  <c r="J28" i="7" s="1"/>
  <c r="K28" i="7" s="1"/>
  <c r="L28" i="7" s="1"/>
  <c r="M28" i="7" s="1"/>
  <c r="I27" i="7"/>
  <c r="J27" i="7" s="1"/>
  <c r="K27" i="7" s="1"/>
  <c r="L27" i="7" s="1"/>
  <c r="M27" i="7" s="1"/>
  <c r="H8" i="5"/>
  <c r="H11" i="5"/>
  <c r="H13" i="5"/>
  <c r="H14" i="5"/>
  <c r="J5" i="8"/>
  <c r="B23" i="8"/>
  <c r="I9" i="7"/>
  <c r="J9" i="7" s="1"/>
  <c r="K9" i="7" s="1"/>
  <c r="L9" i="7" s="1"/>
  <c r="M9" i="7" s="1"/>
  <c r="B32" i="8"/>
  <c r="J1" i="8"/>
  <c r="J3" i="8"/>
  <c r="G4" i="8" s="1"/>
  <c r="H36" i="7"/>
  <c r="I35" i="7" s="1"/>
  <c r="H22" i="7"/>
  <c r="I17" i="7"/>
  <c r="C15" i="10" l="1"/>
  <c r="D15" i="10"/>
  <c r="E15" i="10"/>
  <c r="F15" i="10"/>
  <c r="G15" i="10"/>
  <c r="D36" i="10"/>
  <c r="F36" i="10"/>
  <c r="I8" i="10"/>
  <c r="I14" i="10"/>
  <c r="I13" i="10"/>
  <c r="I12" i="10"/>
  <c r="I19" i="10"/>
  <c r="C36" i="10"/>
  <c r="J34" i="10"/>
  <c r="K34" i="10" s="1"/>
  <c r="J8" i="10"/>
  <c r="K8" i="10" s="1"/>
  <c r="J12" i="10"/>
  <c r="J13" i="10"/>
  <c r="J14" i="10"/>
  <c r="K14" i="10" s="1"/>
  <c r="J24" i="10"/>
  <c r="K24" i="10" s="1"/>
  <c r="K25" i="10"/>
  <c r="J27" i="10"/>
  <c r="K27" i="10" s="1"/>
  <c r="K19" i="10"/>
  <c r="G16" i="8"/>
  <c r="G28" i="8" s="1"/>
  <c r="F4" i="8"/>
  <c r="E4" i="8"/>
  <c r="D4" i="8"/>
  <c r="C4" i="8"/>
  <c r="B4" i="8"/>
  <c r="L34" i="5"/>
  <c r="J24" i="7"/>
  <c r="I24" i="7"/>
  <c r="K12" i="10" l="1"/>
  <c r="L34" i="10"/>
  <c r="M34" i="10" s="1"/>
  <c r="K13" i="10"/>
  <c r="L27" i="10"/>
  <c r="M27" i="10" s="1"/>
  <c r="L24" i="10"/>
  <c r="M24" i="10" s="1"/>
  <c r="L14" i="10"/>
  <c r="L13" i="10"/>
  <c r="L12" i="10"/>
  <c r="L8" i="10"/>
  <c r="M8" i="10" s="1"/>
  <c r="N13" i="10"/>
  <c r="N8" i="10"/>
  <c r="M19" i="10"/>
  <c r="B16" i="8"/>
  <c r="B28" i="8" s="1"/>
  <c r="C16" i="8"/>
  <c r="C28" i="8" s="1"/>
  <c r="D16" i="8"/>
  <c r="D28" i="8" s="1"/>
  <c r="E16" i="8"/>
  <c r="E28" i="8" s="1"/>
  <c r="F16" i="8"/>
  <c r="F28" i="8" s="1"/>
  <c r="J34" i="5"/>
  <c r="K34" i="5"/>
  <c r="I34" i="5"/>
  <c r="H34" i="5"/>
  <c r="J27" i="5"/>
  <c r="K27" i="5"/>
  <c r="L27" i="5" s="1"/>
  <c r="I27" i="5"/>
  <c r="H27" i="5"/>
  <c r="J25" i="5"/>
  <c r="K25" i="5"/>
  <c r="L25" i="5"/>
  <c r="I25" i="5"/>
  <c r="H25" i="5"/>
  <c r="J24" i="5"/>
  <c r="K24" i="5"/>
  <c r="L24" i="5" s="1"/>
  <c r="I24" i="5"/>
  <c r="H24" i="5"/>
  <c r="J19" i="5"/>
  <c r="K19" i="5"/>
  <c r="L19" i="5" s="1"/>
  <c r="I19" i="5"/>
  <c r="H19" i="5"/>
  <c r="B6" i="6"/>
  <c r="B8" i="6" s="1"/>
  <c r="B11" i="6" s="1"/>
  <c r="C6" i="6"/>
  <c r="C8" i="6" s="1"/>
  <c r="C11" i="6" s="1"/>
  <c r="D6" i="6"/>
  <c r="D8" i="6" s="1"/>
  <c r="D11" i="6" s="1"/>
  <c r="E6" i="6"/>
  <c r="E8" i="6" s="1"/>
  <c r="E11" i="6" s="1"/>
  <c r="F6" i="6"/>
  <c r="F8" i="6"/>
  <c r="F11" i="6" s="1"/>
  <c r="M25" i="10" l="1"/>
  <c r="H7" i="10"/>
  <c r="H22" i="10"/>
  <c r="H10" i="5"/>
  <c r="H7" i="5"/>
  <c r="H26" i="10"/>
  <c r="H20" i="10"/>
  <c r="H21" i="10"/>
  <c r="H10" i="10"/>
  <c r="N34" i="10"/>
  <c r="O34" i="10" s="1"/>
  <c r="O13" i="10"/>
  <c r="M13" i="10"/>
  <c r="N14" i="10"/>
  <c r="O14" i="10" s="1"/>
  <c r="M14" i="10"/>
  <c r="O8" i="10"/>
  <c r="N12" i="10"/>
  <c r="M12" i="10"/>
  <c r="P8" i="10"/>
  <c r="Q8" i="10" s="1"/>
  <c r="Q11" i="10"/>
  <c r="P13" i="10"/>
  <c r="Q13" i="10" s="1"/>
  <c r="N24" i="10"/>
  <c r="O24" i="10" s="1"/>
  <c r="O25" i="10"/>
  <c r="N27" i="10"/>
  <c r="O27" i="10" s="1"/>
  <c r="O19" i="10"/>
  <c r="H26" i="5"/>
  <c r="I8" i="7" s="1"/>
  <c r="H22" i="5"/>
  <c r="H21" i="5"/>
  <c r="H20" i="5"/>
  <c r="E36" i="7"/>
  <c r="E33" i="7"/>
  <c r="E22" i="7"/>
  <c r="G36" i="7"/>
  <c r="G33" i="7"/>
  <c r="G22" i="7"/>
  <c r="D36" i="7"/>
  <c r="D33" i="7"/>
  <c r="D22" i="7"/>
  <c r="H33" i="7"/>
  <c r="D35" i="5"/>
  <c r="D23" i="5"/>
  <c r="D9" i="5"/>
  <c r="D15" i="5" s="1"/>
  <c r="F35" i="5"/>
  <c r="F23" i="5"/>
  <c r="F9" i="5"/>
  <c r="F15" i="5" s="1"/>
  <c r="C35" i="5"/>
  <c r="C23" i="5"/>
  <c r="C9" i="5"/>
  <c r="C15" i="5" s="1"/>
  <c r="G35" i="5"/>
  <c r="G23" i="5"/>
  <c r="G15" i="5"/>
  <c r="G9" i="5"/>
  <c r="H7" i="6" l="1"/>
  <c r="I20" i="10"/>
  <c r="H23" i="10"/>
  <c r="J20" i="10"/>
  <c r="K15" i="9"/>
  <c r="I10" i="7"/>
  <c r="J10" i="7" s="1"/>
  <c r="H31" i="10"/>
  <c r="I26" i="10"/>
  <c r="K8" i="9"/>
  <c r="J26" i="10"/>
  <c r="K21" i="9"/>
  <c r="K23" i="9" s="1"/>
  <c r="B14" i="13" s="1"/>
  <c r="L7" i="9"/>
  <c r="J10" i="10"/>
  <c r="K10" i="10" s="1"/>
  <c r="I10" i="10"/>
  <c r="I21" i="10"/>
  <c r="J21" i="10"/>
  <c r="K16" i="9"/>
  <c r="H6" i="5"/>
  <c r="H6" i="10"/>
  <c r="K17" i="9"/>
  <c r="J22" i="10"/>
  <c r="I22" i="10"/>
  <c r="I7" i="10"/>
  <c r="J7" i="10"/>
  <c r="K14" i="9"/>
  <c r="P34" i="10"/>
  <c r="Q34" i="10" s="1"/>
  <c r="P12" i="10"/>
  <c r="Q12" i="10" s="1"/>
  <c r="P14" i="10"/>
  <c r="Q14" i="10" s="1"/>
  <c r="O12" i="10"/>
  <c r="P27" i="10"/>
  <c r="Q27" i="10" s="1"/>
  <c r="Q25" i="10"/>
  <c r="P24" i="10"/>
  <c r="Q24" i="10" s="1"/>
  <c r="Q19" i="10"/>
  <c r="H31" i="5"/>
  <c r="G6" i="6"/>
  <c r="G8" i="6" s="1"/>
  <c r="G11" i="6" s="1"/>
  <c r="I14" i="7"/>
  <c r="H23" i="5"/>
  <c r="I20" i="5"/>
  <c r="I15" i="7"/>
  <c r="I21" i="5"/>
  <c r="I16" i="7"/>
  <c r="I22" i="5"/>
  <c r="I26" i="5"/>
  <c r="H5" i="6"/>
  <c r="C36" i="5"/>
  <c r="F36" i="5"/>
  <c r="G36" i="5"/>
  <c r="D36" i="5"/>
  <c r="H6" i="6" l="1"/>
  <c r="H8" i="6" s="1"/>
  <c r="H11" i="6" s="1"/>
  <c r="L7" i="10"/>
  <c r="M7" i="10"/>
  <c r="M14" i="9"/>
  <c r="K32" i="9"/>
  <c r="I31" i="10"/>
  <c r="J31" i="10"/>
  <c r="L22" i="10"/>
  <c r="K22" i="10"/>
  <c r="L17" i="9"/>
  <c r="L21" i="9"/>
  <c r="L23" i="9" s="1"/>
  <c r="C14" i="13" s="1"/>
  <c r="L10" i="10"/>
  <c r="K21" i="10"/>
  <c r="L21" i="10"/>
  <c r="L16" i="9"/>
  <c r="M7" i="9"/>
  <c r="J23" i="10"/>
  <c r="K20" i="10"/>
  <c r="L20" i="10"/>
  <c r="L15" i="9"/>
  <c r="K7" i="10"/>
  <c r="L14" i="9"/>
  <c r="I12" i="7"/>
  <c r="K12" i="9"/>
  <c r="I6" i="10"/>
  <c r="J6" i="10"/>
  <c r="L12" i="9"/>
  <c r="K6" i="10"/>
  <c r="K26" i="10"/>
  <c r="L26" i="10"/>
  <c r="L8" i="9"/>
  <c r="J8" i="7"/>
  <c r="J26" i="5"/>
  <c r="J16" i="7"/>
  <c r="J22" i="5"/>
  <c r="J15" i="7"/>
  <c r="J21" i="5"/>
  <c r="J14" i="7"/>
  <c r="I23" i="5"/>
  <c r="I36" i="5" s="1"/>
  <c r="J20" i="5"/>
  <c r="G12" i="6"/>
  <c r="H12" i="6" s="1"/>
  <c r="H13" i="6" s="1"/>
  <c r="I31" i="5"/>
  <c r="I7" i="6"/>
  <c r="I5" i="6"/>
  <c r="I6" i="6" s="1"/>
  <c r="C13" i="6"/>
  <c r="E13" i="6"/>
  <c r="F13" i="6"/>
  <c r="F36" i="7"/>
  <c r="F33" i="7"/>
  <c r="F22" i="7"/>
  <c r="F18" i="7"/>
  <c r="D13" i="6"/>
  <c r="E35" i="5"/>
  <c r="E23" i="5"/>
  <c r="E9" i="5"/>
  <c r="E15" i="5" s="1"/>
  <c r="L5" i="9" l="1"/>
  <c r="C28" i="13"/>
  <c r="G13" i="6"/>
  <c r="L6" i="10"/>
  <c r="M6" i="10" s="1"/>
  <c r="M12" i="9"/>
  <c r="N22" i="10"/>
  <c r="M17" i="9"/>
  <c r="M22" i="10"/>
  <c r="N21" i="10"/>
  <c r="M16" i="9"/>
  <c r="M21" i="10"/>
  <c r="N10" i="10"/>
  <c r="O10" i="10" s="1"/>
  <c r="M21" i="9"/>
  <c r="M23" i="9" s="1"/>
  <c r="D14" i="13" s="1"/>
  <c r="L34" i="9"/>
  <c r="L19" i="9"/>
  <c r="N20" i="10"/>
  <c r="M15" i="9"/>
  <c r="L23" i="10"/>
  <c r="M20" i="10"/>
  <c r="M10" i="10"/>
  <c r="L32" i="9"/>
  <c r="L31" i="10"/>
  <c r="K31" i="10"/>
  <c r="M8" i="9"/>
  <c r="N26" i="10"/>
  <c r="M26" i="10"/>
  <c r="N7" i="9"/>
  <c r="N7" i="10"/>
  <c r="O7" i="10" s="1"/>
  <c r="N14" i="9"/>
  <c r="J7" i="6"/>
  <c r="K10" i="7"/>
  <c r="L10" i="7" s="1"/>
  <c r="J31" i="5"/>
  <c r="C24" i="8"/>
  <c r="J31" i="7"/>
  <c r="J5" i="7"/>
  <c r="K20" i="5"/>
  <c r="K14" i="7"/>
  <c r="J23" i="5"/>
  <c r="K21" i="5"/>
  <c r="K15" i="7"/>
  <c r="K22" i="5"/>
  <c r="K16" i="7"/>
  <c r="K8" i="7"/>
  <c r="K26" i="5"/>
  <c r="I8" i="6"/>
  <c r="I11" i="6" s="1"/>
  <c r="I12" i="6" s="1"/>
  <c r="B13" i="6"/>
  <c r="J5" i="6"/>
  <c r="J6" i="6" s="1"/>
  <c r="E36" i="5"/>
  <c r="H33" i="10" l="1"/>
  <c r="B28" i="13"/>
  <c r="I31" i="7"/>
  <c r="I33" i="7" s="1"/>
  <c r="H33" i="5"/>
  <c r="H35" i="5" s="1"/>
  <c r="C22" i="8" s="1"/>
  <c r="B24" i="8"/>
  <c r="B25" i="8" s="1"/>
  <c r="B29" i="8" s="1"/>
  <c r="K5" i="9"/>
  <c r="K34" i="9" s="1"/>
  <c r="I5" i="7"/>
  <c r="H35" i="10"/>
  <c r="O7" i="9"/>
  <c r="C2" i="13"/>
  <c r="C6" i="13" s="1"/>
  <c r="P21" i="10"/>
  <c r="O21" i="10"/>
  <c r="N16" i="9"/>
  <c r="P10" i="10"/>
  <c r="N21" i="9"/>
  <c r="N23" i="9" s="1"/>
  <c r="E14" i="13" s="1"/>
  <c r="P7" i="10"/>
  <c r="O14" i="9" s="1"/>
  <c r="P22" i="10"/>
  <c r="O22" i="10"/>
  <c r="N17" i="9"/>
  <c r="P26" i="10"/>
  <c r="N8" i="9"/>
  <c r="O26" i="10"/>
  <c r="K19" i="9"/>
  <c r="M32" i="9"/>
  <c r="N31" i="10"/>
  <c r="M31" i="10"/>
  <c r="N15" i="9"/>
  <c r="O20" i="10"/>
  <c r="P20" i="10"/>
  <c r="N23" i="10"/>
  <c r="L36" i="9"/>
  <c r="L37" i="9" s="1"/>
  <c r="C13" i="13"/>
  <c r="N6" i="10"/>
  <c r="N12" i="9" s="1"/>
  <c r="I13" i="6"/>
  <c r="L8" i="7"/>
  <c r="L26" i="5"/>
  <c r="M8" i="7" s="1"/>
  <c r="L22" i="5"/>
  <c r="M16" i="7" s="1"/>
  <c r="L16" i="7"/>
  <c r="L21" i="5"/>
  <c r="M15" i="7" s="1"/>
  <c r="L15" i="7"/>
  <c r="L20" i="5"/>
  <c r="L14" i="7"/>
  <c r="K23" i="5"/>
  <c r="K36" i="5" s="1"/>
  <c r="C2" i="8"/>
  <c r="C5" i="8" s="1"/>
  <c r="J33" i="7"/>
  <c r="I33" i="5"/>
  <c r="K31" i="5"/>
  <c r="J8" i="6"/>
  <c r="J11" i="6" s="1"/>
  <c r="J12" i="6" s="1"/>
  <c r="K7" i="6"/>
  <c r="M10" i="7" s="1"/>
  <c r="K5" i="6"/>
  <c r="K6" i="6" s="1"/>
  <c r="B30" i="13" l="1"/>
  <c r="B34" i="13" s="1"/>
  <c r="J33" i="10"/>
  <c r="I33" i="10"/>
  <c r="B2" i="8"/>
  <c r="B5" i="8" s="1"/>
  <c r="I39" i="10"/>
  <c r="H36" i="10"/>
  <c r="H5" i="10" s="1"/>
  <c r="C27" i="13"/>
  <c r="O21" i="9"/>
  <c r="O23" i="9" s="1"/>
  <c r="F14" i="13" s="1"/>
  <c r="M5" i="9"/>
  <c r="D28" i="13"/>
  <c r="Q10" i="10"/>
  <c r="Q7" i="10"/>
  <c r="M34" i="9"/>
  <c r="D2" i="13" s="1"/>
  <c r="D6" i="13" s="1"/>
  <c r="M19" i="9"/>
  <c r="K36" i="9"/>
  <c r="K37" i="9" s="1"/>
  <c r="B2" i="13"/>
  <c r="B6" i="13" s="1"/>
  <c r="Q22" i="10"/>
  <c r="O17" i="9"/>
  <c r="J35" i="10"/>
  <c r="O8" i="9"/>
  <c r="Q26" i="10"/>
  <c r="P31" i="10"/>
  <c r="O31" i="10"/>
  <c r="N32" i="9"/>
  <c r="B13" i="13"/>
  <c r="Q21" i="10"/>
  <c r="O16" i="9"/>
  <c r="O6" i="10"/>
  <c r="P6" i="10"/>
  <c r="O12" i="9" s="1"/>
  <c r="Q20" i="10"/>
  <c r="O15" i="9"/>
  <c r="P23" i="10"/>
  <c r="J13" i="6"/>
  <c r="L31" i="5"/>
  <c r="H36" i="5"/>
  <c r="H5" i="5" s="1"/>
  <c r="I38" i="7" s="1"/>
  <c r="C23" i="8"/>
  <c r="C25" i="8" s="1"/>
  <c r="C29" i="8" s="1"/>
  <c r="J33" i="5"/>
  <c r="I35" i="5"/>
  <c r="M14" i="7"/>
  <c r="L23" i="5"/>
  <c r="D24" i="8"/>
  <c r="K31" i="7"/>
  <c r="K5" i="7"/>
  <c r="K8" i="6"/>
  <c r="K11" i="6" s="1"/>
  <c r="K12" i="6" s="1"/>
  <c r="K13" i="6" s="1"/>
  <c r="C29" i="13" l="1"/>
  <c r="C30" i="13" s="1"/>
  <c r="C34" i="13" s="1"/>
  <c r="L33" i="10"/>
  <c r="K33" i="10"/>
  <c r="H9" i="10"/>
  <c r="H15" i="10" s="1"/>
  <c r="I37" i="10"/>
  <c r="I40" i="10"/>
  <c r="O5" i="9"/>
  <c r="O34" i="9" s="1"/>
  <c r="F28" i="13"/>
  <c r="D22" i="8"/>
  <c r="D23" i="8" s="1"/>
  <c r="D25" i="8" s="1"/>
  <c r="D29" i="8" s="1"/>
  <c r="M36" i="9"/>
  <c r="M37" i="9" s="1"/>
  <c r="N5" i="9"/>
  <c r="E28" i="13"/>
  <c r="J36" i="10"/>
  <c r="D27" i="13"/>
  <c r="D29" i="13" s="1"/>
  <c r="D30" i="13" s="1"/>
  <c r="D34" i="13" s="1"/>
  <c r="Q6" i="10"/>
  <c r="K39" i="9"/>
  <c r="N34" i="9"/>
  <c r="E2" i="13" s="1"/>
  <c r="E6" i="13" s="1"/>
  <c r="N19" i="9"/>
  <c r="D13" i="13"/>
  <c r="K37" i="10"/>
  <c r="K39" i="10"/>
  <c r="Q31" i="10"/>
  <c r="O32" i="9"/>
  <c r="L35" i="10"/>
  <c r="F24" i="8"/>
  <c r="M31" i="7"/>
  <c r="M5" i="7"/>
  <c r="D2" i="8"/>
  <c r="D5" i="8" s="1"/>
  <c r="K33" i="7"/>
  <c r="K33" i="5"/>
  <c r="J35" i="5"/>
  <c r="E22" i="8" s="1"/>
  <c r="E24" i="8"/>
  <c r="L31" i="7"/>
  <c r="L5" i="7"/>
  <c r="J5" i="10" l="1"/>
  <c r="J9" i="10" s="1"/>
  <c r="J15" i="10" s="1"/>
  <c r="N33" i="10"/>
  <c r="M33" i="10"/>
  <c r="K40" i="10"/>
  <c r="O19" i="9"/>
  <c r="F13" i="13" s="1"/>
  <c r="F2" i="13"/>
  <c r="F6" i="13" s="1"/>
  <c r="L36" i="10"/>
  <c r="E27" i="13"/>
  <c r="E29" i="13" s="1"/>
  <c r="E30" i="13" s="1"/>
  <c r="E34" i="13" s="1"/>
  <c r="G28" i="13"/>
  <c r="E13" i="13"/>
  <c r="L38" i="9"/>
  <c r="L39" i="9" s="1"/>
  <c r="C16" i="13" s="1"/>
  <c r="B16" i="13"/>
  <c r="N36" i="9"/>
  <c r="N37" i="9" s="1"/>
  <c r="O36" i="9"/>
  <c r="N35" i="10"/>
  <c r="M39" i="10"/>
  <c r="M37" i="10"/>
  <c r="E2" i="8"/>
  <c r="E5" i="8" s="1"/>
  <c r="L33" i="7"/>
  <c r="J36" i="5"/>
  <c r="E23" i="8"/>
  <c r="E25" i="8" s="1"/>
  <c r="E29" i="8" s="1"/>
  <c r="L33" i="5"/>
  <c r="L35" i="5" s="1"/>
  <c r="G22" i="8" s="1"/>
  <c r="K35" i="5"/>
  <c r="F2" i="8"/>
  <c r="F5" i="8" s="1"/>
  <c r="M33" i="7"/>
  <c r="G24" i="8"/>
  <c r="B17" i="13" l="1"/>
  <c r="B20" i="13" s="1"/>
  <c r="L5" i="10"/>
  <c r="L9" i="10" s="1"/>
  <c r="L15" i="10" s="1"/>
  <c r="P33" i="10"/>
  <c r="O33" i="10"/>
  <c r="M40" i="10"/>
  <c r="O37" i="9"/>
  <c r="N36" i="10"/>
  <c r="F27" i="13"/>
  <c r="F29" i="13" s="1"/>
  <c r="F30" i="13" s="1"/>
  <c r="F34" i="13" s="1"/>
  <c r="F22" i="8"/>
  <c r="F23" i="8" s="1"/>
  <c r="F25" i="8" s="1"/>
  <c r="F29" i="8" s="1"/>
  <c r="M38" i="9"/>
  <c r="M39" i="9" s="1"/>
  <c r="D16" i="13" s="1"/>
  <c r="C17" i="13"/>
  <c r="C20" i="13" s="1"/>
  <c r="Q33" i="10"/>
  <c r="P35" i="10"/>
  <c r="O39" i="10"/>
  <c r="O37" i="10"/>
  <c r="G23" i="8"/>
  <c r="G25" i="8" s="1"/>
  <c r="G26" i="8" s="1"/>
  <c r="G29" i="8" s="1"/>
  <c r="G10" i="8"/>
  <c r="G11" i="8" s="1"/>
  <c r="G17" i="8" s="1"/>
  <c r="G2" i="8"/>
  <c r="G3" i="8" s="1"/>
  <c r="G5" i="8" s="1"/>
  <c r="B6" i="8" s="1"/>
  <c r="L36" i="5"/>
  <c r="J7" i="7"/>
  <c r="I7" i="5"/>
  <c r="J7" i="5" s="1"/>
  <c r="K7" i="5" s="1"/>
  <c r="L7" i="5" s="1"/>
  <c r="I6" i="5"/>
  <c r="I10" i="5"/>
  <c r="J10" i="5" s="1"/>
  <c r="I8" i="5"/>
  <c r="J8" i="5" s="1"/>
  <c r="J13" i="7"/>
  <c r="I11" i="5"/>
  <c r="J11" i="5" s="1"/>
  <c r="K11" i="5" s="1"/>
  <c r="L11" i="5" s="1"/>
  <c r="I13" i="5"/>
  <c r="J13" i="5" s="1"/>
  <c r="K13" i="5" s="1"/>
  <c r="L13" i="5" s="1"/>
  <c r="I14" i="5"/>
  <c r="J14" i="5" s="1"/>
  <c r="K14" i="5" s="1"/>
  <c r="L14" i="5" s="1"/>
  <c r="H9" i="5"/>
  <c r="H15" i="5" s="1"/>
  <c r="I20" i="7"/>
  <c r="I22" i="7" s="1"/>
  <c r="B11" i="8" s="1"/>
  <c r="I13" i="7"/>
  <c r="N5" i="10" l="1"/>
  <c r="O40" i="10" s="1"/>
  <c r="G27" i="13"/>
  <c r="G29" i="13" s="1"/>
  <c r="G30" i="13" s="1"/>
  <c r="N9" i="10"/>
  <c r="N15" i="10" s="1"/>
  <c r="B30" i="8"/>
  <c r="B33" i="8" s="1"/>
  <c r="J6" i="5"/>
  <c r="K12" i="7"/>
  <c r="J12" i="7"/>
  <c r="J18" i="7" s="1"/>
  <c r="C10" i="8" s="1"/>
  <c r="I5" i="5"/>
  <c r="G2" i="13"/>
  <c r="G3" i="13" s="1"/>
  <c r="G13" i="13"/>
  <c r="G14" i="13" s="1"/>
  <c r="P36" i="10"/>
  <c r="P5" i="10" s="1"/>
  <c r="Q37" i="10"/>
  <c r="Q39" i="10"/>
  <c r="J20" i="7"/>
  <c r="J22" i="7" s="1"/>
  <c r="C11" i="8" s="1"/>
  <c r="N38" i="9"/>
  <c r="N39" i="9" s="1"/>
  <c r="E16" i="13" s="1"/>
  <c r="D17" i="13"/>
  <c r="D20" i="13" s="1"/>
  <c r="I18" i="7"/>
  <c r="B10" i="8" s="1"/>
  <c r="K8" i="5"/>
  <c r="K13" i="7"/>
  <c r="K10" i="5"/>
  <c r="K20" i="7"/>
  <c r="K22" i="7" s="1"/>
  <c r="D11" i="8" s="1"/>
  <c r="K6" i="5"/>
  <c r="K7" i="7"/>
  <c r="G31" i="13" l="1"/>
  <c r="G34" i="13" s="1"/>
  <c r="B36" i="13" s="1"/>
  <c r="B38" i="13" s="1"/>
  <c r="G20" i="13"/>
  <c r="G6" i="13"/>
  <c r="B8" i="13" s="1"/>
  <c r="B10" i="13" s="1"/>
  <c r="Q40" i="10"/>
  <c r="P9" i="10"/>
  <c r="P15" i="10" s="1"/>
  <c r="J38" i="7"/>
  <c r="I9" i="5"/>
  <c r="I15" i="5" s="1"/>
  <c r="O38" i="9"/>
  <c r="O39" i="9" s="1"/>
  <c r="E17" i="13"/>
  <c r="E20" i="13" s="1"/>
  <c r="K5" i="5"/>
  <c r="K9" i="5" s="1"/>
  <c r="K15" i="5" s="1"/>
  <c r="L12" i="7"/>
  <c r="J5" i="5"/>
  <c r="I34" i="7"/>
  <c r="I36" i="7" s="1"/>
  <c r="L7" i="7"/>
  <c r="K18" i="7"/>
  <c r="D10" i="8" s="1"/>
  <c r="L6" i="5"/>
  <c r="M12" i="7" s="1"/>
  <c r="J34" i="7"/>
  <c r="L20" i="7"/>
  <c r="L22" i="7" s="1"/>
  <c r="E11" i="8" s="1"/>
  <c r="L10" i="5"/>
  <c r="M20" i="7" s="1"/>
  <c r="M22" i="7" s="1"/>
  <c r="F11" i="8" s="1"/>
  <c r="L13" i="7"/>
  <c r="L8" i="5"/>
  <c r="M13" i="7" s="1"/>
  <c r="F16" i="13" l="1"/>
  <c r="B13" i="8"/>
  <c r="B14" i="8" s="1"/>
  <c r="B17" i="8" s="1"/>
  <c r="K38" i="7"/>
  <c r="J9" i="5"/>
  <c r="J15" i="5" s="1"/>
  <c r="L5" i="5"/>
  <c r="L38" i="7"/>
  <c r="J35" i="7"/>
  <c r="J36" i="7" s="1"/>
  <c r="C13" i="8"/>
  <c r="C14" i="8" s="1"/>
  <c r="C17" i="8" s="1"/>
  <c r="K34" i="7"/>
  <c r="M7" i="7"/>
  <c r="M18" i="7" s="1"/>
  <c r="F10" i="8" s="1"/>
  <c r="L18" i="7"/>
  <c r="E10" i="8" s="1"/>
  <c r="F17" i="13" l="1"/>
  <c r="F20" i="13" s="1"/>
  <c r="B22" i="13" s="1"/>
  <c r="B24" i="13" s="1"/>
  <c r="M38" i="7"/>
  <c r="L9" i="5"/>
  <c r="L15" i="5" s="1"/>
  <c r="K35" i="7"/>
  <c r="K36" i="7" s="1"/>
  <c r="L34" i="7"/>
  <c r="M34" i="7"/>
  <c r="D13" i="8"/>
  <c r="D14" i="8" s="1"/>
  <c r="D17" i="8" s="1"/>
  <c r="L35" i="7" l="1"/>
  <c r="L36" i="7" s="1"/>
  <c r="F13" i="8"/>
  <c r="F14" i="8" s="1"/>
  <c r="F17" i="8" s="1"/>
  <c r="E13" i="8"/>
  <c r="E14" i="8" s="1"/>
  <c r="E17" i="8" s="1"/>
  <c r="B18" i="8" l="1"/>
  <c r="M35" i="7"/>
  <c r="M36" i="7" s="1"/>
</calcChain>
</file>

<file path=xl/sharedStrings.xml><?xml version="1.0" encoding="utf-8"?>
<sst xmlns="http://schemas.openxmlformats.org/spreadsheetml/2006/main" count="317" uniqueCount="157">
  <si>
    <t>Balance Sheet</t>
  </si>
  <si>
    <t>For the Year Ended</t>
  </si>
  <si>
    <t>Preliminary Forecast</t>
  </si>
  <si>
    <t>ASSETS</t>
  </si>
  <si>
    <t>Assumptions:</t>
  </si>
  <si>
    <t>Current assets:</t>
  </si>
  <si>
    <t>Cash and cash equivalents</t>
  </si>
  <si>
    <t>Remain constant.</t>
  </si>
  <si>
    <t>Merchandise inventories</t>
  </si>
  <si>
    <t>Inventories remain the same percentage of current year COGS as in prior year. Inventories are built up to facilitate sales, which flow into COGS.</t>
  </si>
  <si>
    <t>Income taxes receivable</t>
  </si>
  <si>
    <t>Prepaid expenses and other current assets</t>
  </si>
  <si>
    <t>Other current assets remain constant because these values are difficult to forecast and fluctuate randomly.</t>
  </si>
  <si>
    <t>Total current assets</t>
  </si>
  <si>
    <t>Net property and equipment</t>
  </si>
  <si>
    <t>PP&amp;E is used to generate sales and will grow along with sales.</t>
  </si>
  <si>
    <t>Operating lease assets</t>
  </si>
  <si>
    <t>Other non-current assets remain constant in future years as they are difficult to predict.</t>
  </si>
  <si>
    <t>Goodwill</t>
  </si>
  <si>
    <t>Goodwill Is usually straightlined unless there is future goodwill impairement or future acquisitions where DG pays in excess of the fair market value. We predict neither of these to occur</t>
  </si>
  <si>
    <t>Other intangible assets, net</t>
  </si>
  <si>
    <t>Other assets, net</t>
  </si>
  <si>
    <t>Total assets</t>
  </si>
  <si>
    <t>LIABILITIES AND SHAREHOLDERS EQUITY</t>
  </si>
  <si>
    <t>Current liabilities:</t>
  </si>
  <si>
    <t>Current portion of operating lease liabilities</t>
  </si>
  <si>
    <t>Long-term debt remains constant.</t>
  </si>
  <si>
    <t>Accounts payable</t>
  </si>
  <si>
    <t>Remains the same percentage of current year Cost of Goods Sold as in 2022 because this is the amount DG owes suppliers for purchases of products sold during the year.</t>
  </si>
  <si>
    <t>Accrued expenses and other</t>
  </si>
  <si>
    <t>Other Current Liabilities remains the same percentage of current year SG&amp;A Expense as 2022 because these payables are related to daily operations tied to store expenses.</t>
  </si>
  <si>
    <t>Income taxes payable</t>
  </si>
  <si>
    <t>Other Current Liabilities remains the same percentage of current year SG&amp;A Expense as 2022 because these payables are related to daily operations tied to employee expenses.</t>
  </si>
  <si>
    <t>Total current liabilities</t>
  </si>
  <si>
    <t>Long-term obligations</t>
  </si>
  <si>
    <t>Long-term debt remains constant as DG cannot reasonably estimate future years.</t>
  </si>
  <si>
    <t>Long-term operating lease liabilities</t>
  </si>
  <si>
    <t>Deferred income taxes</t>
  </si>
  <si>
    <t xml:space="preserve">Deferred Income tax stays constant at 2% of net sales based on historical data </t>
  </si>
  <si>
    <t>Other liabilities</t>
  </si>
  <si>
    <t>Commitments and contingencies</t>
  </si>
  <si>
    <t>Shareholders' equity:</t>
  </si>
  <si>
    <t>Preferred stock</t>
  </si>
  <si>
    <t>-</t>
  </si>
  <si>
    <t>Common stock</t>
  </si>
  <si>
    <t>Additional paid-in capital</t>
  </si>
  <si>
    <t>Retained earnings</t>
  </si>
  <si>
    <t>Based on assumption of dividend payout rate.</t>
  </si>
  <si>
    <t>Accumulated other comprehensive loss</t>
  </si>
  <si>
    <t>Remains constant because this item includes changes in derivative instruments and other unpredictable fluctuations.</t>
  </si>
  <si>
    <t>Total shareholders' equity</t>
  </si>
  <si>
    <t>Total liabilities and shareholders' equity</t>
  </si>
  <si>
    <t>Statement of Cash Flows</t>
  </si>
  <si>
    <t>Cash flows from operating activities:</t>
  </si>
  <si>
    <t>Net income</t>
  </si>
  <si>
    <t>Adjustments to reconcile net income to net cash from operating activities</t>
  </si>
  <si>
    <t>Depreciation and amortization</t>
  </si>
  <si>
    <t>Loss on debt retirement</t>
  </si>
  <si>
    <t>Noncash share-based compensation</t>
  </si>
  <si>
    <t>Other noncash (gains) and losses</t>
  </si>
  <si>
    <t>Accrued expenses and other liabilities</t>
  </si>
  <si>
    <t>Income taxes</t>
  </si>
  <si>
    <t>Other</t>
  </si>
  <si>
    <t>Net cash provided by (used in) operating activities</t>
  </si>
  <si>
    <t>Cash flows from investing activities:</t>
  </si>
  <si>
    <t>Purchases of property and equipment</t>
  </si>
  <si>
    <t>Proceeds from sales of property and equipment</t>
  </si>
  <si>
    <t>Net cash provided by (used in) investing activties</t>
  </si>
  <si>
    <t>Cash flows from financing activties:</t>
  </si>
  <si>
    <t>Issuance of long-term obligations</t>
  </si>
  <si>
    <t>Repayments of long-term obligations</t>
  </si>
  <si>
    <t>Net increase (decrease) in commercial paper outstanding</t>
  </si>
  <si>
    <t>Borrowings under revolving credit facilities</t>
  </si>
  <si>
    <t>Repayments of borrowings under revoloving credit facilities</t>
  </si>
  <si>
    <t>Costs associated with issuance of debt</t>
  </si>
  <si>
    <t>Repurchases of common stock</t>
  </si>
  <si>
    <t>Payments of cash dividends</t>
  </si>
  <si>
    <t>Other equity and related transactions</t>
  </si>
  <si>
    <t>Net cash provided by (used in) financing activities</t>
  </si>
  <si>
    <t>Net increase (decrease) in cash and cash equivalents</t>
  </si>
  <si>
    <t>Cash and cash equivalents, beginning of period</t>
  </si>
  <si>
    <t>Cash and cash equivalents, end of period</t>
  </si>
  <si>
    <t xml:space="preserve">Change in cash on balance sheet: </t>
  </si>
  <si>
    <t>DDM</t>
  </si>
  <si>
    <t>Risk-Free Rate</t>
  </si>
  <si>
    <t>Based on 10 year T-Yield</t>
  </si>
  <si>
    <t>Dividend</t>
  </si>
  <si>
    <t>Expected Return</t>
  </si>
  <si>
    <t>Averaged from multiple analysts</t>
  </si>
  <si>
    <t>Perpetuity</t>
  </si>
  <si>
    <t>Market Premium</t>
  </si>
  <si>
    <t>Discount Rate</t>
  </si>
  <si>
    <t>Beta</t>
  </si>
  <si>
    <t>PV Dividend</t>
  </si>
  <si>
    <t>Cost of Equity</t>
  </si>
  <si>
    <t>CAPM</t>
  </si>
  <si>
    <t>Value of Equity</t>
  </si>
  <si>
    <t>Long-Term Growth</t>
  </si>
  <si>
    <t>FCF</t>
  </si>
  <si>
    <t>CFO</t>
  </si>
  <si>
    <t>CFI</t>
  </si>
  <si>
    <t>Debt</t>
  </si>
  <si>
    <t>Change in Cash</t>
  </si>
  <si>
    <t>Free Cash Flow</t>
  </si>
  <si>
    <t>PV Cash Flow</t>
  </si>
  <si>
    <t>RIM</t>
  </si>
  <si>
    <t>Beginning Equity</t>
  </si>
  <si>
    <t>Required Income</t>
  </si>
  <si>
    <t>Forcasted Income</t>
  </si>
  <si>
    <t>Residual Income</t>
  </si>
  <si>
    <t>PV Residual Income</t>
  </si>
  <si>
    <t>Shares Outstanding</t>
  </si>
  <si>
    <t>Value per Share</t>
  </si>
  <si>
    <t>Income Statement</t>
  </si>
  <si>
    <t>Growth rate 2023-2024</t>
  </si>
  <si>
    <t>Net sales</t>
  </si>
  <si>
    <t>Growth rate 2025-2026</t>
  </si>
  <si>
    <t>Cost of goods sold</t>
  </si>
  <si>
    <t>Growth rate 2027 (long-term)</t>
  </si>
  <si>
    <t>Gross profit</t>
  </si>
  <si>
    <t>Dividend payout rate</t>
  </si>
  <si>
    <t>Selling, general, and administrative expenses</t>
  </si>
  <si>
    <t>Operating profit</t>
  </si>
  <si>
    <t>Interest expense</t>
  </si>
  <si>
    <t>Other (income) expense</t>
  </si>
  <si>
    <t>Income before income taxes</t>
  </si>
  <si>
    <t>Income tax expense</t>
  </si>
  <si>
    <t>Change from 22 to 23</t>
  </si>
  <si>
    <t>Change from 23 to 24</t>
  </si>
  <si>
    <t>Change from 24 to 25</t>
  </si>
  <si>
    <t>Change from 25 to 26</t>
  </si>
  <si>
    <t>Change from 26 to 27</t>
  </si>
  <si>
    <t>Increase 4% annually due to plan to open 1k new stores annually, with 18k current stores.</t>
  </si>
  <si>
    <t>Change 22-23</t>
  </si>
  <si>
    <t>Change 23-24</t>
  </si>
  <si>
    <t>Change 24-25</t>
  </si>
  <si>
    <t>Change 25-26</t>
  </si>
  <si>
    <t>Change 26-27</t>
  </si>
  <si>
    <t>Change in cash from summing change column (excludes cash account)</t>
  </si>
  <si>
    <t>Change in cash (cash ending - cash beginning)</t>
  </si>
  <si>
    <t xml:space="preserve">Resolve company forecasts by end of 11/05
Before reaching out to professor, figure out if we can solve on our own
AFter 1st forecast year for balance sheet, insert a column. In this column, go to every balance sheet account and put formula in that computes a change (beginning - ending). On assets side, if BS item increases, this formula should produce negative +. Oposite on liability / equity side. Do not include subtotals / totals. Do not put formula in for cash. Then, put sum formula and add column up. This sumn should show the change in cash. If you account for all of these changes in cash flow statement, AND NOTHING ELSE, cash flow statement change should match. 
Compare this column to cash flow forecast. Make sure exact correlation between BS changes, and CF statement. 
</t>
  </si>
  <si>
    <t xml:space="preserve">Beginning RE + NI </t>
  </si>
  <si>
    <t>MATCH UP COLUMN</t>
  </si>
  <si>
    <t>Income Taxes Receivable</t>
  </si>
  <si>
    <t>Income Taxes Payable</t>
  </si>
  <si>
    <t>Increase in Operating Lease Liabilities</t>
  </si>
  <si>
    <t>Issuance of Common Stock</t>
  </si>
  <si>
    <t>Change in cash:</t>
  </si>
  <si>
    <t>2028 (perpetuity)</t>
  </si>
  <si>
    <t>Risk-free rate</t>
  </si>
  <si>
    <t>Expected return</t>
  </si>
  <si>
    <t>Market premium</t>
  </si>
  <si>
    <t>Cost of equity "r"</t>
  </si>
  <si>
    <t>Long-term growth rate "g"</t>
  </si>
  <si>
    <t>Shares outstanding</t>
  </si>
  <si>
    <t>Value per share</t>
  </si>
  <si>
    <t>Forecasted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</si>
</sst>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164" formatCode="&quot;$&quot;#,##0.00"/>
    <numFmt numFmtId="165" formatCode="[$-409]d\-mmm\-yyyy;@"/>
    <numFmt numFmtId="166" formatCode="0.000"/>
    <numFmt numFmtId="167" formatCode="0.0000"/>
    <numFmt numFmtId="168" formatCode="_(&quot;$&quot;* #,##0.0000_);_(&quot;$&quot;* \(#,##0.0000\);_(&quot;$&quot;* &quot;-&quot;????_);_(@_)"/>
    <numFmt numFmtId="169" formatCode="_(&quot;$&quot;* #,##0.00_);_(&quot;$&quot;* \(#,##0.00\);_(&quot;$&quot;* &quot;-&quot;????_);_(@_)"/>
    <numFmt numFmtId="170" formatCode="_(* #,##0_);_(* \(#,##0\);_(* &quot;-&quot;??_);_(@_)"/>
    <numFmt numFmtId="171" formatCode="0.000000000"/>
    <numFmt numFmtId="172" formatCode="_(&quot;$&quot;* #,##0_);_(&quot;$&quot;* \(#,##0\);_(&quot;$&quot;* &quot;-&quot;??_);_(@_)"/>
  </numFmts>
  <fonts count="7" x14ac:knownFonts="1">
    <font>
      <sz val="12"/>
      <color theme="1"/>
      <name val="Calibri"/>
      <family val="2"/>
      <scheme val="minor"/>
    </font>
    <font>
      <b/>
      <sz val="12"/>
      <color theme="1"/>
      <name val="Calibri"/>
      <family val="2"/>
      <scheme val="minor"/>
    </font>
    <font>
      <i/>
      <sz val="12"/>
      <color theme="1"/>
      <name val="Calibri"/>
      <family val="2"/>
      <scheme val="minor"/>
    </font>
    <font>
      <b/>
      <sz val="12"/>
      <color rgb="FF000000"/>
      <name val="Calibri"/>
      <family val="2"/>
      <scheme val="minor"/>
    </font>
    <font>
      <sz val="12"/>
      <color theme="1"/>
      <name val="Calibri"/>
      <family val="2"/>
      <scheme val="minor"/>
    </font>
    <font>
      <u/>
      <sz val="12"/>
      <color theme="1"/>
      <name val="Calibri"/>
      <family val="2"/>
      <scheme val="minor"/>
    </font>
    <font>
      <sz val="12"/>
      <color rgb="FF00000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FF"/>
        <bgColor indexed="64"/>
      </patternFill>
    </fill>
    <fill>
      <patternFill patternType="solid">
        <fgColor rgb="FFFFFF00"/>
        <bgColor indexed="64"/>
      </patternFill>
    </fill>
  </fills>
  <borders count="12">
    <border>
      <left/>
      <right/>
      <top/>
      <bottom/>
      <diagonal/>
    </border>
    <border>
      <left/>
      <right/>
      <top/>
      <bottom style="thin">
        <color indexed="64"/>
      </bottom>
      <diagonal/>
    </border>
    <border>
      <left/>
      <right/>
      <top style="thin">
        <color indexed="64"/>
      </top>
      <bottom style="medium">
        <color indexed="64"/>
      </bottom>
      <diagonal/>
    </border>
    <border>
      <left/>
      <right/>
      <top/>
      <bottom style="thin">
        <color rgb="FF000000"/>
      </bottom>
      <diagonal/>
    </border>
    <border>
      <left/>
      <right/>
      <top style="thin">
        <color rgb="FF000000"/>
      </top>
      <bottom/>
      <diagonal/>
    </border>
    <border>
      <left/>
      <right/>
      <top style="thin">
        <color rgb="FF000000"/>
      </top>
      <bottom style="medium">
        <color indexed="64"/>
      </bottom>
      <diagonal/>
    </border>
    <border>
      <left/>
      <right/>
      <top style="thin">
        <color rgb="FF000000"/>
      </top>
      <bottom style="double">
        <color rgb="FF000000"/>
      </bottom>
      <diagonal/>
    </border>
    <border>
      <left/>
      <right/>
      <top style="thin">
        <color rgb="FF000000"/>
      </top>
      <bottom style="medium">
        <color rgb="FF000000"/>
      </bottom>
      <diagonal/>
    </border>
    <border>
      <left/>
      <right/>
      <top style="thin">
        <color indexed="64"/>
      </top>
      <bottom style="thin">
        <color indexed="64"/>
      </bottom>
      <diagonal/>
    </border>
    <border>
      <left/>
      <right/>
      <top/>
      <bottom style="double">
        <color rgb="FF000000"/>
      </bottom>
      <diagonal/>
    </border>
    <border>
      <left/>
      <right/>
      <top style="thin">
        <color indexed="64"/>
      </top>
      <bottom/>
      <diagonal/>
    </border>
    <border>
      <left/>
      <right/>
      <top/>
      <bottom style="double">
        <color indexed="64"/>
      </bottom>
      <diagonal/>
    </border>
  </borders>
  <cellStyleXfs count="2">
    <xf numFmtId="0" fontId="0" fillId="0" borderId="0"/>
    <xf numFmtId="9" fontId="4" fillId="0" borderId="0" applyFont="0" applyFill="0" applyBorder="0" applyAlignment="0" applyProtection="0"/>
  </cellStyleXfs>
  <cellXfs count="98">
    <xf numFmtId="0" fontId="0" fillId="0" borderId="0" xfId="0"/>
    <xf numFmtId="44" fontId="0" fillId="0" borderId="0" xfId="0" applyNumberFormat="1"/>
    <xf numFmtId="0" fontId="2" fillId="0" borderId="0" xfId="0" applyFont="1"/>
    <xf numFmtId="44" fontId="0" fillId="0" borderId="1" xfId="0" applyNumberFormat="1" applyBorder="1"/>
    <xf numFmtId="44" fontId="0" fillId="0" borderId="2" xfId="0" applyNumberFormat="1" applyBorder="1"/>
    <xf numFmtId="0" fontId="1" fillId="0" borderId="0" xfId="0" applyFont="1"/>
    <xf numFmtId="4" fontId="0" fillId="0" borderId="0" xfId="0" applyNumberFormat="1"/>
    <xf numFmtId="164" fontId="0" fillId="0" borderId="0" xfId="0" applyNumberFormat="1"/>
    <xf numFmtId="164" fontId="0" fillId="0" borderId="1" xfId="0" applyNumberFormat="1" applyBorder="1"/>
    <xf numFmtId="44" fontId="0" fillId="0" borderId="3" xfId="0" applyNumberFormat="1" applyBorder="1"/>
    <xf numFmtId="164" fontId="0" fillId="0" borderId="3" xfId="0" applyNumberFormat="1" applyBorder="1"/>
    <xf numFmtId="44" fontId="0" fillId="0" borderId="4" xfId="0" applyNumberFormat="1" applyBorder="1"/>
    <xf numFmtId="44" fontId="0" fillId="0" borderId="5" xfId="0" applyNumberFormat="1" applyBorder="1"/>
    <xf numFmtId="44" fontId="0" fillId="0" borderId="6" xfId="0" applyNumberFormat="1" applyBorder="1"/>
    <xf numFmtId="44" fontId="0" fillId="0" borderId="7" xfId="0" applyNumberFormat="1" applyBorder="1"/>
    <xf numFmtId="15" fontId="1" fillId="0" borderId="0" xfId="0" applyNumberFormat="1" applyFont="1"/>
    <xf numFmtId="15" fontId="1" fillId="0" borderId="3" xfId="0" applyNumberFormat="1" applyFont="1" applyBorder="1"/>
    <xf numFmtId="165" fontId="1" fillId="0" borderId="3" xfId="0" applyNumberFormat="1" applyFont="1" applyBorder="1"/>
    <xf numFmtId="44" fontId="1" fillId="0" borderId="0" xfId="0" applyNumberFormat="1" applyFont="1"/>
    <xf numFmtId="10" fontId="0" fillId="0" borderId="0" xfId="0" applyNumberFormat="1"/>
    <xf numFmtId="0" fontId="0" fillId="0" borderId="0" xfId="0" applyAlignment="1">
      <alignment horizontal="center"/>
    </xf>
    <xf numFmtId="15" fontId="1" fillId="0" borderId="1" xfId="0" applyNumberFormat="1" applyFont="1" applyBorder="1"/>
    <xf numFmtId="165" fontId="1" fillId="0" borderId="1" xfId="0" applyNumberFormat="1" applyFont="1" applyBorder="1"/>
    <xf numFmtId="0" fontId="3" fillId="2" borderId="1" xfId="0" applyFont="1" applyFill="1" applyBorder="1"/>
    <xf numFmtId="44" fontId="0" fillId="0" borderId="8" xfId="0" applyNumberFormat="1" applyBorder="1"/>
    <xf numFmtId="9" fontId="0" fillId="0" borderId="0" xfId="1" applyFont="1"/>
    <xf numFmtId="44" fontId="0" fillId="0" borderId="0" xfId="0" quotePrefix="1" applyNumberFormat="1"/>
    <xf numFmtId="0" fontId="0" fillId="3" borderId="0" xfId="0" applyFill="1"/>
    <xf numFmtId="0" fontId="0" fillId="2" borderId="0" xfId="0" applyFill="1"/>
    <xf numFmtId="2" fontId="0" fillId="0" borderId="0" xfId="0" applyNumberFormat="1"/>
    <xf numFmtId="166" fontId="0" fillId="0" borderId="0" xfId="0" applyNumberFormat="1"/>
    <xf numFmtId="167" fontId="0" fillId="0" borderId="0" xfId="0" applyNumberFormat="1"/>
    <xf numFmtId="0" fontId="3" fillId="2" borderId="0" xfId="0" applyFont="1" applyFill="1"/>
    <xf numFmtId="168" fontId="0" fillId="0" borderId="0" xfId="0" applyNumberFormat="1"/>
    <xf numFmtId="0" fontId="0" fillId="0" borderId="3" xfId="0" applyBorder="1"/>
    <xf numFmtId="169" fontId="0" fillId="0" borderId="0" xfId="0" applyNumberFormat="1"/>
    <xf numFmtId="169" fontId="0" fillId="0" borderId="9" xfId="0" applyNumberFormat="1" applyBorder="1"/>
    <xf numFmtId="170" fontId="0" fillId="0" borderId="0" xfId="0" applyNumberFormat="1"/>
    <xf numFmtId="44" fontId="0" fillId="0" borderId="0" xfId="1" applyNumberFormat="1" applyFont="1"/>
    <xf numFmtId="44" fontId="0" fillId="3" borderId="0" xfId="0" applyNumberFormat="1" applyFill="1"/>
    <xf numFmtId="0" fontId="0" fillId="0" borderId="0" xfId="0" applyAlignment="1">
      <alignment horizontal="right"/>
    </xf>
    <xf numFmtId="44" fontId="0" fillId="4" borderId="0" xfId="0" applyNumberFormat="1" applyFill="1"/>
    <xf numFmtId="44" fontId="0" fillId="4" borderId="2" xfId="0" applyNumberFormat="1" applyFill="1" applyBorder="1"/>
    <xf numFmtId="0" fontId="3" fillId="4" borderId="0" xfId="0" applyFont="1" applyFill="1"/>
    <xf numFmtId="44" fontId="0" fillId="0" borderId="0" xfId="0" applyNumberFormat="1" applyAlignment="1">
      <alignment horizontal="right"/>
    </xf>
    <xf numFmtId="0" fontId="2" fillId="4" borderId="0" xfId="0" applyFont="1" applyFill="1"/>
    <xf numFmtId="44" fontId="0" fillId="0" borderId="10" xfId="0" applyNumberFormat="1" applyBorder="1"/>
    <xf numFmtId="44" fontId="0" fillId="4" borderId="11" xfId="0" applyNumberFormat="1" applyFill="1" applyBorder="1"/>
    <xf numFmtId="171" fontId="0" fillId="0" borderId="0" xfId="0" applyNumberFormat="1"/>
    <xf numFmtId="0" fontId="1" fillId="2" borderId="0" xfId="0" applyFont="1" applyFill="1"/>
    <xf numFmtId="44" fontId="6" fillId="0" borderId="0" xfId="0" applyNumberFormat="1" applyFont="1"/>
    <xf numFmtId="9" fontId="0" fillId="0" borderId="0" xfId="0" applyNumberFormat="1"/>
    <xf numFmtId="9" fontId="0" fillId="0" borderId="0" xfId="1" applyFont="1" applyAlignment="1">
      <alignment horizontal="right"/>
    </xf>
    <xf numFmtId="10" fontId="1" fillId="0" borderId="0" xfId="0" applyNumberFormat="1" applyFont="1" applyAlignment="1">
      <alignment horizontal="right"/>
    </xf>
    <xf numFmtId="0" fontId="1" fillId="0" borderId="0" xfId="0" applyFont="1" applyAlignment="1">
      <alignment horizontal="right"/>
    </xf>
    <xf numFmtId="9" fontId="0" fillId="0" borderId="0" xfId="0" applyNumberFormat="1" applyAlignment="1">
      <alignment horizontal="right"/>
    </xf>
    <xf numFmtId="9" fontId="4" fillId="0" borderId="0" xfId="1" applyFont="1" applyAlignment="1">
      <alignment horizontal="right"/>
    </xf>
    <xf numFmtId="164" fontId="0" fillId="0" borderId="0" xfId="0" applyNumberFormat="1" applyAlignment="1">
      <alignment horizontal="right"/>
    </xf>
    <xf numFmtId="15" fontId="0" fillId="0" borderId="0" xfId="0" applyNumberFormat="1" applyAlignment="1">
      <alignment horizontal="right"/>
    </xf>
    <xf numFmtId="10" fontId="0" fillId="0" borderId="0" xfId="1" applyNumberFormat="1" applyFont="1" applyAlignment="1">
      <alignment horizontal="right"/>
    </xf>
    <xf numFmtId="166" fontId="0" fillId="0" borderId="0" xfId="1" applyNumberFormat="1" applyFont="1" applyAlignment="1">
      <alignment horizontal="right"/>
    </xf>
    <xf numFmtId="167" fontId="0" fillId="0" borderId="0" xfId="1" applyNumberFormat="1" applyFont="1" applyAlignment="1">
      <alignment horizontal="right"/>
    </xf>
    <xf numFmtId="164" fontId="0" fillId="3" borderId="1" xfId="0" applyNumberFormat="1" applyFill="1" applyBorder="1"/>
    <xf numFmtId="44" fontId="0" fillId="3" borderId="1" xfId="0" applyNumberFormat="1" applyFill="1" applyBorder="1"/>
    <xf numFmtId="44" fontId="0" fillId="3" borderId="8" xfId="0" applyNumberFormat="1" applyFill="1" applyBorder="1"/>
    <xf numFmtId="2" fontId="0" fillId="0" borderId="0" xfId="1" applyNumberFormat="1" applyFont="1" applyAlignment="1">
      <alignment horizontal="right"/>
    </xf>
    <xf numFmtId="2" fontId="1" fillId="0" borderId="0" xfId="0" applyNumberFormat="1" applyFont="1"/>
    <xf numFmtId="9" fontId="0" fillId="0" borderId="0" xfId="1" applyFont="1" applyAlignment="1"/>
    <xf numFmtId="0" fontId="0" fillId="0" borderId="0" xfId="1" applyNumberFormat="1" applyFont="1" applyAlignment="1"/>
    <xf numFmtId="0" fontId="0" fillId="0" borderId="0" xfId="1" applyNumberFormat="1" applyFont="1"/>
    <xf numFmtId="15" fontId="0" fillId="0" borderId="0" xfId="0" applyNumberFormat="1"/>
    <xf numFmtId="2" fontId="0" fillId="0" borderId="0" xfId="1" applyNumberFormat="1" applyFont="1"/>
    <xf numFmtId="172" fontId="0" fillId="0" borderId="0" xfId="0" applyNumberFormat="1"/>
    <xf numFmtId="10" fontId="0" fillId="0" borderId="0" xfId="1" applyNumberFormat="1" applyFont="1"/>
    <xf numFmtId="44" fontId="0" fillId="0" borderId="0" xfId="0" applyNumberFormat="1" applyAlignment="1">
      <alignment horizontal="center"/>
    </xf>
    <xf numFmtId="0" fontId="0" fillId="0" borderId="0" xfId="0" applyAlignment="1">
      <alignment horizontal="center"/>
    </xf>
    <xf numFmtId="9" fontId="0" fillId="0" borderId="0" xfId="1" applyFont="1" applyAlignment="1">
      <alignment horizontal="center"/>
    </xf>
    <xf numFmtId="0" fontId="0" fillId="0" borderId="0" xfId="0" applyFill="1"/>
    <xf numFmtId="44" fontId="0" fillId="0" borderId="0" xfId="0" applyNumberFormat="1" applyFill="1"/>
    <xf numFmtId="44" fontId="0" fillId="0" borderId="3" xfId="0" applyNumberFormat="1" applyFill="1" applyBorder="1"/>
    <xf numFmtId="44" fontId="0" fillId="0" borderId="1" xfId="0" applyNumberFormat="1" applyFill="1" applyBorder="1"/>
    <xf numFmtId="44" fontId="0" fillId="0" borderId="8" xfId="0" applyNumberFormat="1" applyFill="1" applyBorder="1"/>
    <xf numFmtId="166" fontId="0" fillId="0" borderId="0" xfId="0" applyNumberFormat="1" applyFill="1"/>
    <xf numFmtId="44" fontId="0" fillId="0" borderId="2" xfId="0" applyNumberFormat="1" applyFill="1" applyBorder="1"/>
    <xf numFmtId="0" fontId="3" fillId="0" borderId="0" xfId="0" applyFont="1" applyFill="1"/>
    <xf numFmtId="164" fontId="0" fillId="0" borderId="0" xfId="0" applyNumberFormat="1" applyFill="1"/>
    <xf numFmtId="9" fontId="0" fillId="0" borderId="0" xfId="1" applyFont="1" applyFill="1"/>
    <xf numFmtId="44" fontId="0" fillId="0" borderId="0" xfId="1" applyNumberFormat="1" applyFont="1" applyFill="1" applyAlignment="1">
      <alignment horizontal="right"/>
    </xf>
    <xf numFmtId="44" fontId="0" fillId="0" borderId="0" xfId="1" applyNumberFormat="1" applyFont="1" applyFill="1"/>
    <xf numFmtId="0" fontId="0" fillId="0" borderId="0" xfId="0" applyFill="1" applyAlignment="1">
      <alignment horizontal="right"/>
    </xf>
    <xf numFmtId="9" fontId="0" fillId="0" borderId="0" xfId="1" applyFont="1" applyFill="1" applyAlignment="1">
      <alignment horizontal="left" vertical="top" wrapText="1"/>
    </xf>
    <xf numFmtId="9" fontId="0" fillId="0" borderId="0" xfId="1" applyFont="1" applyFill="1" applyAlignment="1">
      <alignment horizontal="left" vertical="top"/>
    </xf>
    <xf numFmtId="0" fontId="5" fillId="0" borderId="0" xfId="0" applyFont="1" applyFill="1"/>
    <xf numFmtId="2" fontId="0" fillId="0" borderId="0" xfId="0" applyNumberFormat="1" applyFill="1"/>
    <xf numFmtId="0" fontId="2" fillId="0" borderId="0" xfId="0" applyFont="1" applyFill="1"/>
    <xf numFmtId="44" fontId="0" fillId="0" borderId="6" xfId="0" applyNumberFormat="1" applyFill="1" applyBorder="1"/>
    <xf numFmtId="0" fontId="1" fillId="0" borderId="0" xfId="0" applyFont="1" applyFill="1"/>
    <xf numFmtId="44" fontId="0" fillId="0" borderId="0" xfId="0" applyNumberFormat="1" applyFill="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F0E75-72CB-4544-99A4-DC7CA2AC0BEE}">
  <dimension ref="A1:M62"/>
  <sheetViews>
    <sheetView showGridLines="0" zoomScale="90" workbookViewId="0">
      <pane xSplit="2" topLeftCell="D1" activePane="topRight" state="frozen"/>
      <selection pane="topRight"/>
    </sheetView>
  </sheetViews>
  <sheetFormatPr baseColWidth="10" defaultColWidth="11" defaultRowHeight="16" x14ac:dyDescent="0.2"/>
  <cols>
    <col min="1" max="1" width="2.83203125" customWidth="1"/>
    <col min="2" max="2" width="37.6640625" bestFit="1" customWidth="1"/>
    <col min="3" max="4" width="16.33203125" bestFit="1" customWidth="1"/>
    <col min="5" max="5" width="16.33203125" customWidth="1"/>
    <col min="6" max="7" width="16.33203125" style="1" bestFit="1" customWidth="1"/>
    <col min="8" max="12" width="16.33203125" bestFit="1" customWidth="1"/>
  </cols>
  <sheetData>
    <row r="1" spans="1:13" x14ac:dyDescent="0.2">
      <c r="A1" s="5" t="s">
        <v>0</v>
      </c>
    </row>
    <row r="2" spans="1:13" x14ac:dyDescent="0.2">
      <c r="C2" s="74" t="s">
        <v>1</v>
      </c>
      <c r="D2" s="74"/>
      <c r="E2" s="74"/>
      <c r="F2" s="74"/>
      <c r="G2"/>
      <c r="H2" s="75" t="s">
        <v>2</v>
      </c>
      <c r="I2" s="75"/>
      <c r="J2" s="75"/>
      <c r="K2" s="75"/>
      <c r="L2" s="75"/>
    </row>
    <row r="3" spans="1:13" x14ac:dyDescent="0.2">
      <c r="A3" s="5" t="s">
        <v>3</v>
      </c>
      <c r="C3" s="21">
        <v>43129</v>
      </c>
      <c r="D3" s="21">
        <v>43494</v>
      </c>
      <c r="E3" s="21">
        <v>43861</v>
      </c>
      <c r="F3" s="21">
        <v>44225</v>
      </c>
      <c r="G3" s="21">
        <v>44589</v>
      </c>
      <c r="H3" s="23">
        <v>2023</v>
      </c>
      <c r="I3" s="23">
        <v>2024</v>
      </c>
      <c r="J3" s="23">
        <v>2025</v>
      </c>
      <c r="K3" s="23">
        <v>2026</v>
      </c>
      <c r="L3" s="23">
        <v>2027</v>
      </c>
      <c r="M3" t="s">
        <v>4</v>
      </c>
    </row>
    <row r="4" spans="1:13" x14ac:dyDescent="0.2">
      <c r="A4" t="s">
        <v>5</v>
      </c>
      <c r="E4" s="1"/>
    </row>
    <row r="5" spans="1:13" x14ac:dyDescent="0.2">
      <c r="B5" t="s">
        <v>6</v>
      </c>
      <c r="C5" s="7">
        <v>267441</v>
      </c>
      <c r="D5" s="7">
        <v>235487</v>
      </c>
      <c r="E5" s="1">
        <v>240320</v>
      </c>
      <c r="F5" s="1">
        <v>1376577</v>
      </c>
      <c r="G5" s="1">
        <v>344829</v>
      </c>
      <c r="H5" s="1">
        <f>H36-H6-H7-H8-H10-H11-H12-H13-H14</f>
        <v>2091453.8221675828</v>
      </c>
      <c r="I5" s="1">
        <f>I36-I6-I7-I8-I10-I11-I12-I13-I14</f>
        <v>2041825.2600000016</v>
      </c>
      <c r="J5" s="1">
        <f>J36-J6-J7-J8-J10-J11-J12-J13-J14</f>
        <v>6224642.3853633776</v>
      </c>
      <c r="K5" s="1">
        <f>K36-K6-K7-K8-K10-K11-K12-K13-K14</f>
        <v>1263926.6047739983</v>
      </c>
      <c r="L5" s="1">
        <f>L36-L6-L7-L8-L10-L11-L12-L13-L14</f>
        <v>11240496.887818791</v>
      </c>
      <c r="M5" t="s">
        <v>7</v>
      </c>
    </row>
    <row r="6" spans="1:13" x14ac:dyDescent="0.2">
      <c r="B6" t="s">
        <v>8</v>
      </c>
      <c r="C6" s="7">
        <v>3609025</v>
      </c>
      <c r="D6" s="7">
        <v>4097004</v>
      </c>
      <c r="E6" s="1">
        <v>4676848</v>
      </c>
      <c r="F6" s="1">
        <v>5247477</v>
      </c>
      <c r="G6" s="1">
        <v>5614325</v>
      </c>
      <c r="H6" s="1">
        <f>(G6/'Income Statement'!F5)*'Income Statement'!G5</f>
        <v>6175757.5000000009</v>
      </c>
      <c r="I6" s="1">
        <f>(H6/'Income Statement'!G5)*'Income Statement'!H5</f>
        <v>6793333.2500000009</v>
      </c>
      <c r="J6" s="1">
        <f>(I6/'Income Statement'!H5)*'Income Statement'!I5</f>
        <v>7268866.5775000025</v>
      </c>
      <c r="K6" s="1">
        <f>(J6/'Income Statement'!I5)*'Income Statement'!J5</f>
        <v>7777687.2379250033</v>
      </c>
      <c r="L6" s="1">
        <f>(K6/'Income Statement'!J5)*'Income Statement'!K5</f>
        <v>8011017.855062753</v>
      </c>
      <c r="M6" t="s">
        <v>9</v>
      </c>
    </row>
    <row r="7" spans="1:13" x14ac:dyDescent="0.2">
      <c r="B7" t="s">
        <v>10</v>
      </c>
      <c r="C7" s="7">
        <v>108265</v>
      </c>
      <c r="D7" s="7">
        <v>57804</v>
      </c>
      <c r="E7" s="1">
        <v>76537</v>
      </c>
      <c r="F7" s="1">
        <v>90760</v>
      </c>
      <c r="G7" s="1">
        <v>97394</v>
      </c>
      <c r="H7" s="1">
        <f>(G7/'Income Statement'!F4)*'Income Statement'!G4</f>
        <v>107133.40000000002</v>
      </c>
      <c r="I7" s="1">
        <f>H7/'Income Statement'!G4*'Income Statement'!H4</f>
        <v>117846.74000000002</v>
      </c>
      <c r="J7" s="1">
        <f>(I7/'Income Statement'!H4)*'Income Statement'!I4</f>
        <v>126096.01180000004</v>
      </c>
      <c r="K7" s="1">
        <f>J7/'Income Statement'!I4*'Income Statement'!J4</f>
        <v>134922.73262600007</v>
      </c>
      <c r="L7" s="1">
        <f>(K7/'Income Statement'!J4)*'Income Statement'!K4</f>
        <v>138970.41460478009</v>
      </c>
      <c r="M7" s="27"/>
    </row>
    <row r="8" spans="1:13" x14ac:dyDescent="0.2">
      <c r="B8" t="s">
        <v>11</v>
      </c>
      <c r="C8" s="10">
        <v>263121</v>
      </c>
      <c r="D8" s="10">
        <v>272725</v>
      </c>
      <c r="E8" s="9">
        <v>184163</v>
      </c>
      <c r="F8" s="9">
        <v>199405</v>
      </c>
      <c r="G8" s="9">
        <v>247295</v>
      </c>
      <c r="H8" s="1">
        <f>G8</f>
        <v>247295</v>
      </c>
      <c r="I8" s="1">
        <f>H8</f>
        <v>247295</v>
      </c>
      <c r="J8" s="1">
        <f>I8</f>
        <v>247295</v>
      </c>
      <c r="K8" s="1">
        <f>J8</f>
        <v>247295</v>
      </c>
      <c r="L8" s="1">
        <f>K8</f>
        <v>247295</v>
      </c>
      <c r="M8" t="s">
        <v>12</v>
      </c>
    </row>
    <row r="9" spans="1:13" x14ac:dyDescent="0.2">
      <c r="B9" t="s">
        <v>13</v>
      </c>
      <c r="C9" s="8">
        <f t="shared" ref="C9:I9" si="0">SUM(C5:C8)</f>
        <v>4247852</v>
      </c>
      <c r="D9" s="8">
        <f t="shared" si="0"/>
        <v>4663020</v>
      </c>
      <c r="E9" s="3">
        <f t="shared" si="0"/>
        <v>5177868</v>
      </c>
      <c r="F9" s="3">
        <f t="shared" si="0"/>
        <v>6914219</v>
      </c>
      <c r="G9" s="3">
        <f t="shared" si="0"/>
        <v>6303843</v>
      </c>
      <c r="H9" s="24">
        <f t="shared" si="0"/>
        <v>8621639.722167585</v>
      </c>
      <c r="I9" s="24">
        <f t="shared" si="0"/>
        <v>9200300.2500000019</v>
      </c>
      <c r="J9" s="24">
        <f t="shared" ref="J9:L9" si="1">SUM(J5:J8)</f>
        <v>13866899.974663381</v>
      </c>
      <c r="K9" s="24">
        <f t="shared" si="1"/>
        <v>9423831.5753250029</v>
      </c>
      <c r="L9" s="24">
        <f t="shared" si="1"/>
        <v>19637780.157486323</v>
      </c>
    </row>
    <row r="10" spans="1:13" x14ac:dyDescent="0.2">
      <c r="A10" t="s">
        <v>14</v>
      </c>
      <c r="C10" s="7">
        <v>2701282</v>
      </c>
      <c r="D10" s="7">
        <v>2970806</v>
      </c>
      <c r="E10" s="1">
        <v>3278359</v>
      </c>
      <c r="F10" s="1">
        <v>3899997</v>
      </c>
      <c r="G10" s="1">
        <v>4346127</v>
      </c>
      <c r="H10" s="1">
        <f>G10/'Income Statement'!F4*'Income Statement'!G4</f>
        <v>4780739.7000000011</v>
      </c>
      <c r="I10" s="1">
        <f>H10/'Income Statement'!G4*'Income Statement'!H4</f>
        <v>5258813.6700000009</v>
      </c>
      <c r="J10" s="1">
        <f>I10/'Income Statement'!H4*'Income Statement'!I4</f>
        <v>5626930.6269000014</v>
      </c>
      <c r="K10" s="1">
        <f>J10/'Income Statement'!I4*'Income Statement'!J4</f>
        <v>6020815.7707830025</v>
      </c>
      <c r="L10" s="1">
        <f>K10/'Income Statement'!J4*'Income Statement'!K4</f>
        <v>6201440.2439064924</v>
      </c>
      <c r="M10" t="s">
        <v>15</v>
      </c>
    </row>
    <row r="11" spans="1:13" x14ac:dyDescent="0.2">
      <c r="A11" t="s">
        <v>16</v>
      </c>
      <c r="C11" s="7"/>
      <c r="D11" s="7"/>
      <c r="E11" s="1">
        <v>8796183</v>
      </c>
      <c r="F11" s="1">
        <v>9473330</v>
      </c>
      <c r="G11" s="1">
        <v>10092930</v>
      </c>
      <c r="H11" s="1">
        <f t="shared" ref="H11:L14" si="2">G11</f>
        <v>10092930</v>
      </c>
      <c r="I11" s="1">
        <f t="shared" si="2"/>
        <v>10092930</v>
      </c>
      <c r="J11" s="1">
        <f t="shared" si="2"/>
        <v>10092930</v>
      </c>
      <c r="K11" s="1">
        <f t="shared" si="2"/>
        <v>10092930</v>
      </c>
      <c r="L11" s="1">
        <f t="shared" si="2"/>
        <v>10092930</v>
      </c>
      <c r="M11" t="s">
        <v>17</v>
      </c>
    </row>
    <row r="12" spans="1:13" x14ac:dyDescent="0.2">
      <c r="A12" t="s">
        <v>18</v>
      </c>
      <c r="C12" s="7">
        <v>4338589</v>
      </c>
      <c r="D12" s="7">
        <v>4338589</v>
      </c>
      <c r="E12" s="1">
        <v>4338589</v>
      </c>
      <c r="F12" s="1">
        <v>4338589</v>
      </c>
      <c r="G12" s="1">
        <v>4338589</v>
      </c>
      <c r="H12" s="1">
        <f>G12</f>
        <v>4338589</v>
      </c>
      <c r="I12" s="1">
        <f t="shared" si="2"/>
        <v>4338589</v>
      </c>
      <c r="J12" s="1">
        <f t="shared" si="2"/>
        <v>4338589</v>
      </c>
      <c r="K12" s="1">
        <f t="shared" si="2"/>
        <v>4338589</v>
      </c>
      <c r="L12" s="1">
        <f t="shared" si="2"/>
        <v>4338589</v>
      </c>
      <c r="M12" t="s">
        <v>19</v>
      </c>
    </row>
    <row r="13" spans="1:13" x14ac:dyDescent="0.2">
      <c r="A13" t="s">
        <v>20</v>
      </c>
      <c r="C13" s="7">
        <v>1200428</v>
      </c>
      <c r="D13" s="7">
        <v>1200217</v>
      </c>
      <c r="E13" s="1">
        <v>1200006</v>
      </c>
      <c r="F13" s="1">
        <v>1199870</v>
      </c>
      <c r="G13" s="1">
        <v>1199750</v>
      </c>
      <c r="H13" s="1">
        <f t="shared" si="2"/>
        <v>1199750</v>
      </c>
      <c r="I13" s="1">
        <f t="shared" si="2"/>
        <v>1199750</v>
      </c>
      <c r="J13" s="1">
        <f t="shared" si="2"/>
        <v>1199750</v>
      </c>
      <c r="K13" s="1">
        <f t="shared" si="2"/>
        <v>1199750</v>
      </c>
      <c r="L13" s="1">
        <f t="shared" si="2"/>
        <v>1199750</v>
      </c>
      <c r="M13" t="s">
        <v>17</v>
      </c>
    </row>
    <row r="14" spans="1:13" x14ac:dyDescent="0.2">
      <c r="A14" t="s">
        <v>21</v>
      </c>
      <c r="C14" s="7">
        <v>28760</v>
      </c>
      <c r="D14" s="7">
        <v>31406</v>
      </c>
      <c r="E14" s="1">
        <v>34079</v>
      </c>
      <c r="F14" s="1">
        <v>36619</v>
      </c>
      <c r="G14" s="1">
        <v>46132</v>
      </c>
      <c r="H14" s="1">
        <f t="shared" si="2"/>
        <v>46132</v>
      </c>
      <c r="I14" s="1">
        <f t="shared" si="2"/>
        <v>46132</v>
      </c>
      <c r="J14" s="1">
        <f t="shared" si="2"/>
        <v>46132</v>
      </c>
      <c r="K14" s="1">
        <f t="shared" si="2"/>
        <v>46132</v>
      </c>
      <c r="L14" s="1">
        <f t="shared" si="2"/>
        <v>46132</v>
      </c>
      <c r="M14" t="s">
        <v>17</v>
      </c>
    </row>
    <row r="15" spans="1:13" x14ac:dyDescent="0.2">
      <c r="A15" t="s">
        <v>22</v>
      </c>
      <c r="C15" s="14">
        <f t="shared" ref="C15:D15" si="3">SUM(C9:C14)</f>
        <v>12516911</v>
      </c>
      <c r="D15" s="14">
        <f t="shared" si="3"/>
        <v>13204038</v>
      </c>
      <c r="E15" s="14">
        <f t="shared" ref="E15" si="4">SUM(E9:E14)</f>
        <v>22825084</v>
      </c>
      <c r="F15" s="14">
        <f>SUM(F9:F14)</f>
        <v>25862624</v>
      </c>
      <c r="G15" s="14">
        <f>SUM(G9:G14)</f>
        <v>26327371</v>
      </c>
      <c r="H15" s="4">
        <f>SUM(H9:H14)</f>
        <v>29079780.422167584</v>
      </c>
      <c r="I15" s="4">
        <f>SUM(I9:I14)</f>
        <v>30136514.920000002</v>
      </c>
      <c r="J15" s="4">
        <f t="shared" ref="J15:L15" si="5">SUM(J9:J14)</f>
        <v>35171231.601563379</v>
      </c>
      <c r="K15" s="4">
        <f t="shared" si="5"/>
        <v>31122048.346108004</v>
      </c>
      <c r="L15" s="4">
        <f t="shared" si="5"/>
        <v>41516621.401392817</v>
      </c>
    </row>
    <row r="16" spans="1:13" x14ac:dyDescent="0.2">
      <c r="E16" s="1"/>
    </row>
    <row r="17" spans="1:13" x14ac:dyDescent="0.2">
      <c r="A17" s="5" t="s">
        <v>23</v>
      </c>
      <c r="E17" s="1"/>
    </row>
    <row r="18" spans="1:13" x14ac:dyDescent="0.2">
      <c r="A18" t="s">
        <v>24</v>
      </c>
      <c r="E18" s="1"/>
    </row>
    <row r="19" spans="1:13" x14ac:dyDescent="0.2">
      <c r="B19" t="s">
        <v>25</v>
      </c>
      <c r="C19" s="1">
        <v>401345</v>
      </c>
      <c r="D19" s="1">
        <v>1950</v>
      </c>
      <c r="E19" s="1">
        <v>964805</v>
      </c>
      <c r="F19" s="1">
        <v>1074079</v>
      </c>
      <c r="G19" s="1">
        <v>1183559</v>
      </c>
      <c r="H19" s="1">
        <f>G19</f>
        <v>1183559</v>
      </c>
      <c r="I19" s="1">
        <f>H19</f>
        <v>1183559</v>
      </c>
      <c r="J19" s="1">
        <f t="shared" ref="J19:L19" si="6">I19</f>
        <v>1183559</v>
      </c>
      <c r="K19" s="1">
        <f t="shared" si="6"/>
        <v>1183559</v>
      </c>
      <c r="L19" s="1">
        <f t="shared" si="6"/>
        <v>1183559</v>
      </c>
      <c r="M19" s="27" t="s">
        <v>26</v>
      </c>
    </row>
    <row r="20" spans="1:13" x14ac:dyDescent="0.2">
      <c r="B20" t="s">
        <v>27</v>
      </c>
      <c r="C20" s="1">
        <v>2009771</v>
      </c>
      <c r="D20" s="1">
        <v>2385469</v>
      </c>
      <c r="E20" s="1">
        <v>2860682</v>
      </c>
      <c r="F20" s="1">
        <v>3614089</v>
      </c>
      <c r="G20" s="1">
        <v>3738604</v>
      </c>
      <c r="H20" s="1">
        <f>(G20/'Income Statement'!F4)*'Income Statement'!G4</f>
        <v>4112464.4000000008</v>
      </c>
      <c r="I20" s="1">
        <f>(H20/'Income Statement'!G4)*'Income Statement'!H4</f>
        <v>4523710.8400000008</v>
      </c>
      <c r="J20" s="1">
        <f>(I20/'Income Statement'!H4)*'Income Statement'!I4</f>
        <v>4840370.5988000017</v>
      </c>
      <c r="K20" s="1">
        <f>(J20/'Income Statement'!I4)*'Income Statement'!J4</f>
        <v>5179196.5407160018</v>
      </c>
      <c r="L20" s="1">
        <f>(K20/'Income Statement'!J4)*'Income Statement'!K4</f>
        <v>5334572.4369374812</v>
      </c>
      <c r="M20" t="s">
        <v>28</v>
      </c>
    </row>
    <row r="21" spans="1:13" x14ac:dyDescent="0.2">
      <c r="B21" t="s">
        <v>29</v>
      </c>
      <c r="C21" s="1">
        <v>549658</v>
      </c>
      <c r="D21" s="1">
        <v>618405</v>
      </c>
      <c r="E21" s="1">
        <v>709156</v>
      </c>
      <c r="F21" s="1">
        <v>1006552</v>
      </c>
      <c r="G21" s="1">
        <v>1049139</v>
      </c>
      <c r="H21" s="1">
        <f>G21/'Income Statement'!F4*'Income Statement'!G4</f>
        <v>1154052.9000000001</v>
      </c>
      <c r="I21" s="1">
        <f>H21/'Income Statement'!G4*'Income Statement'!H4</f>
        <v>1269458.1900000002</v>
      </c>
      <c r="J21" s="1">
        <f>I21/'Income Statement'!H4*'Income Statement'!I4</f>
        <v>1358320.2633000005</v>
      </c>
      <c r="K21" s="1">
        <f>J21/'Income Statement'!I4*'Income Statement'!J4</f>
        <v>1453402.6817310008</v>
      </c>
      <c r="L21" s="1">
        <f>K21/'Income Statement'!J4*'Income Statement'!K4</f>
        <v>1497004.7621829307</v>
      </c>
      <c r="M21" t="s">
        <v>30</v>
      </c>
    </row>
    <row r="22" spans="1:13" x14ac:dyDescent="0.2">
      <c r="B22" t="s">
        <v>31</v>
      </c>
      <c r="C22" s="9">
        <v>4104</v>
      </c>
      <c r="D22" s="9">
        <v>10033</v>
      </c>
      <c r="E22" s="9">
        <v>8362</v>
      </c>
      <c r="F22" s="9">
        <v>16063</v>
      </c>
      <c r="G22" s="9">
        <v>8055</v>
      </c>
      <c r="H22" s="1">
        <f>G22/'Income Statement'!F4*'Income Statement'!G4</f>
        <v>8860.5000000000018</v>
      </c>
      <c r="I22" s="1">
        <f>H22/'Income Statement'!G4*'Income Statement'!H4</f>
        <v>9746.5500000000029</v>
      </c>
      <c r="J22" s="1">
        <f>I22/'Income Statement'!H4*'Income Statement'!I4</f>
        <v>10428.808500000005</v>
      </c>
      <c r="K22" s="1">
        <f>J22/'Income Statement'!I4*'Income Statement'!J4</f>
        <v>11158.825095000007</v>
      </c>
      <c r="L22" s="1">
        <f>K22/'Income Statement'!J4*'Income Statement'!K4</f>
        <v>11493.589847850009</v>
      </c>
      <c r="M22" t="s">
        <v>32</v>
      </c>
    </row>
    <row r="23" spans="1:13" x14ac:dyDescent="0.2">
      <c r="B23" t="s">
        <v>33</v>
      </c>
      <c r="C23" s="3">
        <f t="shared" ref="C23:I23" si="7">SUM(C19:C22)</f>
        <v>2964878</v>
      </c>
      <c r="D23" s="3">
        <f t="shared" si="7"/>
        <v>3015857</v>
      </c>
      <c r="E23" s="3">
        <f t="shared" si="7"/>
        <v>4543005</v>
      </c>
      <c r="F23" s="3">
        <f t="shared" si="7"/>
        <v>5710783</v>
      </c>
      <c r="G23" s="3">
        <f t="shared" si="7"/>
        <v>5979357</v>
      </c>
      <c r="H23" s="24">
        <f t="shared" si="7"/>
        <v>6458936.8000000007</v>
      </c>
      <c r="I23" s="24">
        <f t="shared" si="7"/>
        <v>6986474.580000001</v>
      </c>
      <c r="J23" s="24">
        <f t="shared" ref="J23:L23" si="8">SUM(J19:J22)</f>
        <v>7392678.6706000026</v>
      </c>
      <c r="K23" s="24">
        <f t="shared" si="8"/>
        <v>7827317.0475420021</v>
      </c>
      <c r="L23" s="24">
        <f t="shared" si="8"/>
        <v>8026629.7889682613</v>
      </c>
    </row>
    <row r="24" spans="1:13" x14ac:dyDescent="0.2">
      <c r="A24" t="s">
        <v>34</v>
      </c>
      <c r="C24" s="1">
        <v>2604613</v>
      </c>
      <c r="D24" s="1">
        <v>2862740</v>
      </c>
      <c r="E24" s="1">
        <v>2911993</v>
      </c>
      <c r="F24" s="1">
        <v>4130975</v>
      </c>
      <c r="G24" s="1">
        <v>4172068</v>
      </c>
      <c r="H24" s="1">
        <f t="shared" ref="H24:I27" si="9">G24</f>
        <v>4172068</v>
      </c>
      <c r="I24" s="1">
        <f t="shared" si="9"/>
        <v>4172068</v>
      </c>
      <c r="J24" s="1">
        <f t="shared" ref="J24:L24" si="10">I24</f>
        <v>4172068</v>
      </c>
      <c r="K24" s="1">
        <f t="shared" si="10"/>
        <v>4172068</v>
      </c>
      <c r="L24" s="1">
        <f t="shared" si="10"/>
        <v>4172068</v>
      </c>
      <c r="M24" t="s">
        <v>35</v>
      </c>
    </row>
    <row r="25" spans="1:13" x14ac:dyDescent="0.2">
      <c r="A25" t="s">
        <v>36</v>
      </c>
      <c r="C25" s="1"/>
      <c r="D25" s="1"/>
      <c r="E25" s="1">
        <v>7819683</v>
      </c>
      <c r="F25" s="1">
        <v>8385388</v>
      </c>
      <c r="G25" s="1">
        <v>8890709</v>
      </c>
      <c r="H25" s="1">
        <f t="shared" si="9"/>
        <v>8890709</v>
      </c>
      <c r="I25" s="41">
        <f t="shared" si="9"/>
        <v>8890709</v>
      </c>
      <c r="J25" s="1">
        <f t="shared" ref="J25:L25" si="11">I25</f>
        <v>8890709</v>
      </c>
      <c r="K25" s="41">
        <f t="shared" si="11"/>
        <v>8890709</v>
      </c>
      <c r="L25" s="1">
        <f t="shared" si="11"/>
        <v>8890709</v>
      </c>
      <c r="M25" t="s">
        <v>35</v>
      </c>
    </row>
    <row r="26" spans="1:13" x14ac:dyDescent="0.2">
      <c r="A26" t="s">
        <v>37</v>
      </c>
      <c r="C26" s="1">
        <v>515702</v>
      </c>
      <c r="D26" s="1">
        <v>609687</v>
      </c>
      <c r="E26" s="1">
        <v>675227</v>
      </c>
      <c r="F26" s="1">
        <v>710549</v>
      </c>
      <c r="G26" s="1">
        <v>825254</v>
      </c>
      <c r="H26" s="1">
        <f>G26/'Income Statement'!F4*'Income Statement'!G4</f>
        <v>907779.40000000014</v>
      </c>
      <c r="I26" s="1">
        <f>H26/'Income Statement'!G4*'Income Statement'!H4</f>
        <v>998557.3400000002</v>
      </c>
      <c r="J26" s="1">
        <f>I26/'Income Statement'!H4*'Income Statement'!I4</f>
        <v>1068456.3538000004</v>
      </c>
      <c r="K26" s="1">
        <f>J26/'Income Statement'!I4*'Income Statement'!J4</f>
        <v>1143248.2985660005</v>
      </c>
      <c r="L26" s="1">
        <f>K26/'Income Statement'!J4*'Income Statement'!K4</f>
        <v>1177545.7475229804</v>
      </c>
      <c r="M26" t="s">
        <v>38</v>
      </c>
    </row>
    <row r="27" spans="1:13" x14ac:dyDescent="0.2">
      <c r="A27" t="s">
        <v>39</v>
      </c>
      <c r="C27" s="1">
        <v>305944</v>
      </c>
      <c r="D27" s="1">
        <v>298361</v>
      </c>
      <c r="E27" s="1">
        <v>172676</v>
      </c>
      <c r="F27" s="1">
        <v>263691</v>
      </c>
      <c r="G27" s="1">
        <v>197997</v>
      </c>
      <c r="H27" s="1">
        <f t="shared" si="9"/>
        <v>197997</v>
      </c>
      <c r="I27" s="1">
        <f t="shared" si="9"/>
        <v>197997</v>
      </c>
      <c r="J27" s="1">
        <f t="shared" ref="J27:L27" si="12">I27</f>
        <v>197997</v>
      </c>
      <c r="K27" s="1">
        <f t="shared" si="12"/>
        <v>197997</v>
      </c>
      <c r="L27" s="1">
        <f t="shared" si="12"/>
        <v>197997</v>
      </c>
      <c r="M27" t="s">
        <v>35</v>
      </c>
    </row>
    <row r="28" spans="1:13" x14ac:dyDescent="0.2">
      <c r="A28" t="s">
        <v>40</v>
      </c>
      <c r="E28" s="1"/>
    </row>
    <row r="29" spans="1:13" x14ac:dyDescent="0.2">
      <c r="A29" t="s">
        <v>41</v>
      </c>
      <c r="E29" s="1"/>
    </row>
    <row r="30" spans="1:13" x14ac:dyDescent="0.2">
      <c r="B30" t="s">
        <v>42</v>
      </c>
      <c r="C30" s="1" t="s">
        <v>43</v>
      </c>
      <c r="D30" s="1" t="s">
        <v>43</v>
      </c>
      <c r="E30" s="1" t="s">
        <v>43</v>
      </c>
      <c r="F30" s="1" t="s">
        <v>43</v>
      </c>
      <c r="G30" s="1" t="s">
        <v>43</v>
      </c>
      <c r="H30" s="1" t="s">
        <v>43</v>
      </c>
      <c r="I30" s="1" t="s">
        <v>43</v>
      </c>
      <c r="J30" s="1" t="s">
        <v>43</v>
      </c>
      <c r="K30" s="1" t="s">
        <v>43</v>
      </c>
      <c r="L30" s="1" t="s">
        <v>43</v>
      </c>
    </row>
    <row r="31" spans="1:13" x14ac:dyDescent="0.2">
      <c r="B31" t="s">
        <v>44</v>
      </c>
      <c r="C31" s="1">
        <v>235141</v>
      </c>
      <c r="D31" s="1">
        <v>227072</v>
      </c>
      <c r="E31" s="1">
        <v>220444</v>
      </c>
      <c r="F31" s="1">
        <v>210687</v>
      </c>
      <c r="G31" s="1">
        <v>201265</v>
      </c>
      <c r="H31" s="1">
        <f>G31/'Income Statement'!F7*'Income Statement'!G7</f>
        <v>221391.50000000003</v>
      </c>
      <c r="I31" s="1">
        <f>H31/'Income Statement'!G7*'Income Statement'!H7</f>
        <v>243530.65000000002</v>
      </c>
      <c r="J31" s="1">
        <f>I31/'Income Statement'!H7*'Income Statement'!I7</f>
        <v>260577.79550000007</v>
      </c>
      <c r="K31" s="1">
        <f>J31/'Income Statement'!I7*'Income Statement'!J7</f>
        <v>278818.24118500011</v>
      </c>
      <c r="L31" s="1">
        <f>K31/'Income Statement'!J7*'Income Statement'!K7</f>
        <v>287182.78842055012</v>
      </c>
      <c r="M31" s="27"/>
    </row>
    <row r="32" spans="1:13" x14ac:dyDescent="0.2">
      <c r="B32" t="s">
        <v>45</v>
      </c>
      <c r="C32" s="1">
        <v>3196462</v>
      </c>
      <c r="D32" s="1">
        <v>3252421</v>
      </c>
      <c r="E32" s="1">
        <v>3322531</v>
      </c>
      <c r="F32" s="1">
        <v>3446612</v>
      </c>
      <c r="G32" s="1">
        <v>3587914</v>
      </c>
      <c r="H32" s="1">
        <v>3587914</v>
      </c>
      <c r="I32" s="1">
        <v>3587914</v>
      </c>
      <c r="J32" s="1">
        <v>3587914</v>
      </c>
      <c r="K32" s="1">
        <v>3587914</v>
      </c>
      <c r="L32" s="1">
        <v>3587914</v>
      </c>
      <c r="M32" s="27"/>
    </row>
    <row r="33" spans="1:13" x14ac:dyDescent="0.2">
      <c r="B33" t="s">
        <v>46</v>
      </c>
      <c r="C33" s="1">
        <v>2698352</v>
      </c>
      <c r="D33" s="1">
        <v>2941107</v>
      </c>
      <c r="E33" s="1">
        <v>3162660</v>
      </c>
      <c r="F33" s="1">
        <v>3006102</v>
      </c>
      <c r="G33" s="1">
        <v>2473999</v>
      </c>
      <c r="H33" s="1">
        <f>G33+'Income Statement'!G13-('Income Statement'!G13*'Income Statement'!$M$6)</f>
        <v>4644176.7221675823</v>
      </c>
      <c r="I33" s="1">
        <f>H33+'Income Statement'!H13-'Income Statement'!H13*'Income Statement'!$M$6</f>
        <v>7037685.4930462101</v>
      </c>
      <c r="J33" s="1">
        <f>I33+'Income Statement'!I13-'Income Statement'!I13*'Income Statement'!$M$6</f>
        <v>9602022.7816633731</v>
      </c>
      <c r="K33" s="1">
        <f>J33+'Income Statement'!J13-'Income Statement'!J13*'Income Statement'!$M$6</f>
        <v>12349277.900411846</v>
      </c>
      <c r="L33" s="1">
        <f>K33+'Income Statement'!K13-'Income Statement'!K13*'Income Statement'!$M$6</f>
        <v>15177767.076481029</v>
      </c>
      <c r="M33" s="27" t="s">
        <v>47</v>
      </c>
    </row>
    <row r="34" spans="1:13" x14ac:dyDescent="0.2">
      <c r="B34" t="s">
        <v>48</v>
      </c>
      <c r="C34" s="9">
        <v>-4181</v>
      </c>
      <c r="D34" s="9">
        <v>-3207</v>
      </c>
      <c r="E34" s="9">
        <v>-3135</v>
      </c>
      <c r="F34" s="9">
        <v>-2163</v>
      </c>
      <c r="G34" s="9">
        <v>-1192</v>
      </c>
      <c r="H34" s="1">
        <f>G34</f>
        <v>-1192</v>
      </c>
      <c r="I34" s="1">
        <f>H34</f>
        <v>-1192</v>
      </c>
      <c r="J34" s="1">
        <f t="shared" ref="J34:K34" si="13">I34</f>
        <v>-1192</v>
      </c>
      <c r="K34" s="1">
        <f t="shared" si="13"/>
        <v>-1192</v>
      </c>
      <c r="L34" s="1">
        <f>K34</f>
        <v>-1192</v>
      </c>
      <c r="M34" t="s">
        <v>49</v>
      </c>
    </row>
    <row r="35" spans="1:13" x14ac:dyDescent="0.2">
      <c r="B35" t="s">
        <v>50</v>
      </c>
      <c r="C35" s="3">
        <f t="shared" ref="C35:I35" si="14">SUM(C31:C34)</f>
        <v>6125774</v>
      </c>
      <c r="D35" s="3">
        <f t="shared" si="14"/>
        <v>6417393</v>
      </c>
      <c r="E35" s="3">
        <f t="shared" si="14"/>
        <v>6702500</v>
      </c>
      <c r="F35" s="3">
        <f t="shared" si="14"/>
        <v>6661238</v>
      </c>
      <c r="G35" s="3">
        <f t="shared" si="14"/>
        <v>6261986</v>
      </c>
      <c r="H35" s="24">
        <f t="shared" si="14"/>
        <v>8452290.2221675813</v>
      </c>
      <c r="I35" s="24">
        <f t="shared" si="14"/>
        <v>10867938.14304621</v>
      </c>
      <c r="J35" s="24">
        <f t="shared" ref="J35:L35" si="15">SUM(J31:J34)</f>
        <v>13449322.577163372</v>
      </c>
      <c r="K35" s="24">
        <f t="shared" si="15"/>
        <v>16214818.141596846</v>
      </c>
      <c r="L35" s="24">
        <f t="shared" si="15"/>
        <v>19051671.86490158</v>
      </c>
    </row>
    <row r="36" spans="1:13" ht="17" thickBot="1" x14ac:dyDescent="0.25">
      <c r="A36" t="s">
        <v>51</v>
      </c>
      <c r="C36" s="4">
        <f t="shared" ref="C36:H36" si="16">SUM(C23:C27)+(C35)</f>
        <v>12516911</v>
      </c>
      <c r="D36" s="4">
        <f t="shared" si="16"/>
        <v>13204038</v>
      </c>
      <c r="E36" s="4">
        <f t="shared" si="16"/>
        <v>22825084</v>
      </c>
      <c r="F36" s="4">
        <f t="shared" si="16"/>
        <v>25862624</v>
      </c>
      <c r="G36" s="4">
        <f t="shared" si="16"/>
        <v>26327371</v>
      </c>
      <c r="H36" s="4">
        <f t="shared" si="16"/>
        <v>29079780.422167581</v>
      </c>
      <c r="I36" s="42">
        <f>SUM(I23:I27)+I25</f>
        <v>30136514.920000002</v>
      </c>
      <c r="J36" s="4">
        <f t="shared" ref="J36" si="17">SUM(J23:J27)+(J35)</f>
        <v>35171231.601563379</v>
      </c>
      <c r="K36" s="42">
        <f t="shared" ref="K36" si="18">SUM(K23:K27)+K25</f>
        <v>31122048.346108004</v>
      </c>
      <c r="L36" s="4">
        <f t="shared" ref="L36" si="19">SUM(L23:L27)+(L35)</f>
        <v>41516621.401392817</v>
      </c>
    </row>
    <row r="37" spans="1:13" x14ac:dyDescent="0.2">
      <c r="E37" s="1"/>
    </row>
    <row r="38" spans="1:13" x14ac:dyDescent="0.2">
      <c r="C38" s="7"/>
      <c r="D38" s="25"/>
      <c r="E38" s="25"/>
      <c r="F38" s="25"/>
      <c r="G38" s="25"/>
      <c r="H38" s="38"/>
      <c r="I38" s="38"/>
      <c r="J38" s="38"/>
      <c r="K38" s="38"/>
      <c r="L38" s="38"/>
    </row>
    <row r="39" spans="1:13" x14ac:dyDescent="0.2">
      <c r="E39" s="1"/>
    </row>
    <row r="40" spans="1:13" x14ac:dyDescent="0.2">
      <c r="C40" s="25"/>
      <c r="D40" s="25"/>
      <c r="E40" s="25"/>
      <c r="F40" s="25"/>
      <c r="G40" s="25"/>
      <c r="H40" s="25"/>
      <c r="I40" s="25"/>
      <c r="J40" s="25"/>
      <c r="K40" s="25"/>
      <c r="L40" s="25"/>
    </row>
    <row r="41" spans="1:13" x14ac:dyDescent="0.2">
      <c r="G41"/>
    </row>
    <row r="42" spans="1:13" x14ac:dyDescent="0.2">
      <c r="E42" s="1"/>
    </row>
    <row r="43" spans="1:13" x14ac:dyDescent="0.2">
      <c r="E43" s="1"/>
    </row>
    <row r="44" spans="1:13" x14ac:dyDescent="0.2">
      <c r="E44" s="1"/>
    </row>
    <row r="45" spans="1:13" x14ac:dyDescent="0.2">
      <c r="E45" s="1"/>
    </row>
    <row r="46" spans="1:13" x14ac:dyDescent="0.2">
      <c r="E46" s="1"/>
    </row>
    <row r="47" spans="1:13" x14ac:dyDescent="0.2">
      <c r="E47" s="1"/>
    </row>
    <row r="48" spans="1:13" x14ac:dyDescent="0.2">
      <c r="E48" s="1"/>
    </row>
    <row r="49" spans="5:5" x14ac:dyDescent="0.2">
      <c r="E49" s="1"/>
    </row>
    <row r="50" spans="5:5" x14ac:dyDescent="0.2">
      <c r="E50" s="1"/>
    </row>
    <row r="51" spans="5:5" x14ac:dyDescent="0.2">
      <c r="E51" s="1"/>
    </row>
    <row r="52" spans="5:5" x14ac:dyDescent="0.2">
      <c r="E52" s="1"/>
    </row>
    <row r="53" spans="5:5" x14ac:dyDescent="0.2">
      <c r="E53" s="1"/>
    </row>
    <row r="54" spans="5:5" x14ac:dyDescent="0.2">
      <c r="E54" s="1"/>
    </row>
    <row r="55" spans="5:5" x14ac:dyDescent="0.2">
      <c r="E55" s="1"/>
    </row>
    <row r="56" spans="5:5" x14ac:dyDescent="0.2">
      <c r="E56" s="1"/>
    </row>
    <row r="57" spans="5:5" x14ac:dyDescent="0.2">
      <c r="E57" s="1"/>
    </row>
    <row r="58" spans="5:5" x14ac:dyDescent="0.2">
      <c r="E58" s="1"/>
    </row>
    <row r="59" spans="5:5" x14ac:dyDescent="0.2">
      <c r="E59" s="1"/>
    </row>
    <row r="60" spans="5:5" x14ac:dyDescent="0.2">
      <c r="E60" s="1"/>
    </row>
    <row r="61" spans="5:5" x14ac:dyDescent="0.2">
      <c r="E61" s="1"/>
    </row>
    <row r="62" spans="5:5" x14ac:dyDescent="0.2">
      <c r="E62" s="1"/>
    </row>
  </sheetData>
  <mergeCells count="2">
    <mergeCell ref="C2:F2"/>
    <mergeCell ref="H2:L2"/>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864AC-0E21-974F-8351-CB52A9BEDAAF}">
  <dimension ref="A1:M43"/>
  <sheetViews>
    <sheetView showGridLines="0" zoomScale="75" workbookViewId="0">
      <pane xSplit="3" topLeftCell="D1" activePane="topRight" state="frozen"/>
      <selection pane="topRight"/>
    </sheetView>
  </sheetViews>
  <sheetFormatPr baseColWidth="10" defaultColWidth="11" defaultRowHeight="16" x14ac:dyDescent="0.2"/>
  <cols>
    <col min="1" max="1" width="3.33203125" customWidth="1"/>
    <col min="2" max="2" width="16.6640625" customWidth="1"/>
    <col min="3" max="3" width="47.33203125" customWidth="1"/>
    <col min="4" max="4" width="15.6640625" customWidth="1"/>
    <col min="5" max="5" width="16.1640625" customWidth="1"/>
    <col min="6" max="6" width="18.1640625" style="1" customWidth="1"/>
    <col min="7" max="7" width="16.1640625" style="1" customWidth="1"/>
    <col min="8" max="8" width="15.83203125" style="1" customWidth="1"/>
    <col min="9" max="9" width="15.5" customWidth="1"/>
    <col min="10" max="10" width="16.6640625" customWidth="1"/>
    <col min="11" max="11" width="17.83203125" customWidth="1"/>
    <col min="12" max="12" width="16.83203125" customWidth="1"/>
    <col min="13" max="13" width="17.83203125" customWidth="1"/>
    <col min="16383" max="16383" width="11" bestFit="1" customWidth="1"/>
  </cols>
  <sheetData>
    <row r="1" spans="1:13" x14ac:dyDescent="0.2">
      <c r="A1" s="5" t="s">
        <v>52</v>
      </c>
      <c r="F1" s="18"/>
    </row>
    <row r="2" spans="1:13" x14ac:dyDescent="0.2">
      <c r="A2" s="5"/>
      <c r="D2" s="74" t="s">
        <v>1</v>
      </c>
      <c r="E2" s="74"/>
      <c r="F2" s="74"/>
      <c r="G2" s="74"/>
      <c r="H2"/>
      <c r="I2" s="75" t="s">
        <v>2</v>
      </c>
      <c r="J2" s="75"/>
      <c r="K2" s="75"/>
      <c r="L2" s="75"/>
      <c r="M2" s="75"/>
    </row>
    <row r="3" spans="1:13" x14ac:dyDescent="0.2">
      <c r="D3" s="17">
        <v>43129</v>
      </c>
      <c r="E3" s="16">
        <v>43496</v>
      </c>
      <c r="F3" s="16">
        <v>43861</v>
      </c>
      <c r="G3" s="16">
        <v>44225</v>
      </c>
      <c r="H3" s="16">
        <v>44589</v>
      </c>
      <c r="I3" s="23">
        <v>2023</v>
      </c>
      <c r="J3" s="23">
        <v>2024</v>
      </c>
      <c r="K3" s="23">
        <v>2025</v>
      </c>
      <c r="L3" s="23">
        <v>2026</v>
      </c>
      <c r="M3" s="23">
        <v>2027</v>
      </c>
    </row>
    <row r="4" spans="1:13" x14ac:dyDescent="0.2">
      <c r="A4" s="2" t="s">
        <v>53</v>
      </c>
    </row>
    <row r="5" spans="1:13" x14ac:dyDescent="0.2">
      <c r="A5" t="s">
        <v>54</v>
      </c>
      <c r="D5" s="1">
        <v>1538960</v>
      </c>
      <c r="E5" s="1">
        <v>1589472</v>
      </c>
      <c r="F5" s="1">
        <v>1712555</v>
      </c>
      <c r="G5" s="1">
        <v>2655050</v>
      </c>
      <c r="H5" s="1">
        <v>2399232</v>
      </c>
      <c r="I5" s="1">
        <f>'Income Statement'!G13</f>
        <v>2646558.1977653452</v>
      </c>
      <c r="J5" s="1">
        <f>'Income Statement'!H13</f>
        <v>2918913.1352178389</v>
      </c>
      <c r="K5" s="1">
        <f>'Income Statement'!I13</f>
        <v>3127240.5958745875</v>
      </c>
      <c r="L5" s="1">
        <f>'Income Statement'!J13</f>
        <v>3350311.1204249673</v>
      </c>
      <c r="M5" s="1">
        <f>'Income Statement'!K13</f>
        <v>3449377.043986809</v>
      </c>
    </row>
    <row r="6" spans="1:13" x14ac:dyDescent="0.2">
      <c r="A6" t="s">
        <v>55</v>
      </c>
    </row>
    <row r="7" spans="1:13" x14ac:dyDescent="0.2">
      <c r="B7" t="s">
        <v>56</v>
      </c>
      <c r="D7" s="1">
        <v>404231</v>
      </c>
      <c r="E7" s="6">
        <v>454134</v>
      </c>
      <c r="F7" s="1">
        <v>504804</v>
      </c>
      <c r="G7" s="1">
        <v>574237</v>
      </c>
      <c r="H7" s="1">
        <v>641316</v>
      </c>
      <c r="I7" s="1">
        <f>H7/'1'!F10*'1'!G10</f>
        <v>714677.67363205669</v>
      </c>
      <c r="J7" s="1">
        <f>I7/'1'!G10*'1'!H10</f>
        <v>786145.44099526247</v>
      </c>
      <c r="K7" s="1">
        <f>J7/'1'!H10*'1'!I10</f>
        <v>864759.98509478872</v>
      </c>
      <c r="L7" s="1">
        <f>K7/'1'!I10*'1'!J10</f>
        <v>925293.18405142403</v>
      </c>
      <c r="M7" s="1">
        <f>L7/'1'!J10*'1'!K10</f>
        <v>990063.70693502377</v>
      </c>
    </row>
    <row r="8" spans="1:13" x14ac:dyDescent="0.2">
      <c r="B8" t="s">
        <v>37</v>
      </c>
      <c r="D8" s="1">
        <v>-137648</v>
      </c>
      <c r="E8" s="6">
        <v>52325</v>
      </c>
      <c r="F8" s="1">
        <v>55407</v>
      </c>
      <c r="G8" s="1">
        <v>34976</v>
      </c>
      <c r="H8" s="1">
        <v>114359</v>
      </c>
      <c r="I8" s="1">
        <f>'1'!H26-'1'!G26</f>
        <v>82525.40000000014</v>
      </c>
      <c r="J8" s="26">
        <f>'1'!I26-'1'!H26</f>
        <v>90777.940000000061</v>
      </c>
      <c r="K8" s="26">
        <f>'1'!J26-'1'!I26</f>
        <v>69899.01380000019</v>
      </c>
      <c r="L8" s="26">
        <f>'1'!K26-'1'!J26</f>
        <v>74791.944766000146</v>
      </c>
      <c r="M8" s="26">
        <f>'1'!L26-'1'!K26</f>
        <v>34297.448956979904</v>
      </c>
    </row>
    <row r="9" spans="1:13" x14ac:dyDescent="0.2">
      <c r="B9" t="s">
        <v>57</v>
      </c>
      <c r="D9" s="1">
        <v>3502</v>
      </c>
      <c r="E9" s="1">
        <v>0</v>
      </c>
      <c r="F9" s="1">
        <v>0</v>
      </c>
      <c r="G9" s="1">
        <v>0</v>
      </c>
      <c r="H9" s="1">
        <v>0</v>
      </c>
      <c r="I9" s="1">
        <f>H9</f>
        <v>0</v>
      </c>
      <c r="J9" s="1">
        <f t="shared" ref="J9:M9" si="0">I9</f>
        <v>0</v>
      </c>
      <c r="K9" s="1">
        <f t="shared" si="0"/>
        <v>0</v>
      </c>
      <c r="L9" s="1">
        <f t="shared" si="0"/>
        <v>0</v>
      </c>
      <c r="M9" s="1">
        <f t="shared" si="0"/>
        <v>0</v>
      </c>
    </row>
    <row r="10" spans="1:13" x14ac:dyDescent="0.2">
      <c r="B10" t="s">
        <v>58</v>
      </c>
      <c r="D10" s="1">
        <v>34323</v>
      </c>
      <c r="E10" s="1">
        <v>40879</v>
      </c>
      <c r="F10" s="1">
        <v>48589</v>
      </c>
      <c r="G10" s="1">
        <v>68609</v>
      </c>
      <c r="H10" s="1">
        <v>78178</v>
      </c>
      <c r="I10" s="1">
        <f>H10/'Income Statement'!F7*'Income Statement'!G7</f>
        <v>85995.800000000017</v>
      </c>
      <c r="J10" s="1">
        <f>I10/'Income Statement'!G7*'Income Statement'!H7</f>
        <v>94595.380000000019</v>
      </c>
      <c r="K10" s="1">
        <f>J10/'Income Statement'!H7*'Income Statement'!I7</f>
        <v>101217.05660000004</v>
      </c>
      <c r="L10" s="1">
        <f>K10/'Income Statement'!I7*'Income Statement'!J7</f>
        <v>108302.25056200006</v>
      </c>
      <c r="M10" s="1">
        <f>L10/'Income Statement'!J7*'Income Statement'!K7</f>
        <v>111551.31807886007</v>
      </c>
    </row>
    <row r="11" spans="1:13" x14ac:dyDescent="0.2">
      <c r="B11" t="s">
        <v>59</v>
      </c>
      <c r="D11" s="1">
        <v>11088</v>
      </c>
      <c r="E11" s="1">
        <v>42870</v>
      </c>
      <c r="F11" s="1">
        <v>8293</v>
      </c>
      <c r="G11" s="1">
        <v>11570</v>
      </c>
      <c r="H11" s="1">
        <v>191040</v>
      </c>
      <c r="I11" s="1">
        <v>0</v>
      </c>
      <c r="J11" s="1">
        <v>0</v>
      </c>
      <c r="K11" s="1">
        <v>0</v>
      </c>
      <c r="L11" s="1">
        <v>0</v>
      </c>
      <c r="M11" s="1">
        <v>0</v>
      </c>
    </row>
    <row r="12" spans="1:13" x14ac:dyDescent="0.2">
      <c r="C12" t="s">
        <v>8</v>
      </c>
      <c r="D12" s="1">
        <v>-348363</v>
      </c>
      <c r="E12" s="1">
        <v>-521342</v>
      </c>
      <c r="F12" s="1">
        <v>-578783</v>
      </c>
      <c r="G12" s="1">
        <v>-575827</v>
      </c>
      <c r="H12" s="1">
        <v>-550114</v>
      </c>
      <c r="I12" s="39">
        <f>'1'!G6-'1'!H6</f>
        <v>-561432.50000000093</v>
      </c>
      <c r="J12" s="39">
        <f>'1'!H6-'1'!I6</f>
        <v>-617575.75</v>
      </c>
      <c r="K12" s="39">
        <f>'1'!I6-'1'!J6</f>
        <v>-475533.32750000153</v>
      </c>
      <c r="L12" s="39">
        <f>'1'!J6-'1'!K6</f>
        <v>-508820.66042500082</v>
      </c>
      <c r="M12" s="39">
        <f>'1'!K6-'1'!L6</f>
        <v>-233330.61713774968</v>
      </c>
    </row>
    <row r="13" spans="1:13" x14ac:dyDescent="0.2">
      <c r="C13" t="s">
        <v>11</v>
      </c>
      <c r="D13" s="1">
        <v>-49406</v>
      </c>
      <c r="E13" s="1">
        <v>-12097</v>
      </c>
      <c r="F13" s="1">
        <v>-14453</v>
      </c>
      <c r="G13" s="1">
        <v>-16516</v>
      </c>
      <c r="H13" s="1">
        <v>-47471</v>
      </c>
      <c r="I13" s="1">
        <f>'1'!H8-'1'!G8</f>
        <v>0</v>
      </c>
      <c r="J13" s="1">
        <f>'1'!I8-'1'!H8</f>
        <v>0</v>
      </c>
      <c r="K13" s="1">
        <f>'1'!J8-'1'!I8</f>
        <v>0</v>
      </c>
      <c r="L13" s="1">
        <f>'1'!K8-'1'!J8</f>
        <v>0</v>
      </c>
      <c r="M13" s="1">
        <f>'1'!L8-'1'!K8</f>
        <v>0</v>
      </c>
    </row>
    <row r="14" spans="1:13" x14ac:dyDescent="0.2">
      <c r="C14" t="s">
        <v>27</v>
      </c>
      <c r="D14" s="1">
        <v>427911</v>
      </c>
      <c r="E14" s="1">
        <v>375214</v>
      </c>
      <c r="F14" s="1">
        <v>428627</v>
      </c>
      <c r="G14" s="1">
        <v>745596</v>
      </c>
      <c r="H14" s="1">
        <v>98735</v>
      </c>
      <c r="I14" s="1">
        <f>'1'!H20-'1'!G20</f>
        <v>373860.40000000084</v>
      </c>
      <c r="J14" s="1">
        <f>'1'!I20-'1'!H20</f>
        <v>411246.43999999994</v>
      </c>
      <c r="K14" s="1">
        <f>'1'!J20-'1'!I20</f>
        <v>316659.75880000088</v>
      </c>
      <c r="L14" s="1">
        <f>'1'!K20-'1'!J20</f>
        <v>338825.9419160001</v>
      </c>
      <c r="M14" s="1">
        <f>'1'!L20-'1'!K20</f>
        <v>155375.8962214794</v>
      </c>
    </row>
    <row r="15" spans="1:13" x14ac:dyDescent="0.2">
      <c r="C15" t="s">
        <v>60</v>
      </c>
      <c r="D15" s="1">
        <v>75647</v>
      </c>
      <c r="E15" s="1">
        <v>65857</v>
      </c>
      <c r="F15" s="1">
        <v>100322</v>
      </c>
      <c r="G15" s="1">
        <v>388597</v>
      </c>
      <c r="H15" s="1">
        <v>-37328</v>
      </c>
      <c r="I15" s="1">
        <f>'1'!H21-'1'!G21</f>
        <v>104913.90000000014</v>
      </c>
      <c r="J15" s="1">
        <f>'1'!I21-'1'!H21</f>
        <v>115405.29000000004</v>
      </c>
      <c r="K15" s="1">
        <f>'1'!J21-'1'!I21</f>
        <v>88862.07330000028</v>
      </c>
      <c r="L15" s="1">
        <f>'1'!K21-'1'!J21</f>
        <v>95082.418431000318</v>
      </c>
      <c r="M15" s="1">
        <f>'1'!L21-'1'!K21</f>
        <v>43602.080451929942</v>
      </c>
    </row>
    <row r="16" spans="1:13" x14ac:dyDescent="0.2">
      <c r="C16" t="s">
        <v>61</v>
      </c>
      <c r="D16" s="1">
        <v>-156504</v>
      </c>
      <c r="E16" s="1">
        <v>56390</v>
      </c>
      <c r="F16" s="1">
        <v>-20404</v>
      </c>
      <c r="G16" s="1">
        <v>-6522</v>
      </c>
      <c r="H16" s="1">
        <v>-14642</v>
      </c>
      <c r="I16" s="1">
        <f>'1'!H22-'1'!G22</f>
        <v>805.50000000000182</v>
      </c>
      <c r="J16" s="1">
        <f>'1'!I22-'1'!H22</f>
        <v>886.05000000000109</v>
      </c>
      <c r="K16" s="1">
        <f>'1'!J22-'1'!I22</f>
        <v>682.25850000000173</v>
      </c>
      <c r="L16" s="1">
        <f>'1'!K22-'1'!J22</f>
        <v>730.01659500000278</v>
      </c>
      <c r="M16" s="1">
        <f>'1'!L22-'1'!K22</f>
        <v>334.76475285000197</v>
      </c>
    </row>
    <row r="17" spans="1:13" x14ac:dyDescent="0.2">
      <c r="C17" t="s">
        <v>62</v>
      </c>
      <c r="D17" s="9">
        <v>-1633</v>
      </c>
      <c r="E17" s="9">
        <v>-152</v>
      </c>
      <c r="F17" s="9">
        <v>-6959</v>
      </c>
      <c r="G17" s="9">
        <v>-3611</v>
      </c>
      <c r="H17" s="9">
        <v>-7494</v>
      </c>
      <c r="I17" s="9">
        <f>'1'!H27-'1'!G27</f>
        <v>0</v>
      </c>
      <c r="J17" s="9">
        <v>0</v>
      </c>
      <c r="K17" s="9">
        <v>0</v>
      </c>
      <c r="L17" s="9">
        <v>0</v>
      </c>
      <c r="M17" s="9">
        <v>0</v>
      </c>
    </row>
    <row r="18" spans="1:13" x14ac:dyDescent="0.2">
      <c r="A18" t="s">
        <v>63</v>
      </c>
      <c r="D18" s="3">
        <v>1802108</v>
      </c>
      <c r="E18" s="3">
        <v>2143550</v>
      </c>
      <c r="F18" s="3">
        <f>F5+SUM(F7:F11)+SUM(F12:F17)</f>
        <v>2237998</v>
      </c>
      <c r="G18" s="3">
        <v>3876159</v>
      </c>
      <c r="H18" s="3">
        <f>SUM(H5:H17)</f>
        <v>2865811</v>
      </c>
      <c r="I18" s="3">
        <f>I5+SUM(I7:I11)+SUM(I12:I17)</f>
        <v>3447904.3713974021</v>
      </c>
      <c r="J18" s="3">
        <f>J5+SUM(J7:J11)+SUM(J12:J17)</f>
        <v>3800393.926213101</v>
      </c>
      <c r="K18" s="3">
        <f>K5+SUM(K7:K11)+SUM(K12:K17)</f>
        <v>4093787.4144693762</v>
      </c>
      <c r="L18" s="3">
        <f>L5+SUM(L7:L11)+SUM(L12:L17)</f>
        <v>4384516.2163213911</v>
      </c>
      <c r="M18" s="3">
        <f>M5+SUM(M7:M11)+SUM(M12:M17)</f>
        <v>4551271.6422461821</v>
      </c>
    </row>
    <row r="19" spans="1:13" x14ac:dyDescent="0.2">
      <c r="A19" s="2" t="s">
        <v>64</v>
      </c>
    </row>
    <row r="20" spans="1:13" x14ac:dyDescent="0.2">
      <c r="A20" t="s">
        <v>65</v>
      </c>
      <c r="D20" s="1">
        <v>-646456</v>
      </c>
      <c r="E20" s="1">
        <v>-734380</v>
      </c>
      <c r="F20" s="1">
        <v>-784843</v>
      </c>
      <c r="G20" s="1">
        <v>-1027963</v>
      </c>
      <c r="H20" s="1">
        <v>-1070460</v>
      </c>
      <c r="I20" s="1">
        <f>-('1'!H10-'1'!G10)</f>
        <v>-434612.70000000112</v>
      </c>
      <c r="J20" s="1">
        <f>-('1'!I10-'1'!H10)</f>
        <v>-478073.96999999974</v>
      </c>
      <c r="K20" s="1">
        <f>-('1'!J10-'1'!I10)</f>
        <v>-368116.95690000057</v>
      </c>
      <c r="L20" s="1">
        <f>-('1'!K10-'1'!J10)</f>
        <v>-393885.14388300106</v>
      </c>
      <c r="M20" s="1">
        <f>-('1'!L10-'1'!K10)</f>
        <v>-180624.47312348988</v>
      </c>
    </row>
    <row r="21" spans="1:13" x14ac:dyDescent="0.2">
      <c r="A21" t="s">
        <v>66</v>
      </c>
      <c r="D21" s="9">
        <v>1428</v>
      </c>
      <c r="E21" s="9">
        <v>2777</v>
      </c>
      <c r="F21" s="9">
        <v>2358</v>
      </c>
      <c r="G21" s="9">
        <v>3053</v>
      </c>
      <c r="H21" s="9">
        <v>4903</v>
      </c>
      <c r="I21" s="9"/>
      <c r="J21" s="9"/>
      <c r="K21" s="9"/>
      <c r="L21" s="9"/>
      <c r="M21" s="9"/>
    </row>
    <row r="22" spans="1:13" x14ac:dyDescent="0.2">
      <c r="A22" t="s">
        <v>67</v>
      </c>
      <c r="D22" s="3">
        <f t="shared" ref="D22:M22" si="1">D20+D21</f>
        <v>-645028</v>
      </c>
      <c r="E22" s="3">
        <f t="shared" si="1"/>
        <v>-731603</v>
      </c>
      <c r="F22" s="3">
        <f t="shared" si="1"/>
        <v>-782485</v>
      </c>
      <c r="G22" s="3">
        <f t="shared" si="1"/>
        <v>-1024910</v>
      </c>
      <c r="H22" s="3">
        <f t="shared" si="1"/>
        <v>-1065557</v>
      </c>
      <c r="I22" s="3">
        <f t="shared" si="1"/>
        <v>-434612.70000000112</v>
      </c>
      <c r="J22" s="3">
        <f t="shared" si="1"/>
        <v>-478073.96999999974</v>
      </c>
      <c r="K22" s="3">
        <f t="shared" si="1"/>
        <v>-368116.95690000057</v>
      </c>
      <c r="L22" s="3">
        <f t="shared" si="1"/>
        <v>-393885.14388300106</v>
      </c>
      <c r="M22" s="3">
        <f t="shared" si="1"/>
        <v>-180624.47312348988</v>
      </c>
    </row>
    <row r="23" spans="1:13" x14ac:dyDescent="0.2">
      <c r="A23" s="2" t="s">
        <v>68</v>
      </c>
    </row>
    <row r="24" spans="1:13" x14ac:dyDescent="0.2">
      <c r="A24" t="s">
        <v>69</v>
      </c>
      <c r="D24" s="1">
        <v>599556</v>
      </c>
      <c r="E24" s="1">
        <v>499495</v>
      </c>
      <c r="G24" s="1">
        <v>1494315</v>
      </c>
      <c r="I24" s="1">
        <f>'1'!H24-'1'!G24</f>
        <v>0</v>
      </c>
      <c r="J24" s="1">
        <f>'1'!I24-'1'!H24</f>
        <v>0</v>
      </c>
      <c r="K24" s="39">
        <f>2099501.3</f>
        <v>2099501.2999999998</v>
      </c>
      <c r="L24" s="1"/>
      <c r="M24" s="39">
        <f>11166815.89</f>
        <v>11166815.890000001</v>
      </c>
    </row>
    <row r="25" spans="1:13" x14ac:dyDescent="0.2">
      <c r="A25" t="s">
        <v>70</v>
      </c>
      <c r="D25" s="1">
        <v>-752676</v>
      </c>
      <c r="E25" s="1">
        <v>-577321</v>
      </c>
      <c r="F25" s="1">
        <v>-1465</v>
      </c>
      <c r="G25" s="1">
        <v>-4640</v>
      </c>
      <c r="H25" s="1">
        <v>-6402</v>
      </c>
      <c r="I25" s="1"/>
      <c r="J25" s="39">
        <f>-2099501.3</f>
        <v>-2099501.2999999998</v>
      </c>
      <c r="K25" s="1"/>
      <c r="L25" s="39">
        <f>-6000000</f>
        <v>-6000000</v>
      </c>
      <c r="M25" s="1"/>
    </row>
    <row r="26" spans="1:13" x14ac:dyDescent="0.2">
      <c r="A26" t="s">
        <v>71</v>
      </c>
      <c r="D26" s="1">
        <v>-60300</v>
      </c>
      <c r="E26" s="1">
        <v>-63300</v>
      </c>
      <c r="F26" s="1">
        <v>58300</v>
      </c>
      <c r="G26" s="1">
        <v>-425200</v>
      </c>
      <c r="H26" s="1">
        <v>54300</v>
      </c>
      <c r="I26" s="39">
        <f>H26</f>
        <v>54300</v>
      </c>
      <c r="J26" s="39">
        <f t="shared" ref="J26:M28" si="2">I26</f>
        <v>54300</v>
      </c>
      <c r="K26" s="39">
        <f t="shared" si="2"/>
        <v>54300</v>
      </c>
      <c r="L26" s="39">
        <f t="shared" si="2"/>
        <v>54300</v>
      </c>
      <c r="M26" s="39">
        <f t="shared" si="2"/>
        <v>54300</v>
      </c>
    </row>
    <row r="27" spans="1:13" x14ac:dyDescent="0.2">
      <c r="A27" t="s">
        <v>72</v>
      </c>
      <c r="D27" s="1">
        <v>0</v>
      </c>
      <c r="E27" s="1">
        <v>0</v>
      </c>
      <c r="F27" s="1">
        <v>0</v>
      </c>
      <c r="G27" s="1">
        <v>300000</v>
      </c>
      <c r="H27" s="1">
        <v>0</v>
      </c>
      <c r="I27" s="1">
        <f>H27</f>
        <v>0</v>
      </c>
      <c r="J27" s="1">
        <f t="shared" si="2"/>
        <v>0</v>
      </c>
      <c r="K27" s="1">
        <f t="shared" si="2"/>
        <v>0</v>
      </c>
      <c r="L27" s="1">
        <f t="shared" si="2"/>
        <v>0</v>
      </c>
      <c r="M27" s="1">
        <f t="shared" si="2"/>
        <v>0</v>
      </c>
    </row>
    <row r="28" spans="1:13" x14ac:dyDescent="0.2">
      <c r="A28" t="s">
        <v>73</v>
      </c>
      <c r="D28" s="1">
        <v>0</v>
      </c>
      <c r="E28" s="1">
        <v>0</v>
      </c>
      <c r="F28" s="1">
        <v>0</v>
      </c>
      <c r="G28" s="1">
        <v>-300000</v>
      </c>
      <c r="H28" s="1">
        <v>0</v>
      </c>
      <c r="I28" s="1">
        <f>H28</f>
        <v>0</v>
      </c>
      <c r="J28" s="1">
        <f t="shared" si="2"/>
        <v>0</v>
      </c>
      <c r="K28" s="1">
        <f t="shared" si="2"/>
        <v>0</v>
      </c>
      <c r="L28" s="1">
        <f t="shared" si="2"/>
        <v>0</v>
      </c>
      <c r="M28" s="1">
        <f t="shared" si="2"/>
        <v>0</v>
      </c>
    </row>
    <row r="29" spans="1:13" x14ac:dyDescent="0.2">
      <c r="A29" t="s">
        <v>74</v>
      </c>
      <c r="D29" s="1">
        <v>-9524</v>
      </c>
      <c r="E29" s="1">
        <v>-4384</v>
      </c>
      <c r="F29" s="1">
        <v>-1675</v>
      </c>
      <c r="G29" s="1">
        <v>-13574</v>
      </c>
      <c r="H29" s="1">
        <v>-2268</v>
      </c>
    </row>
    <row r="30" spans="1:13" x14ac:dyDescent="0.2">
      <c r="A30" t="s">
        <v>75</v>
      </c>
      <c r="D30" s="1">
        <v>-579712</v>
      </c>
      <c r="E30" s="1">
        <v>-1007494</v>
      </c>
      <c r="F30" s="1">
        <v>-1200376</v>
      </c>
      <c r="G30" s="1">
        <v>-2466434</v>
      </c>
      <c r="H30" s="1">
        <v>-2549669</v>
      </c>
      <c r="I30" s="39">
        <f>-1189415.37</f>
        <v>-1189415.3700000001</v>
      </c>
      <c r="J30" s="39">
        <f>-2549669</f>
        <v>-2549669</v>
      </c>
      <c r="K30" s="39">
        <f>-1082421.44</f>
        <v>-1082421.44</v>
      </c>
      <c r="L30" s="39">
        <f>-6618285.24</f>
        <v>-6618285.2400000002</v>
      </c>
      <c r="M30" s="39"/>
    </row>
    <row r="31" spans="1:13" x14ac:dyDescent="0.2">
      <c r="A31" t="s">
        <v>76</v>
      </c>
      <c r="D31" s="1">
        <v>-282931</v>
      </c>
      <c r="E31" s="1">
        <v>-306523</v>
      </c>
      <c r="F31" s="1">
        <v>-327568</v>
      </c>
      <c r="G31" s="1">
        <v>-355926</v>
      </c>
      <c r="H31" s="1">
        <v>-392188</v>
      </c>
      <c r="I31" s="1">
        <f>-('Income Statement'!G13*'Income Statement'!$M$6)</f>
        <v>-476380.4755977621</v>
      </c>
      <c r="J31" s="1">
        <f>-('Income Statement'!H13*'Income Statement'!$M$6)</f>
        <v>-525404.36433921102</v>
      </c>
      <c r="K31" s="1">
        <f>-('Income Statement'!I13*'Income Statement'!$M$6)</f>
        <v>-562903.30725742574</v>
      </c>
      <c r="L31" s="1">
        <f>-('Income Statement'!J13*'Income Statement'!$M$6)</f>
        <v>-603056.00167649414</v>
      </c>
      <c r="M31" s="1">
        <f>-('Income Statement'!K13*'Income Statement'!$M$6)</f>
        <v>-620887.86791762558</v>
      </c>
    </row>
    <row r="32" spans="1:13" x14ac:dyDescent="0.2">
      <c r="A32" t="s">
        <v>77</v>
      </c>
      <c r="D32" s="9">
        <v>8033</v>
      </c>
      <c r="E32" s="9">
        <v>15626</v>
      </c>
      <c r="F32" s="9">
        <v>22104</v>
      </c>
      <c r="G32" s="9">
        <v>56467</v>
      </c>
      <c r="H32" s="1">
        <v>64225</v>
      </c>
      <c r="I32" s="27"/>
    </row>
    <row r="33" spans="1:13" x14ac:dyDescent="0.2">
      <c r="A33" t="s">
        <v>78</v>
      </c>
      <c r="D33" s="3">
        <f t="shared" ref="D33:M33" si="3">SUM(D24:D32)</f>
        <v>-1077554</v>
      </c>
      <c r="E33" s="3">
        <f t="shared" si="3"/>
        <v>-1443901</v>
      </c>
      <c r="F33" s="3">
        <f t="shared" si="3"/>
        <v>-1450680</v>
      </c>
      <c r="G33" s="3">
        <f t="shared" si="3"/>
        <v>-1714992</v>
      </c>
      <c r="H33" s="24">
        <f t="shared" si="3"/>
        <v>-2832002</v>
      </c>
      <c r="I33" s="24">
        <f t="shared" si="3"/>
        <v>-1611495.8455977621</v>
      </c>
      <c r="J33" s="24">
        <f t="shared" si="3"/>
        <v>-5120274.6643392108</v>
      </c>
      <c r="K33" s="24">
        <f t="shared" si="3"/>
        <v>508476.55274257413</v>
      </c>
      <c r="L33" s="24">
        <f t="shared" si="3"/>
        <v>-13167041.241676494</v>
      </c>
      <c r="M33" s="24">
        <f t="shared" si="3"/>
        <v>10600228.022082375</v>
      </c>
    </row>
    <row r="34" spans="1:13" x14ac:dyDescent="0.2">
      <c r="A34" t="s">
        <v>79</v>
      </c>
      <c r="D34" s="1">
        <v>79526</v>
      </c>
      <c r="E34" s="1">
        <v>-31954</v>
      </c>
      <c r="F34" s="1">
        <v>4833</v>
      </c>
      <c r="G34" s="1">
        <v>1136257</v>
      </c>
      <c r="H34" s="1">
        <v>-1031748</v>
      </c>
      <c r="I34" s="1">
        <f>SUM(I18,I22,I33)</f>
        <v>1401795.8257996389</v>
      </c>
      <c r="J34" s="1">
        <f>SUM(J18,J22,J33)</f>
        <v>-1797954.7081261096</v>
      </c>
      <c r="K34" s="1">
        <f>SUM(K18,K22,K33)</f>
        <v>4234147.01031195</v>
      </c>
      <c r="L34" s="1">
        <f>SUM(L18,L22,L33)</f>
        <v>-9176410.1692381054</v>
      </c>
      <c r="M34" s="1">
        <f>SUM(M18,M22,M33)</f>
        <v>14970875.191205068</v>
      </c>
    </row>
    <row r="35" spans="1:13" x14ac:dyDescent="0.2">
      <c r="A35" t="s">
        <v>80</v>
      </c>
      <c r="D35" s="1">
        <v>187915</v>
      </c>
      <c r="E35" s="1">
        <v>267441</v>
      </c>
      <c r="F35" s="1">
        <v>235487</v>
      </c>
      <c r="G35" s="1">
        <v>240320</v>
      </c>
      <c r="H35" s="1">
        <v>1376577</v>
      </c>
      <c r="I35" s="1">
        <f>H36</f>
        <v>344829</v>
      </c>
      <c r="J35" s="1">
        <f>I36</f>
        <v>1746624.8257996389</v>
      </c>
      <c r="K35" s="1">
        <f>J36</f>
        <v>-51329.882326470688</v>
      </c>
      <c r="L35" s="1">
        <f>K36</f>
        <v>4182817.1279854793</v>
      </c>
      <c r="M35" s="1">
        <f>L36</f>
        <v>-4993593.0412526261</v>
      </c>
    </row>
    <row r="36" spans="1:13" x14ac:dyDescent="0.2">
      <c r="A36" t="s">
        <v>81</v>
      </c>
      <c r="D36" s="13">
        <f t="shared" ref="D36:M36" si="4">D34+D35</f>
        <v>267441</v>
      </c>
      <c r="E36" s="13">
        <f t="shared" si="4"/>
        <v>235487</v>
      </c>
      <c r="F36" s="13">
        <f t="shared" si="4"/>
        <v>240320</v>
      </c>
      <c r="G36" s="13">
        <f t="shared" si="4"/>
        <v>1376577</v>
      </c>
      <c r="H36" s="13">
        <f t="shared" si="4"/>
        <v>344829</v>
      </c>
      <c r="I36" s="13">
        <f t="shared" si="4"/>
        <v>1746624.8257996389</v>
      </c>
      <c r="J36" s="13">
        <f t="shared" si="4"/>
        <v>-51329.882326470688</v>
      </c>
      <c r="K36" s="13">
        <f t="shared" si="4"/>
        <v>4182817.1279854793</v>
      </c>
      <c r="L36" s="13">
        <f t="shared" si="4"/>
        <v>-4993593.0412526261</v>
      </c>
      <c r="M36" s="13">
        <f t="shared" si="4"/>
        <v>9977282.1499524415</v>
      </c>
    </row>
    <row r="37" spans="1:13" x14ac:dyDescent="0.2">
      <c r="A37" s="2"/>
    </row>
    <row r="38" spans="1:13" x14ac:dyDescent="0.2">
      <c r="G38" s="1" t="s">
        <v>82</v>
      </c>
      <c r="I38" s="38">
        <f>'1'!H5-'1'!G5</f>
        <v>1746624.8221675828</v>
      </c>
      <c r="J38" s="38">
        <f>'1'!I5-'1'!H5</f>
        <v>-49628.562167581171</v>
      </c>
      <c r="K38" s="38">
        <f>'1'!J5-'1'!I5</f>
        <v>4182817.125363376</v>
      </c>
      <c r="L38" s="38">
        <f>'1'!K5-'1'!J5</f>
        <v>-4960715.7805893794</v>
      </c>
      <c r="M38" s="38">
        <f>'1'!L5-'1'!K5</f>
        <v>9976570.2830447927</v>
      </c>
    </row>
    <row r="39" spans="1:13" x14ac:dyDescent="0.2">
      <c r="D39" s="1"/>
      <c r="E39" s="1"/>
      <c r="I39" s="1"/>
      <c r="J39" s="1"/>
      <c r="K39" s="1"/>
      <c r="L39" s="1"/>
      <c r="M39" s="1"/>
    </row>
    <row r="40" spans="1:13" x14ac:dyDescent="0.2">
      <c r="D40" s="1"/>
      <c r="E40" s="1"/>
      <c r="I40" s="1"/>
    </row>
    <row r="41" spans="1:13" x14ac:dyDescent="0.2">
      <c r="A41" s="2"/>
      <c r="D41" s="1"/>
      <c r="I41" s="1"/>
    </row>
    <row r="42" spans="1:13" x14ac:dyDescent="0.2">
      <c r="D42" s="1"/>
      <c r="E42" s="1"/>
      <c r="I42" s="1"/>
    </row>
    <row r="43" spans="1:13" x14ac:dyDescent="0.2">
      <c r="D43" s="1"/>
      <c r="E43" s="1"/>
    </row>
  </sheetData>
  <mergeCells count="2">
    <mergeCell ref="D2:G2"/>
    <mergeCell ref="I2:M2"/>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CACD0-2E8B-45C0-9732-4BE7D8451D54}">
  <dimension ref="A1:K33"/>
  <sheetViews>
    <sheetView zoomScale="87" workbookViewId="0"/>
  </sheetViews>
  <sheetFormatPr baseColWidth="10" defaultColWidth="8.83203125" defaultRowHeight="16" x14ac:dyDescent="0.2"/>
  <cols>
    <col min="1" max="1" width="17.1640625" bestFit="1" customWidth="1"/>
    <col min="2" max="2" width="17.83203125" bestFit="1" customWidth="1"/>
    <col min="3" max="6" width="15.83203125" bestFit="1" customWidth="1"/>
    <col min="7" max="7" width="18.1640625" bestFit="1" customWidth="1"/>
    <col min="8" max="8" width="16.6640625" customWidth="1"/>
    <col min="9" max="9" width="16.5" bestFit="1" customWidth="1"/>
  </cols>
  <sheetData>
    <row r="1" spans="1:11" x14ac:dyDescent="0.2">
      <c r="A1" s="49" t="s">
        <v>83</v>
      </c>
      <c r="B1" s="23">
        <v>2023</v>
      </c>
      <c r="C1" s="23">
        <v>2024</v>
      </c>
      <c r="D1" s="23">
        <v>2025</v>
      </c>
      <c r="E1" s="23">
        <v>2026</v>
      </c>
      <c r="F1" s="23">
        <v>2027</v>
      </c>
      <c r="G1" s="32">
        <v>2028</v>
      </c>
      <c r="I1" t="s">
        <v>84</v>
      </c>
      <c r="J1" s="30">
        <f>0.041</f>
        <v>4.1000000000000002E-2</v>
      </c>
      <c r="K1" t="s">
        <v>85</v>
      </c>
    </row>
    <row r="2" spans="1:11" x14ac:dyDescent="0.2">
      <c r="A2" t="s">
        <v>86</v>
      </c>
      <c r="B2" s="1">
        <f>-('2'!I31+'2'!I30)</f>
        <v>1665795.8455977621</v>
      </c>
      <c r="C2" s="1">
        <f>-('2'!J31+'2'!J30)</f>
        <v>3075073.364339211</v>
      </c>
      <c r="D2" s="1">
        <f>-('2'!K31+'2'!K30)</f>
        <v>1645324.7472574257</v>
      </c>
      <c r="E2" s="1">
        <f>-('2'!L31+'2'!L30)</f>
        <v>7221341.2416764945</v>
      </c>
      <c r="F2" s="1">
        <f>-('2'!M31+'2'!M30)</f>
        <v>620887.86791762558</v>
      </c>
      <c r="G2" s="1">
        <f>('Income Statement'!K13*(1+J6))+'1'!L35-('1'!L35*(1*'Valuation Models'!J6))</f>
        <v>21720934.167842653</v>
      </c>
      <c r="I2" t="s">
        <v>87</v>
      </c>
      <c r="J2">
        <v>0.1086</v>
      </c>
      <c r="K2" t="s">
        <v>88</v>
      </c>
    </row>
    <row r="3" spans="1:11" x14ac:dyDescent="0.2">
      <c r="G3" s="35">
        <f>G2/(J5-J6)</f>
        <v>1250917655.3698828</v>
      </c>
      <c r="H3" t="s">
        <v>89</v>
      </c>
      <c r="I3" t="s">
        <v>90</v>
      </c>
      <c r="J3" s="30">
        <f>J2-J1</f>
        <v>6.7599999999999993E-2</v>
      </c>
    </row>
    <row r="4" spans="1:11" x14ac:dyDescent="0.2">
      <c r="A4" t="s">
        <v>91</v>
      </c>
      <c r="B4" s="31">
        <f>1+$J$5</f>
        <v>1.067364</v>
      </c>
      <c r="C4" s="31">
        <f>(1+$J$5)^2</f>
        <v>1.139265908496</v>
      </c>
      <c r="D4" s="31">
        <f>(1+$J$5)^3</f>
        <v>1.2160114171559244</v>
      </c>
      <c r="E4" s="31">
        <f>(1+$J$5)^4</f>
        <v>1.2979268102612163</v>
      </c>
      <c r="F4" s="31">
        <f>(1+$J$5)^5</f>
        <v>1.3853603519076527</v>
      </c>
      <c r="G4" s="31">
        <f>(1+$J$5)^5</f>
        <v>1.3853603519076527</v>
      </c>
      <c r="I4" t="s">
        <v>92</v>
      </c>
      <c r="J4" s="29">
        <v>0.39</v>
      </c>
    </row>
    <row r="5" spans="1:11" x14ac:dyDescent="0.2">
      <c r="A5" t="s">
        <v>93</v>
      </c>
      <c r="B5" s="35">
        <f>B2/B4</f>
        <v>1560663.321601405</v>
      </c>
      <c r="C5" s="35">
        <f t="shared" ref="C5:F5" si="0">C2/C4</f>
        <v>2699170.8796050646</v>
      </c>
      <c r="D5" s="35">
        <f t="shared" si="0"/>
        <v>1353050.4105838111</v>
      </c>
      <c r="E5" s="35">
        <f t="shared" si="0"/>
        <v>5563750.7327729464</v>
      </c>
      <c r="F5" s="35">
        <f t="shared" si="0"/>
        <v>448177.88170612638</v>
      </c>
      <c r="G5" s="35">
        <f>G3/G4</f>
        <v>902954710.4097203</v>
      </c>
      <c r="I5" t="s">
        <v>94</v>
      </c>
      <c r="J5" s="31">
        <f>J1+(J4*J3)</f>
        <v>6.7364000000000007E-2</v>
      </c>
      <c r="K5" t="s">
        <v>95</v>
      </c>
    </row>
    <row r="6" spans="1:11" x14ac:dyDescent="0.2">
      <c r="A6" t="s">
        <v>96</v>
      </c>
      <c r="B6" s="36">
        <f>SUM(B5:G5)</f>
        <v>914579523.63598967</v>
      </c>
      <c r="C6" s="35"/>
      <c r="D6" s="35"/>
      <c r="E6" s="35"/>
      <c r="F6" s="35"/>
      <c r="G6" s="35"/>
      <c r="I6" t="s">
        <v>97</v>
      </c>
      <c r="J6" s="29">
        <v>0.05</v>
      </c>
    </row>
    <row r="9" spans="1:11" x14ac:dyDescent="0.2">
      <c r="A9" s="49" t="s">
        <v>98</v>
      </c>
      <c r="B9" s="23">
        <v>2023</v>
      </c>
      <c r="C9" s="23">
        <v>2024</v>
      </c>
      <c r="D9" s="23">
        <v>2025</v>
      </c>
      <c r="E9" s="23">
        <v>2026</v>
      </c>
      <c r="F9" s="23">
        <v>2027</v>
      </c>
      <c r="G9" s="32">
        <v>2028</v>
      </c>
    </row>
    <row r="10" spans="1:11" x14ac:dyDescent="0.2">
      <c r="A10" t="s">
        <v>99</v>
      </c>
      <c r="B10" s="1">
        <f>'2'!I18</f>
        <v>3447904.3713974021</v>
      </c>
      <c r="C10" s="1">
        <f>'2'!J18</f>
        <v>3800393.926213101</v>
      </c>
      <c r="D10" s="1">
        <f>'2'!K18</f>
        <v>4093787.4144693762</v>
      </c>
      <c r="E10" s="1">
        <f>'2'!L18</f>
        <v>4384516.2163213911</v>
      </c>
      <c r="F10" s="1">
        <f>'2'!M18</f>
        <v>4551271.6422461821</v>
      </c>
      <c r="G10" s="1">
        <f>('Income Statement'!K13*(1+J6))+'1'!L35-('1'!L35*(1*'Valuation Models'!J6))</f>
        <v>21720934.167842653</v>
      </c>
    </row>
    <row r="11" spans="1:11" x14ac:dyDescent="0.2">
      <c r="A11" t="s">
        <v>100</v>
      </c>
      <c r="B11" s="1">
        <f>'2'!I22</f>
        <v>-434612.70000000112</v>
      </c>
      <c r="C11" s="1">
        <f>'2'!J22</f>
        <v>-478073.96999999974</v>
      </c>
      <c r="D11" s="1">
        <f>'2'!K22</f>
        <v>-368116.95690000057</v>
      </c>
      <c r="E11" s="1">
        <f>'2'!L22</f>
        <v>-393885.14388300106</v>
      </c>
      <c r="F11" s="1">
        <f>'2'!M22</f>
        <v>-180624.47312348988</v>
      </c>
      <c r="G11" s="35">
        <f>G10/(J5-J6)</f>
        <v>1250917655.3698828</v>
      </c>
      <c r="H11" t="s">
        <v>89</v>
      </c>
    </row>
    <row r="12" spans="1:11" x14ac:dyDescent="0.2">
      <c r="A12" t="s">
        <v>101</v>
      </c>
      <c r="B12" s="1">
        <f>SUM('2'!I24:I29)</f>
        <v>54300</v>
      </c>
      <c r="C12" s="1">
        <f>SUM('2'!J24:J29)</f>
        <v>-2045201.2999999998</v>
      </c>
      <c r="D12" s="1">
        <f>SUM('2'!K24:K29)</f>
        <v>2153801.2999999998</v>
      </c>
      <c r="E12" s="1">
        <f>SUM('2'!L24:L29)</f>
        <v>-5945700</v>
      </c>
      <c r="F12" s="1">
        <f>SUM('2'!M24:M29)</f>
        <v>11221115.890000001</v>
      </c>
    </row>
    <row r="13" spans="1:11" x14ac:dyDescent="0.2">
      <c r="A13" t="s">
        <v>102</v>
      </c>
      <c r="B13" s="9">
        <f>'2'!I34</f>
        <v>1401795.8257996389</v>
      </c>
      <c r="C13" s="9">
        <f>'2'!J34</f>
        <v>-1797954.7081261096</v>
      </c>
      <c r="D13" s="9">
        <f>'2'!K34</f>
        <v>4234147.01031195</v>
      </c>
      <c r="E13" s="9">
        <f>'2'!L34</f>
        <v>-9176410.1692381054</v>
      </c>
      <c r="F13" s="9">
        <f>'2'!M34</f>
        <v>14970875.191205068</v>
      </c>
      <c r="G13" s="34"/>
    </row>
    <row r="14" spans="1:11" x14ac:dyDescent="0.2">
      <c r="A14" t="s">
        <v>103</v>
      </c>
      <c r="B14" s="1">
        <f>SUM(B10:B12)-B13</f>
        <v>1665795.8455977621</v>
      </c>
      <c r="C14" s="1">
        <f t="shared" ref="C14:F14" si="1">SUM(C10:C12)-C13</f>
        <v>3075073.364339211</v>
      </c>
      <c r="D14" s="1">
        <f t="shared" si="1"/>
        <v>1645324.7472574254</v>
      </c>
      <c r="E14" s="1">
        <f t="shared" si="1"/>
        <v>7221341.2416764954</v>
      </c>
      <c r="F14" s="1">
        <f t="shared" si="1"/>
        <v>620887.86791762523</v>
      </c>
    </row>
    <row r="16" spans="1:11" x14ac:dyDescent="0.2">
      <c r="A16" t="s">
        <v>91</v>
      </c>
      <c r="B16" s="31">
        <f>B4</f>
        <v>1.067364</v>
      </c>
      <c r="C16" s="31">
        <f t="shared" ref="C16:G16" si="2">C4</f>
        <v>1.139265908496</v>
      </c>
      <c r="D16" s="31">
        <f t="shared" si="2"/>
        <v>1.2160114171559244</v>
      </c>
      <c r="E16" s="31">
        <f t="shared" si="2"/>
        <v>1.2979268102612163</v>
      </c>
      <c r="F16" s="31">
        <f t="shared" si="2"/>
        <v>1.3853603519076527</v>
      </c>
      <c r="G16" s="31">
        <f t="shared" si="2"/>
        <v>1.3853603519076527</v>
      </c>
    </row>
    <row r="17" spans="1:8" x14ac:dyDescent="0.2">
      <c r="A17" t="s">
        <v>104</v>
      </c>
      <c r="B17" s="35">
        <f>B14/B16</f>
        <v>1560663.321601405</v>
      </c>
      <c r="C17" s="35">
        <f t="shared" ref="C17:F17" si="3">C14/C16</f>
        <v>2699170.8796050646</v>
      </c>
      <c r="D17" s="35">
        <f t="shared" si="3"/>
        <v>1353050.4105838111</v>
      </c>
      <c r="E17" s="35">
        <f t="shared" si="3"/>
        <v>5563750.7327729464</v>
      </c>
      <c r="F17" s="35">
        <f t="shared" si="3"/>
        <v>448177.88170612609</v>
      </c>
      <c r="G17" s="35">
        <f>G11/G16</f>
        <v>902954710.4097203</v>
      </c>
    </row>
    <row r="18" spans="1:8" x14ac:dyDescent="0.2">
      <c r="A18" t="s">
        <v>96</v>
      </c>
      <c r="B18" s="36">
        <f>SUM(B17:G17)</f>
        <v>914579523.63598967</v>
      </c>
    </row>
    <row r="21" spans="1:8" x14ac:dyDescent="0.2">
      <c r="A21" s="49" t="s">
        <v>105</v>
      </c>
      <c r="B21" s="23">
        <v>2023</v>
      </c>
      <c r="C21" s="23">
        <v>2024</v>
      </c>
      <c r="D21" s="23">
        <v>2025</v>
      </c>
      <c r="E21" s="23">
        <v>2026</v>
      </c>
      <c r="F21" s="23">
        <v>2027</v>
      </c>
      <c r="G21" s="32">
        <v>2028</v>
      </c>
    </row>
    <row r="22" spans="1:8" x14ac:dyDescent="0.2">
      <c r="A22" t="s">
        <v>106</v>
      </c>
      <c r="B22" s="1">
        <f>'1'!G35</f>
        <v>6261986</v>
      </c>
      <c r="C22" s="1">
        <f>'1'!H35</f>
        <v>8452290.2221675813</v>
      </c>
      <c r="D22" s="1">
        <f>'1'!I35</f>
        <v>10867938.14304621</v>
      </c>
      <c r="E22" s="1">
        <f>'1'!J35</f>
        <v>13449322.577163372</v>
      </c>
      <c r="F22" s="1">
        <f>'1'!K35</f>
        <v>16214818.141596846</v>
      </c>
      <c r="G22" s="1">
        <f>'1'!L35</f>
        <v>19051671.86490158</v>
      </c>
    </row>
    <row r="23" spans="1:8" x14ac:dyDescent="0.2">
      <c r="A23" t="s">
        <v>107</v>
      </c>
      <c r="B23" s="35">
        <f>B22*$J$5</f>
        <v>421832.42490400007</v>
      </c>
      <c r="C23" s="35">
        <f t="shared" ref="C23:G23" si="4">C22*$J$5</f>
        <v>569380.078526097</v>
      </c>
      <c r="D23" s="35">
        <f t="shared" si="4"/>
        <v>732107.78506816493</v>
      </c>
      <c r="E23" s="35">
        <f t="shared" si="4"/>
        <v>906000.16608803347</v>
      </c>
      <c r="F23" s="35">
        <f t="shared" si="4"/>
        <v>1092295.0092905301</v>
      </c>
      <c r="G23" s="35">
        <f t="shared" si="4"/>
        <v>1283396.8235072303</v>
      </c>
    </row>
    <row r="24" spans="1:8" x14ac:dyDescent="0.2">
      <c r="A24" t="s">
        <v>108</v>
      </c>
      <c r="B24" s="9">
        <f>'Income Statement'!G13</f>
        <v>2646558.1977653452</v>
      </c>
      <c r="C24" s="9">
        <f>'Income Statement'!H13</f>
        <v>2918913.1352178389</v>
      </c>
      <c r="D24" s="9">
        <f>'Income Statement'!I13</f>
        <v>3127240.5958745875</v>
      </c>
      <c r="E24" s="9">
        <f>'Income Statement'!J13</f>
        <v>3350311.1204249673</v>
      </c>
      <c r="F24" s="9">
        <f>'Income Statement'!K13</f>
        <v>3449377.043986809</v>
      </c>
      <c r="G24" s="9">
        <f>F24*(1+J6)</f>
        <v>3621845.8961861497</v>
      </c>
    </row>
    <row r="25" spans="1:8" x14ac:dyDescent="0.2">
      <c r="A25" t="s">
        <v>109</v>
      </c>
      <c r="B25" s="1">
        <f>B24-B23</f>
        <v>2224725.7728613452</v>
      </c>
      <c r="C25" s="1">
        <f t="shared" ref="C25:G25" si="5">C24-C23</f>
        <v>2349533.056691742</v>
      </c>
      <c r="D25" s="1">
        <f t="shared" si="5"/>
        <v>2395132.8108064225</v>
      </c>
      <c r="E25" s="1">
        <f t="shared" si="5"/>
        <v>2444310.9543369338</v>
      </c>
      <c r="F25" s="1">
        <f t="shared" si="5"/>
        <v>2357082.0346962791</v>
      </c>
      <c r="G25" s="1">
        <f t="shared" si="5"/>
        <v>2338449.0726789194</v>
      </c>
    </row>
    <row r="26" spans="1:8" x14ac:dyDescent="0.2">
      <c r="G26" s="33">
        <f>G25/($J$5-$J$6)</f>
        <v>134672257.12272051</v>
      </c>
      <c r="H26" t="s">
        <v>89</v>
      </c>
    </row>
    <row r="28" spans="1:8" x14ac:dyDescent="0.2">
      <c r="A28" t="s">
        <v>91</v>
      </c>
      <c r="B28" s="31">
        <f t="shared" ref="B28:G28" si="6">B16</f>
        <v>1.067364</v>
      </c>
      <c r="C28" s="31">
        <f t="shared" si="6"/>
        <v>1.139265908496</v>
      </c>
      <c r="D28" s="31">
        <f t="shared" si="6"/>
        <v>1.2160114171559244</v>
      </c>
      <c r="E28" s="31">
        <f t="shared" si="6"/>
        <v>1.2979268102612163</v>
      </c>
      <c r="F28" s="31">
        <f t="shared" si="6"/>
        <v>1.3853603519076527</v>
      </c>
      <c r="G28" s="31">
        <f t="shared" si="6"/>
        <v>1.3853603519076527</v>
      </c>
    </row>
    <row r="29" spans="1:8" x14ac:dyDescent="0.2">
      <c r="A29" t="s">
        <v>110</v>
      </c>
      <c r="B29" s="35">
        <f>B25/B28</f>
        <v>2084317.7893027544</v>
      </c>
      <c r="C29" s="35">
        <f t="shared" ref="C29:F29" si="7">C25/C28</f>
        <v>2062321.9207827207</v>
      </c>
      <c r="D29" s="35">
        <f t="shared" si="7"/>
        <v>1969663.0944537455</v>
      </c>
      <c r="E29" s="35">
        <f t="shared" si="7"/>
        <v>1883242.5180006877</v>
      </c>
      <c r="F29" s="35">
        <f t="shared" si="7"/>
        <v>1701421.6059024336</v>
      </c>
      <c r="G29" s="35">
        <f>G26/G28</f>
        <v>97210994.191710263</v>
      </c>
    </row>
    <row r="30" spans="1:8" x14ac:dyDescent="0.2">
      <c r="A30" t="s">
        <v>96</v>
      </c>
      <c r="B30" s="36">
        <f>SUM(B29:G29)</f>
        <v>106911961.12015261</v>
      </c>
      <c r="C30" s="35"/>
      <c r="D30" s="35"/>
      <c r="E30" s="35"/>
      <c r="F30" s="35"/>
      <c r="G30" s="35"/>
    </row>
    <row r="32" spans="1:8" x14ac:dyDescent="0.2">
      <c r="A32" t="s">
        <v>111</v>
      </c>
      <c r="B32" s="37">
        <f>226000</f>
        <v>226000</v>
      </c>
    </row>
    <row r="33" spans="1:2" x14ac:dyDescent="0.2">
      <c r="A33" t="s">
        <v>112</v>
      </c>
      <c r="B33" s="1">
        <f>B30/B32</f>
        <v>473.06177486793189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C7FD-37CC-F741-A3DD-B9F8C942A1C2}">
  <dimension ref="A1:M227"/>
  <sheetViews>
    <sheetView showGridLines="0" workbookViewId="0">
      <pane xSplit="1" topLeftCell="B1" activePane="topRight" state="frozen"/>
      <selection pane="topRight" activeCell="I22" sqref="I22"/>
    </sheetView>
  </sheetViews>
  <sheetFormatPr baseColWidth="10" defaultColWidth="11" defaultRowHeight="16" x14ac:dyDescent="0.2"/>
  <cols>
    <col min="1" max="1" width="39" bestFit="1" customWidth="1"/>
    <col min="2" max="2" width="14" style="7" bestFit="1" customWidth="1"/>
    <col min="3" max="3" width="15" bestFit="1" customWidth="1"/>
    <col min="4" max="6" width="15" style="1" bestFit="1" customWidth="1"/>
    <col min="7" max="11" width="15" bestFit="1" customWidth="1"/>
    <col min="12" max="12" width="27.5" bestFit="1" customWidth="1"/>
    <col min="13" max="13" width="7.1640625" bestFit="1" customWidth="1"/>
  </cols>
  <sheetData>
    <row r="1" spans="1:13" x14ac:dyDescent="0.2">
      <c r="A1" s="5" t="s">
        <v>113</v>
      </c>
      <c r="D1" s="18"/>
    </row>
    <row r="2" spans="1:13" x14ac:dyDescent="0.2">
      <c r="B2" s="74" t="s">
        <v>1</v>
      </c>
      <c r="C2" s="74"/>
      <c r="D2" s="74"/>
      <c r="E2" s="74"/>
      <c r="F2" s="74"/>
      <c r="G2" s="75" t="s">
        <v>2</v>
      </c>
      <c r="H2" s="75"/>
      <c r="I2" s="75"/>
      <c r="J2" s="75"/>
      <c r="K2" s="75"/>
    </row>
    <row r="3" spans="1:13" x14ac:dyDescent="0.2">
      <c r="B3" s="22">
        <v>43129</v>
      </c>
      <c r="C3" s="21">
        <v>43496</v>
      </c>
      <c r="D3" s="21">
        <v>43861</v>
      </c>
      <c r="E3" s="21">
        <v>44225</v>
      </c>
      <c r="F3" s="21">
        <v>44589</v>
      </c>
      <c r="G3" s="23">
        <v>2023</v>
      </c>
      <c r="H3" s="23">
        <v>2024</v>
      </c>
      <c r="I3" s="23">
        <v>2025</v>
      </c>
      <c r="J3" s="23">
        <v>2026</v>
      </c>
      <c r="K3" s="23">
        <v>2027</v>
      </c>
      <c r="L3" s="1" t="s">
        <v>114</v>
      </c>
      <c r="M3" s="19">
        <v>0.1</v>
      </c>
    </row>
    <row r="4" spans="1:13" x14ac:dyDescent="0.2">
      <c r="A4" t="s">
        <v>115</v>
      </c>
      <c r="B4" s="7">
        <v>23470967</v>
      </c>
      <c r="C4" s="1">
        <v>25625043</v>
      </c>
      <c r="D4" s="1">
        <v>27753973</v>
      </c>
      <c r="E4" s="1">
        <v>33746839</v>
      </c>
      <c r="F4" s="1">
        <v>34220449</v>
      </c>
      <c r="G4" s="1">
        <f>F4*(1+$M$3)</f>
        <v>37642493.900000006</v>
      </c>
      <c r="H4" s="1">
        <f>G4*(1+$M$3)</f>
        <v>41406743.290000007</v>
      </c>
      <c r="I4" s="1">
        <f>H4*(1+$M$4)</f>
        <v>44305215.320300013</v>
      </c>
      <c r="J4" s="1">
        <f>I4*(1+$M$4)</f>
        <v>47406580.39272102</v>
      </c>
      <c r="K4" s="1">
        <f>J4*(1+M5)</f>
        <v>48828777.804502651</v>
      </c>
      <c r="L4" s="1" t="s">
        <v>116</v>
      </c>
      <c r="M4" s="19">
        <v>7.0000000000000007E-2</v>
      </c>
    </row>
    <row r="5" spans="1:13" x14ac:dyDescent="0.2">
      <c r="A5" t="s">
        <v>117</v>
      </c>
      <c r="B5" s="10">
        <v>16249608</v>
      </c>
      <c r="C5" s="9">
        <v>17821173</v>
      </c>
      <c r="D5" s="9">
        <v>19264912</v>
      </c>
      <c r="E5" s="9">
        <v>23027977</v>
      </c>
      <c r="F5" s="9">
        <v>23407443</v>
      </c>
      <c r="G5" s="9">
        <f>(F5/F4)*G4</f>
        <v>25748187.300000004</v>
      </c>
      <c r="H5" s="9">
        <f>(G5/G4)*H4</f>
        <v>28323006.030000005</v>
      </c>
      <c r="I5" s="9">
        <f>(H5/H4)*I4</f>
        <v>30305616.452100009</v>
      </c>
      <c r="J5" s="9">
        <f>(I5/I4)*J4</f>
        <v>32427009.603747014</v>
      </c>
      <c r="K5" s="9">
        <f>(J5/J4)*K4</f>
        <v>33399819.891859423</v>
      </c>
      <c r="L5" s="1" t="s">
        <v>118</v>
      </c>
      <c r="M5" s="19">
        <v>0.03</v>
      </c>
    </row>
    <row r="6" spans="1:13" x14ac:dyDescent="0.2">
      <c r="A6" t="s">
        <v>119</v>
      </c>
      <c r="B6" s="1">
        <f t="shared" ref="B6:K6" si="0">B4-B5</f>
        <v>7221359</v>
      </c>
      <c r="C6" s="1">
        <f t="shared" si="0"/>
        <v>7803870</v>
      </c>
      <c r="D6" s="1">
        <f t="shared" si="0"/>
        <v>8489061</v>
      </c>
      <c r="E6" s="1">
        <f t="shared" si="0"/>
        <v>10718862</v>
      </c>
      <c r="F6" s="1">
        <f t="shared" si="0"/>
        <v>10813006</v>
      </c>
      <c r="G6" s="1">
        <f t="shared" si="0"/>
        <v>11894306.600000001</v>
      </c>
      <c r="H6" s="1">
        <f t="shared" si="0"/>
        <v>13083737.260000002</v>
      </c>
      <c r="I6" s="1">
        <f t="shared" si="0"/>
        <v>13999598.868200004</v>
      </c>
      <c r="J6" s="1">
        <f t="shared" si="0"/>
        <v>14979570.788974006</v>
      </c>
      <c r="K6" s="1">
        <f t="shared" si="0"/>
        <v>15428957.912643228</v>
      </c>
      <c r="L6" s="1" t="s">
        <v>120</v>
      </c>
      <c r="M6" s="19">
        <v>0.18</v>
      </c>
    </row>
    <row r="7" spans="1:13" x14ac:dyDescent="0.2">
      <c r="A7" t="s">
        <v>121</v>
      </c>
      <c r="B7" s="7">
        <v>5213541</v>
      </c>
      <c r="C7" s="1">
        <v>5687564</v>
      </c>
      <c r="D7" s="1">
        <v>6186757</v>
      </c>
      <c r="E7" s="1">
        <v>7164097</v>
      </c>
      <c r="F7" s="1">
        <v>7592331</v>
      </c>
      <c r="G7" s="9">
        <f>(F7/F4)*G4</f>
        <v>8351564.1000000015</v>
      </c>
      <c r="H7" s="9">
        <f t="shared" ref="H7:K7" si="1">(G7/G4)*H4</f>
        <v>9186720.5100000016</v>
      </c>
      <c r="I7" s="9">
        <f t="shared" si="1"/>
        <v>9829790.9457000028</v>
      </c>
      <c r="J7" s="9">
        <f>(I7/I4)*J4</f>
        <v>10517876.311899005</v>
      </c>
      <c r="K7" s="9">
        <f t="shared" si="1"/>
        <v>10833412.601255976</v>
      </c>
    </row>
    <row r="8" spans="1:13" x14ac:dyDescent="0.2">
      <c r="A8" t="s">
        <v>122</v>
      </c>
      <c r="B8" s="11">
        <f t="shared" ref="B8:K8" si="2">B6-B7</f>
        <v>2007818</v>
      </c>
      <c r="C8" s="11">
        <f t="shared" si="2"/>
        <v>2116306</v>
      </c>
      <c r="D8" s="11">
        <f t="shared" si="2"/>
        <v>2302304</v>
      </c>
      <c r="E8" s="11">
        <f t="shared" si="2"/>
        <v>3554765</v>
      </c>
      <c r="F8" s="11">
        <f t="shared" si="2"/>
        <v>3220675</v>
      </c>
      <c r="G8" s="1">
        <f t="shared" si="2"/>
        <v>3542742.5</v>
      </c>
      <c r="H8" s="1">
        <f t="shared" si="2"/>
        <v>3897016.75</v>
      </c>
      <c r="I8" s="1">
        <f t="shared" si="2"/>
        <v>4169807.9225000013</v>
      </c>
      <c r="J8" s="1">
        <f t="shared" si="2"/>
        <v>4461694.4770750012</v>
      </c>
      <c r="K8" s="1">
        <f t="shared" si="2"/>
        <v>4595545.3113872521</v>
      </c>
    </row>
    <row r="9" spans="1:13" x14ac:dyDescent="0.2">
      <c r="A9" t="s">
        <v>123</v>
      </c>
      <c r="B9" s="7">
        <v>97036</v>
      </c>
      <c r="C9" s="1">
        <v>99871</v>
      </c>
      <c r="D9" s="1">
        <v>100574</v>
      </c>
      <c r="E9" s="1">
        <v>150385</v>
      </c>
      <c r="F9" s="1">
        <v>157526</v>
      </c>
      <c r="G9" s="1">
        <f>F9*1.04</f>
        <v>163827.04</v>
      </c>
      <c r="H9" s="1">
        <f t="shared" ref="H9:K9" si="3">G9*1.04</f>
        <v>170380.12160000001</v>
      </c>
      <c r="I9" s="1">
        <f t="shared" si="3"/>
        <v>177195.32646400001</v>
      </c>
      <c r="J9" s="1">
        <f t="shared" si="3"/>
        <v>184283.13952256003</v>
      </c>
      <c r="K9" s="1">
        <f t="shared" si="3"/>
        <v>191654.46510346243</v>
      </c>
    </row>
    <row r="10" spans="1:13" x14ac:dyDescent="0.2">
      <c r="A10" t="s">
        <v>124</v>
      </c>
      <c r="B10" s="10">
        <v>3502</v>
      </c>
      <c r="C10" s="9">
        <v>1019</v>
      </c>
      <c r="D10" s="9">
        <v>0</v>
      </c>
      <c r="E10" s="9">
        <v>0</v>
      </c>
      <c r="F10" s="9">
        <v>0</v>
      </c>
      <c r="G10" s="9">
        <v>0</v>
      </c>
      <c r="H10" s="9">
        <v>0</v>
      </c>
      <c r="I10" s="9">
        <v>0</v>
      </c>
      <c r="J10" s="9">
        <v>0</v>
      </c>
      <c r="K10" s="9">
        <v>0</v>
      </c>
    </row>
    <row r="11" spans="1:13" x14ac:dyDescent="0.2">
      <c r="A11" t="s">
        <v>125</v>
      </c>
      <c r="B11" s="1">
        <f>B8-B9-B10</f>
        <v>1907280</v>
      </c>
      <c r="C11" s="1">
        <f>C8-C9-C10</f>
        <v>2015416</v>
      </c>
      <c r="D11" s="1">
        <f>D8-D9-D10</f>
        <v>2201730</v>
      </c>
      <c r="E11" s="1">
        <f>E8-E9-E10</f>
        <v>3404380</v>
      </c>
      <c r="F11" s="1">
        <f>F8-F9-F10</f>
        <v>3063149</v>
      </c>
      <c r="G11" s="1">
        <f>G8-G9+G10</f>
        <v>3378915.46</v>
      </c>
      <c r="H11" s="1">
        <f>H8-H9+H10</f>
        <v>3726636.6283999998</v>
      </c>
      <c r="I11" s="1">
        <f t="shared" ref="I11:K11" si="4">I8-I9+I10</f>
        <v>3992612.5960360011</v>
      </c>
      <c r="J11" s="1">
        <f t="shared" si="4"/>
        <v>4277411.3375524413</v>
      </c>
      <c r="K11" s="1">
        <f t="shared" si="4"/>
        <v>4403890.8462837897</v>
      </c>
    </row>
    <row r="12" spans="1:13" x14ac:dyDescent="0.2">
      <c r="A12" t="s">
        <v>126</v>
      </c>
      <c r="B12" s="7">
        <v>368320</v>
      </c>
      <c r="C12" s="1">
        <v>425944</v>
      </c>
      <c r="D12" s="1">
        <v>489175</v>
      </c>
      <c r="E12" s="1">
        <v>749330</v>
      </c>
      <c r="F12" s="1">
        <v>663917</v>
      </c>
      <c r="G12" s="9">
        <f>(F12/F11)*G11</f>
        <v>732357.26223465463</v>
      </c>
      <c r="H12" s="9">
        <f t="shared" ref="H12:K12" si="5">(G12/G11)*H11</f>
        <v>807723.49318216078</v>
      </c>
      <c r="I12" s="9">
        <f t="shared" si="5"/>
        <v>865372.00016141357</v>
      </c>
      <c r="J12" s="9">
        <f t="shared" si="5"/>
        <v>927100.21712747379</v>
      </c>
      <c r="K12" s="9">
        <f t="shared" si="5"/>
        <v>954513.80229698087</v>
      </c>
    </row>
    <row r="13" spans="1:13" x14ac:dyDescent="0.2">
      <c r="A13" t="s">
        <v>54</v>
      </c>
      <c r="B13" s="12">
        <f t="shared" ref="B13:K13" si="6">B11-B12</f>
        <v>1538960</v>
      </c>
      <c r="C13" s="12">
        <f t="shared" si="6"/>
        <v>1589472</v>
      </c>
      <c r="D13" s="12">
        <f t="shared" si="6"/>
        <v>1712555</v>
      </c>
      <c r="E13" s="12">
        <f t="shared" si="6"/>
        <v>2655050</v>
      </c>
      <c r="F13" s="14">
        <f t="shared" si="6"/>
        <v>2399232</v>
      </c>
      <c r="G13" s="14">
        <f t="shared" si="6"/>
        <v>2646558.1977653452</v>
      </c>
      <c r="H13" s="14">
        <f t="shared" si="6"/>
        <v>2918913.1352178389</v>
      </c>
      <c r="I13" s="14">
        <f t="shared" si="6"/>
        <v>3127240.5958745875</v>
      </c>
      <c r="J13" s="14">
        <f t="shared" si="6"/>
        <v>3350311.1204249673</v>
      </c>
      <c r="K13" s="14">
        <f t="shared" si="6"/>
        <v>3449377.043986809</v>
      </c>
    </row>
    <row r="14" spans="1:13" x14ac:dyDescent="0.2">
      <c r="C14" s="25"/>
      <c r="D14" s="25"/>
      <c r="E14" s="25"/>
      <c r="F14" s="25"/>
      <c r="G14" s="25"/>
      <c r="H14" s="25"/>
      <c r="I14" s="25"/>
      <c r="J14" s="25"/>
      <c r="K14" s="25"/>
    </row>
    <row r="15" spans="1:13" x14ac:dyDescent="0.2">
      <c r="A15" s="5"/>
      <c r="B15" s="31"/>
      <c r="C15" s="31"/>
      <c r="D15" s="31"/>
      <c r="E15" s="31"/>
      <c r="F15" s="31"/>
      <c r="G15" s="31"/>
      <c r="H15" s="31"/>
      <c r="I15" s="31"/>
      <c r="J15" s="31"/>
      <c r="K15" s="31"/>
    </row>
    <row r="16" spans="1:13" x14ac:dyDescent="0.2">
      <c r="B16" s="61"/>
      <c r="C16" s="61"/>
      <c r="D16" s="61"/>
      <c r="E16" s="61"/>
      <c r="F16" s="61"/>
      <c r="G16" s="61"/>
      <c r="H16" s="61"/>
      <c r="I16" s="61"/>
      <c r="J16" s="60"/>
      <c r="K16" s="60"/>
      <c r="L16" s="51"/>
    </row>
    <row r="17" spans="1:12" x14ac:dyDescent="0.2">
      <c r="B17" s="61"/>
      <c r="C17" s="61"/>
      <c r="D17" s="61"/>
      <c r="E17" s="61"/>
      <c r="F17" s="61"/>
      <c r="G17" s="61"/>
      <c r="H17" s="61"/>
      <c r="I17" s="61"/>
      <c r="J17" s="60"/>
      <c r="K17" s="60"/>
      <c r="L17" s="51"/>
    </row>
    <row r="18" spans="1:12" x14ac:dyDescent="0.2">
      <c r="A18" s="5"/>
      <c r="B18" s="61"/>
      <c r="C18" s="61"/>
      <c r="D18" s="61"/>
      <c r="E18" s="61"/>
      <c r="F18" s="61"/>
      <c r="G18" s="61"/>
      <c r="H18" s="61"/>
      <c r="I18" s="61"/>
      <c r="J18" s="60"/>
      <c r="K18" s="60"/>
      <c r="L18" s="51"/>
    </row>
    <row r="19" spans="1:12" x14ac:dyDescent="0.2">
      <c r="B19" s="65"/>
      <c r="C19" s="65"/>
      <c r="D19" s="65"/>
      <c r="E19" s="65"/>
      <c r="F19" s="65"/>
      <c r="G19" s="61"/>
      <c r="H19" s="61"/>
      <c r="I19" s="61"/>
      <c r="J19" s="60"/>
      <c r="K19" s="60"/>
      <c r="L19" s="51"/>
    </row>
    <row r="20" spans="1:12" x14ac:dyDescent="0.2">
      <c r="B20" s="65"/>
      <c r="C20" s="65"/>
      <c r="D20" s="65"/>
      <c r="E20" s="65"/>
      <c r="F20" s="65"/>
      <c r="G20" s="61"/>
      <c r="H20" s="61"/>
      <c r="I20" s="61"/>
      <c r="J20" s="60"/>
      <c r="K20" s="60"/>
      <c r="L20" s="51"/>
    </row>
    <row r="21" spans="1:12" x14ac:dyDescent="0.2">
      <c r="B21" s="65"/>
      <c r="C21" s="65"/>
      <c r="D21" s="65"/>
      <c r="E21" s="65"/>
      <c r="F21" s="65"/>
      <c r="G21" s="61"/>
      <c r="H21" s="61"/>
      <c r="I21" s="61"/>
      <c r="J21" s="60"/>
      <c r="K21" s="60"/>
      <c r="L21" s="51"/>
    </row>
    <row r="22" spans="1:12" x14ac:dyDescent="0.2">
      <c r="B22" s="65"/>
      <c r="C22" s="65"/>
      <c r="D22" s="65"/>
      <c r="E22" s="65"/>
      <c r="F22" s="65"/>
      <c r="G22" s="61"/>
      <c r="H22" s="61"/>
      <c r="I22" s="61"/>
      <c r="J22" s="60"/>
      <c r="K22" s="60"/>
      <c r="L22" s="51"/>
    </row>
    <row r="23" spans="1:12" x14ac:dyDescent="0.2">
      <c r="B23" s="65"/>
      <c r="C23" s="65"/>
      <c r="D23" s="65"/>
      <c r="E23" s="65"/>
      <c r="F23" s="65"/>
      <c r="G23" s="61"/>
      <c r="H23" s="61"/>
      <c r="I23" s="61"/>
      <c r="J23" s="60"/>
      <c r="K23" s="60"/>
      <c r="L23" s="51"/>
    </row>
    <row r="24" spans="1:12" x14ac:dyDescent="0.2">
      <c r="B24" s="65"/>
      <c r="C24" s="65"/>
      <c r="D24" s="65"/>
      <c r="E24" s="65"/>
      <c r="F24" s="65"/>
      <c r="G24" s="61"/>
      <c r="H24" s="61"/>
      <c r="I24" s="61"/>
      <c r="J24" s="60"/>
      <c r="K24" s="60"/>
      <c r="L24" s="51"/>
    </row>
    <row r="25" spans="1:12" x14ac:dyDescent="0.2">
      <c r="B25" s="65"/>
      <c r="C25" s="65"/>
      <c r="D25" s="65"/>
      <c r="E25" s="65"/>
      <c r="F25" s="65"/>
      <c r="G25" s="61"/>
      <c r="H25" s="61"/>
      <c r="I25" s="61"/>
      <c r="J25" s="60"/>
      <c r="K25" s="60"/>
      <c r="L25" s="51"/>
    </row>
    <row r="26" spans="1:12" x14ac:dyDescent="0.2">
      <c r="B26" s="65"/>
      <c r="C26" s="65"/>
      <c r="D26" s="65"/>
      <c r="E26" s="65"/>
      <c r="F26" s="65"/>
      <c r="G26" s="61"/>
      <c r="H26" s="61"/>
      <c r="I26" s="61"/>
      <c r="J26" s="60"/>
      <c r="K26" s="60"/>
      <c r="L26" s="51"/>
    </row>
    <row r="27" spans="1:12" x14ac:dyDescent="0.2">
      <c r="B27" s="65"/>
      <c r="C27" s="65"/>
      <c r="D27" s="65"/>
      <c r="E27" s="65"/>
      <c r="F27" s="65"/>
      <c r="G27" s="61"/>
      <c r="H27" s="61"/>
      <c r="I27" s="61"/>
      <c r="J27" s="60"/>
      <c r="K27" s="60"/>
      <c r="L27" s="51"/>
    </row>
    <row r="28" spans="1:12" x14ac:dyDescent="0.2">
      <c r="A28" s="54"/>
      <c r="B28" s="53"/>
      <c r="C28" s="53"/>
      <c r="D28" s="53"/>
      <c r="E28" s="53"/>
      <c r="F28" s="53"/>
      <c r="G28" s="54"/>
      <c r="H28" s="54"/>
      <c r="I28" s="54"/>
      <c r="J28" s="54"/>
      <c r="K28" s="54"/>
    </row>
    <row r="29" spans="1:12" x14ac:dyDescent="0.2">
      <c r="A29" s="40"/>
      <c r="B29" s="55"/>
      <c r="C29" s="40"/>
      <c r="D29" s="44"/>
      <c r="E29" s="44"/>
      <c r="F29" s="59"/>
      <c r="G29" s="52"/>
      <c r="H29" s="52"/>
      <c r="I29" s="52"/>
      <c r="J29" s="52"/>
      <c r="K29" s="52"/>
    </row>
    <row r="30" spans="1:12" x14ac:dyDescent="0.2">
      <c r="B30" s="56"/>
      <c r="C30" s="57"/>
      <c r="D30" s="44"/>
      <c r="E30" s="44"/>
      <c r="F30" s="44"/>
      <c r="G30" s="40"/>
      <c r="H30" s="40"/>
      <c r="I30" s="40"/>
      <c r="J30" s="40"/>
      <c r="K30" s="40"/>
    </row>
    <row r="31" spans="1:12" ht="16" customHeight="1" x14ac:dyDescent="0.2">
      <c r="B31" s="58"/>
      <c r="C31" s="56"/>
      <c r="D31" s="56"/>
      <c r="E31" s="56"/>
      <c r="F31" s="56"/>
    </row>
    <row r="32" spans="1:12" ht="16" customHeight="1" x14ac:dyDescent="0.2">
      <c r="B32" s="58"/>
      <c r="C32" s="56"/>
      <c r="D32" s="56"/>
      <c r="E32" s="56"/>
      <c r="F32" s="56"/>
      <c r="G32" s="56"/>
      <c r="H32" s="76"/>
      <c r="I32" s="76"/>
      <c r="J32" s="76"/>
      <c r="K32" s="76"/>
      <c r="L32" s="76"/>
    </row>
    <row r="33" spans="1:12" x14ac:dyDescent="0.2">
      <c r="B33" s="15"/>
      <c r="C33" s="15"/>
      <c r="D33" s="15"/>
      <c r="E33" s="15"/>
      <c r="F33" s="5"/>
      <c r="G33" s="67"/>
      <c r="H33" s="68"/>
      <c r="I33" s="69"/>
      <c r="J33" s="69"/>
      <c r="K33" s="69"/>
      <c r="L33" s="69"/>
    </row>
    <row r="34" spans="1:12" x14ac:dyDescent="0.2">
      <c r="A34" s="5"/>
      <c r="B34" s="15"/>
      <c r="C34" s="15"/>
      <c r="D34" s="15"/>
      <c r="E34" s="15"/>
      <c r="F34" s="5"/>
      <c r="H34" s="72"/>
      <c r="I34" s="72"/>
      <c r="J34" s="72"/>
      <c r="K34" s="72"/>
      <c r="L34" s="72"/>
    </row>
    <row r="35" spans="1:12" x14ac:dyDescent="0.2">
      <c r="A35" s="5"/>
      <c r="B35" s="15"/>
      <c r="C35" s="15"/>
      <c r="D35" s="15"/>
      <c r="E35" s="15"/>
      <c r="F35" s="5"/>
      <c r="H35" s="72"/>
      <c r="I35" s="72"/>
      <c r="J35" s="72"/>
      <c r="K35" s="72"/>
      <c r="L35" s="72"/>
    </row>
    <row r="36" spans="1:12" x14ac:dyDescent="0.2">
      <c r="A36" s="5"/>
      <c r="B36" s="15"/>
      <c r="C36" s="15"/>
      <c r="D36" s="15"/>
      <c r="E36" s="15"/>
      <c r="F36" s="5"/>
      <c r="H36" s="72"/>
      <c r="I36" s="72"/>
      <c r="J36" s="72"/>
      <c r="K36" s="72"/>
      <c r="L36" s="72"/>
    </row>
    <row r="37" spans="1:12" x14ac:dyDescent="0.2">
      <c r="A37" s="5"/>
      <c r="B37" s="15"/>
      <c r="C37" s="15"/>
      <c r="D37" s="15"/>
      <c r="E37" s="15"/>
      <c r="F37" s="5"/>
      <c r="H37" s="72"/>
      <c r="I37" s="72"/>
      <c r="J37" s="72"/>
      <c r="K37" s="72"/>
      <c r="L37" s="72"/>
    </row>
    <row r="38" spans="1:12" x14ac:dyDescent="0.2">
      <c r="A38" s="5"/>
      <c r="B38" s="15"/>
      <c r="C38" s="15"/>
      <c r="D38" s="15"/>
      <c r="E38" s="15"/>
      <c r="F38" s="5"/>
      <c r="K38" s="70"/>
      <c r="L38" s="1"/>
    </row>
    <row r="39" spans="1:12" x14ac:dyDescent="0.2">
      <c r="A39" s="5"/>
      <c r="B39" s="15"/>
      <c r="C39" s="15"/>
      <c r="D39" s="15"/>
      <c r="E39" s="15"/>
      <c r="F39" s="5"/>
      <c r="J39" s="70"/>
      <c r="K39" s="70"/>
    </row>
    <row r="40" spans="1:12" x14ac:dyDescent="0.2">
      <c r="A40" s="5"/>
      <c r="B40" s="15"/>
      <c r="C40" s="15"/>
      <c r="D40" s="15"/>
      <c r="E40" s="15"/>
      <c r="F40" s="5"/>
      <c r="H40" s="73"/>
      <c r="I40" s="73"/>
      <c r="J40" s="73"/>
      <c r="K40" s="73"/>
      <c r="L40" s="73"/>
    </row>
    <row r="41" spans="1:12" x14ac:dyDescent="0.2">
      <c r="A41" s="5"/>
      <c r="B41" s="15"/>
      <c r="C41" s="15"/>
      <c r="D41" s="15"/>
      <c r="E41" s="15"/>
      <c r="F41" s="5"/>
      <c r="H41" s="29"/>
      <c r="I41" s="29"/>
      <c r="J41" s="29"/>
      <c r="K41" s="29"/>
      <c r="L41" s="29"/>
    </row>
    <row r="42" spans="1:12" x14ac:dyDescent="0.2">
      <c r="A42" s="5"/>
      <c r="B42" s="15"/>
      <c r="C42" s="15"/>
      <c r="D42" s="15"/>
      <c r="E42" s="15"/>
      <c r="F42" s="5"/>
      <c r="H42" s="29"/>
      <c r="I42" s="29"/>
      <c r="J42" s="29"/>
      <c r="K42" s="29"/>
      <c r="L42" s="29"/>
    </row>
    <row r="43" spans="1:12" x14ac:dyDescent="0.2">
      <c r="A43" s="5"/>
      <c r="B43" s="15"/>
      <c r="C43" s="15"/>
      <c r="D43" s="15"/>
      <c r="E43" s="15"/>
      <c r="F43" s="5"/>
      <c r="H43" s="71"/>
      <c r="I43" s="71"/>
      <c r="J43" s="71"/>
      <c r="K43" s="71"/>
      <c r="L43" s="29"/>
    </row>
    <row r="44" spans="1:12" x14ac:dyDescent="0.2">
      <c r="A44" s="5"/>
      <c r="B44" s="15"/>
      <c r="C44" s="15"/>
      <c r="D44" s="15"/>
      <c r="E44" s="15"/>
      <c r="F44" s="5"/>
      <c r="G44" s="5"/>
      <c r="H44" s="5"/>
      <c r="I44" s="5"/>
      <c r="J44" s="66"/>
      <c r="K44" s="15"/>
    </row>
    <row r="45" spans="1:12" x14ac:dyDescent="0.2">
      <c r="A45" s="5"/>
      <c r="B45" s="15"/>
      <c r="C45" s="15"/>
      <c r="D45" s="15"/>
      <c r="E45" s="15"/>
      <c r="F45" s="5"/>
      <c r="G45" s="5"/>
      <c r="H45" s="5"/>
      <c r="I45" s="5"/>
      <c r="J45" s="66"/>
      <c r="K45" s="15"/>
    </row>
    <row r="46" spans="1:12" x14ac:dyDescent="0.2">
      <c r="A46" s="5"/>
      <c r="B46" s="15"/>
      <c r="C46" s="15"/>
      <c r="D46" s="15"/>
      <c r="E46" s="15"/>
      <c r="F46" s="5"/>
      <c r="G46" s="5"/>
      <c r="H46" s="66"/>
      <c r="I46" s="66"/>
      <c r="J46" s="66"/>
      <c r="K46" s="66"/>
      <c r="L46" s="66"/>
    </row>
    <row r="47" spans="1:12" x14ac:dyDescent="0.2">
      <c r="A47" s="5"/>
      <c r="B47" s="15"/>
      <c r="C47" s="15"/>
      <c r="D47" s="15"/>
      <c r="E47" s="15"/>
      <c r="F47" s="5"/>
      <c r="I47" s="5"/>
      <c r="J47" s="66"/>
      <c r="K47" s="15"/>
    </row>
    <row r="48" spans="1:12" x14ac:dyDescent="0.2">
      <c r="A48" s="5"/>
      <c r="B48" s="15"/>
      <c r="C48" s="15"/>
      <c r="D48" s="15"/>
      <c r="E48" s="15"/>
      <c r="F48" s="5"/>
      <c r="I48" s="5"/>
      <c r="J48" s="66"/>
      <c r="K48" s="15"/>
    </row>
    <row r="49" spans="1:11" x14ac:dyDescent="0.2">
      <c r="A49" s="5"/>
      <c r="B49" s="15"/>
      <c r="C49" s="15"/>
      <c r="D49" s="15"/>
      <c r="E49" s="15"/>
      <c r="F49" s="5"/>
      <c r="G49" s="5"/>
      <c r="H49" s="1"/>
      <c r="I49" s="5"/>
      <c r="J49" s="66"/>
      <c r="K49" s="15"/>
    </row>
    <row r="50" spans="1:11" x14ac:dyDescent="0.2">
      <c r="A50" s="5"/>
      <c r="B50" s="15"/>
      <c r="C50" s="15"/>
      <c r="D50" s="15"/>
      <c r="E50" s="15"/>
      <c r="F50" s="5"/>
      <c r="G50" s="5"/>
      <c r="H50" s="5"/>
      <c r="I50" s="5"/>
      <c r="J50" s="15"/>
      <c r="K50" s="15"/>
    </row>
    <row r="51" spans="1:11" x14ac:dyDescent="0.2">
      <c r="A51" s="5"/>
      <c r="B51" s="15"/>
      <c r="C51" s="15"/>
      <c r="D51" s="15"/>
      <c r="E51" s="15"/>
      <c r="F51" s="5"/>
      <c r="G51" s="5"/>
      <c r="H51" s="5"/>
      <c r="I51" s="5"/>
      <c r="J51" s="15"/>
      <c r="K51" s="15"/>
    </row>
    <row r="52" spans="1:11" x14ac:dyDescent="0.2">
      <c r="A52" s="5"/>
      <c r="B52" s="15"/>
      <c r="C52" s="15"/>
      <c r="D52" s="15"/>
      <c r="E52" s="15"/>
      <c r="F52" s="5"/>
      <c r="G52" s="5"/>
      <c r="H52" s="5"/>
      <c r="I52" s="5"/>
      <c r="J52" s="15"/>
      <c r="K52" s="15"/>
    </row>
    <row r="53" spans="1:11" x14ac:dyDescent="0.2">
      <c r="A53" s="5"/>
      <c r="B53" s="15"/>
      <c r="C53" s="15"/>
      <c r="D53" s="15"/>
      <c r="E53" s="15"/>
      <c r="F53" s="5"/>
      <c r="G53" s="5"/>
      <c r="H53" s="18"/>
      <c r="I53" s="5"/>
      <c r="J53" s="15"/>
      <c r="K53" s="15"/>
    </row>
    <row r="54" spans="1:11" x14ac:dyDescent="0.2">
      <c r="A54" s="5"/>
      <c r="B54" s="15"/>
      <c r="C54" s="15"/>
      <c r="D54" s="15"/>
      <c r="E54" s="15"/>
      <c r="F54" s="5"/>
      <c r="G54" s="5"/>
      <c r="H54" s="18"/>
      <c r="I54" s="5"/>
      <c r="J54" s="15"/>
      <c r="K54" s="15"/>
    </row>
    <row r="55" spans="1:11" x14ac:dyDescent="0.2">
      <c r="A55" s="5"/>
      <c r="B55" s="15"/>
      <c r="C55" s="15"/>
      <c r="D55" s="15"/>
      <c r="E55" s="15"/>
      <c r="F55" s="5"/>
      <c r="G55" s="5"/>
      <c r="H55" s="5"/>
      <c r="I55" s="5"/>
      <c r="J55" s="15"/>
      <c r="K55" s="15"/>
    </row>
    <row r="56" spans="1:11" x14ac:dyDescent="0.2">
      <c r="A56" s="5"/>
      <c r="B56" s="15"/>
      <c r="C56" s="15"/>
      <c r="D56" s="15"/>
      <c r="E56" s="15"/>
      <c r="F56" s="5"/>
      <c r="G56" s="5"/>
      <c r="H56" s="5"/>
      <c r="I56" s="5"/>
      <c r="J56" s="15"/>
      <c r="K56" s="15"/>
    </row>
    <row r="57" spans="1:11" x14ac:dyDescent="0.2">
      <c r="A57" s="5"/>
      <c r="B57" s="15"/>
      <c r="C57" s="15"/>
      <c r="D57" s="15"/>
      <c r="E57" s="15"/>
      <c r="F57" s="5"/>
      <c r="G57" s="5"/>
      <c r="H57" s="5"/>
      <c r="I57" s="5"/>
      <c r="J57" s="15"/>
      <c r="K57" s="15"/>
    </row>
    <row r="58" spans="1:11" x14ac:dyDescent="0.2">
      <c r="A58" s="5"/>
      <c r="B58" s="15"/>
      <c r="C58" s="15"/>
      <c r="D58" s="15"/>
      <c r="E58" s="15"/>
      <c r="F58" s="5"/>
      <c r="G58" s="5"/>
      <c r="H58" s="5"/>
      <c r="I58" s="5"/>
      <c r="J58" s="15"/>
      <c r="K58" s="15"/>
    </row>
    <row r="59" spans="1:11" x14ac:dyDescent="0.2">
      <c r="A59" s="5"/>
      <c r="B59" s="15"/>
      <c r="C59" s="15"/>
      <c r="D59" s="15"/>
      <c r="E59" s="15"/>
      <c r="F59" s="5"/>
      <c r="G59" s="5"/>
      <c r="H59" s="5"/>
      <c r="I59" s="5"/>
      <c r="J59" s="15"/>
      <c r="K59" s="15"/>
    </row>
    <row r="60" spans="1:11" x14ac:dyDescent="0.2">
      <c r="A60" s="5"/>
      <c r="B60" s="15"/>
      <c r="C60" s="15"/>
      <c r="D60" s="15"/>
      <c r="E60" s="15"/>
      <c r="F60" s="5"/>
      <c r="G60" s="5"/>
      <c r="H60" s="5"/>
      <c r="I60" s="5"/>
      <c r="J60" s="15"/>
      <c r="K60" s="15"/>
    </row>
    <row r="61" spans="1:11" x14ac:dyDescent="0.2">
      <c r="A61" s="5"/>
      <c r="B61" s="15"/>
      <c r="C61" s="15"/>
      <c r="D61" s="15"/>
      <c r="E61" s="15"/>
      <c r="F61" s="5"/>
      <c r="G61" s="5"/>
      <c r="H61" s="5"/>
      <c r="I61" s="5"/>
      <c r="J61" s="15"/>
      <c r="K61" s="15"/>
    </row>
    <row r="62" spans="1:11" x14ac:dyDescent="0.2">
      <c r="A62" s="5"/>
      <c r="B62" s="15"/>
      <c r="C62" s="15"/>
      <c r="D62" s="15"/>
      <c r="E62" s="15"/>
      <c r="F62" s="5"/>
      <c r="G62" s="5"/>
      <c r="H62" s="5"/>
      <c r="I62" s="5"/>
      <c r="J62" s="15"/>
      <c r="K62" s="15"/>
    </row>
    <row r="63" spans="1:11" x14ac:dyDescent="0.2">
      <c r="A63" s="5"/>
      <c r="B63" s="15"/>
      <c r="C63" s="15"/>
      <c r="D63" s="15"/>
      <c r="E63" s="15"/>
      <c r="F63" s="5"/>
      <c r="G63" s="5"/>
      <c r="H63" s="5"/>
      <c r="I63" s="5"/>
      <c r="J63" s="15"/>
      <c r="K63" s="15"/>
    </row>
    <row r="64" spans="1:11" x14ac:dyDescent="0.2">
      <c r="A64" s="5"/>
      <c r="B64" s="15"/>
      <c r="C64" s="15"/>
      <c r="D64" s="15"/>
      <c r="E64" s="15"/>
      <c r="F64" s="5"/>
      <c r="G64" s="5"/>
      <c r="H64" s="5"/>
      <c r="I64" s="5"/>
      <c r="J64" s="15"/>
      <c r="K64" s="15"/>
    </row>
    <row r="65" spans="1:11" x14ac:dyDescent="0.2">
      <c r="A65" s="5"/>
      <c r="B65" s="15"/>
      <c r="C65" s="15"/>
      <c r="D65" s="15"/>
      <c r="E65" s="15"/>
      <c r="F65" s="5"/>
      <c r="G65" s="5"/>
      <c r="H65" s="5"/>
      <c r="I65" s="5"/>
      <c r="J65" s="15"/>
      <c r="K65" s="15"/>
    </row>
    <row r="66" spans="1:11" x14ac:dyDescent="0.2">
      <c r="A66" s="5"/>
      <c r="B66" s="15"/>
      <c r="C66" s="15"/>
      <c r="D66" s="15"/>
      <c r="E66" s="15"/>
      <c r="F66" s="5"/>
      <c r="G66" s="5"/>
      <c r="H66" s="5"/>
      <c r="I66" s="5"/>
      <c r="J66" s="15"/>
      <c r="K66" s="15"/>
    </row>
    <row r="67" spans="1:11" x14ac:dyDescent="0.2">
      <c r="A67" s="5"/>
      <c r="B67" s="15"/>
      <c r="C67" s="15"/>
      <c r="D67" s="15"/>
      <c r="E67" s="15"/>
      <c r="F67" s="5"/>
      <c r="G67" s="5"/>
      <c r="H67" s="5"/>
      <c r="I67" s="5"/>
      <c r="J67" s="15"/>
      <c r="K67" s="15"/>
    </row>
    <row r="68" spans="1:11" x14ac:dyDescent="0.2">
      <c r="A68" s="5"/>
      <c r="B68" s="15"/>
      <c r="C68" s="15"/>
      <c r="D68" s="15"/>
      <c r="E68" s="15"/>
      <c r="F68" s="5"/>
      <c r="G68" s="5"/>
      <c r="H68" s="5"/>
      <c r="I68" s="5"/>
      <c r="J68" s="15"/>
      <c r="K68" s="15"/>
    </row>
    <row r="69" spans="1:11" x14ac:dyDescent="0.2">
      <c r="A69" s="5"/>
      <c r="B69" s="15"/>
      <c r="C69" s="15"/>
      <c r="D69" s="15"/>
      <c r="E69" s="15"/>
      <c r="F69" s="5"/>
      <c r="G69" s="5"/>
      <c r="H69" s="5"/>
      <c r="I69" s="5"/>
      <c r="J69" s="15"/>
      <c r="K69" s="15"/>
    </row>
    <row r="70" spans="1:11" x14ac:dyDescent="0.2">
      <c r="A70" s="5"/>
      <c r="B70" s="15"/>
      <c r="C70" s="15"/>
      <c r="D70" s="15"/>
      <c r="E70" s="15"/>
      <c r="F70" s="5"/>
      <c r="G70" s="5"/>
      <c r="H70" s="5"/>
      <c r="I70" s="5"/>
      <c r="J70" s="15"/>
      <c r="K70" s="15"/>
    </row>
    <row r="71" spans="1:11" x14ac:dyDescent="0.2">
      <c r="A71" s="5"/>
      <c r="B71" s="15"/>
      <c r="C71" s="15"/>
      <c r="D71" s="15"/>
      <c r="E71" s="15"/>
      <c r="F71" s="5"/>
      <c r="G71" s="5"/>
      <c r="H71" s="5"/>
      <c r="I71" s="5"/>
      <c r="J71" s="15"/>
      <c r="K71" s="15"/>
    </row>
    <row r="72" spans="1:11" x14ac:dyDescent="0.2">
      <c r="A72" s="5"/>
      <c r="B72" s="15"/>
      <c r="C72" s="15"/>
      <c r="D72" s="15"/>
      <c r="E72" s="15"/>
      <c r="F72" s="5"/>
      <c r="G72" s="5"/>
      <c r="H72" s="5"/>
      <c r="I72" s="5"/>
      <c r="J72" s="15"/>
      <c r="K72" s="15"/>
    </row>
    <row r="73" spans="1:11" x14ac:dyDescent="0.2">
      <c r="A73" s="5"/>
      <c r="B73" s="15"/>
      <c r="C73" s="15"/>
      <c r="D73" s="15"/>
      <c r="E73" s="15"/>
      <c r="F73" s="5"/>
      <c r="G73" s="5"/>
      <c r="H73" s="5"/>
      <c r="I73" s="5"/>
      <c r="J73" s="15"/>
      <c r="K73" s="15"/>
    </row>
    <row r="74" spans="1:11" x14ac:dyDescent="0.2">
      <c r="A74" s="5"/>
      <c r="B74" s="15"/>
      <c r="C74" s="15"/>
      <c r="D74" s="15"/>
      <c r="E74" s="15"/>
      <c r="F74" s="5"/>
      <c r="G74" s="5"/>
      <c r="H74" s="5"/>
      <c r="I74" s="5"/>
      <c r="J74" s="15"/>
      <c r="K74" s="15"/>
    </row>
    <row r="75" spans="1:11" x14ac:dyDescent="0.2">
      <c r="A75" s="5"/>
      <c r="B75" s="15"/>
      <c r="C75" s="15"/>
      <c r="D75" s="15"/>
      <c r="E75" s="15"/>
      <c r="F75" s="5"/>
      <c r="G75" s="5"/>
      <c r="H75" s="5"/>
      <c r="I75" s="5"/>
      <c r="J75" s="15"/>
      <c r="K75" s="15"/>
    </row>
    <row r="76" spans="1:11" x14ac:dyDescent="0.2">
      <c r="A76" s="5"/>
      <c r="B76" s="15"/>
      <c r="C76" s="15"/>
      <c r="D76" s="15"/>
      <c r="E76" s="15"/>
      <c r="F76" s="5"/>
      <c r="G76" s="5"/>
      <c r="H76" s="5"/>
      <c r="I76" s="5"/>
      <c r="J76" s="15"/>
      <c r="K76" s="15"/>
    </row>
    <row r="77" spans="1:11" x14ac:dyDescent="0.2">
      <c r="A77" s="5"/>
      <c r="B77" s="15"/>
      <c r="C77" s="15"/>
      <c r="D77" s="15"/>
      <c r="E77" s="15"/>
      <c r="F77" s="5"/>
      <c r="G77" s="5"/>
      <c r="H77" s="5"/>
      <c r="I77" s="5"/>
      <c r="J77" s="15"/>
      <c r="K77" s="15"/>
    </row>
    <row r="78" spans="1:11" x14ac:dyDescent="0.2">
      <c r="A78" s="5"/>
      <c r="B78" s="15"/>
      <c r="C78" s="15"/>
      <c r="D78" s="15"/>
      <c r="E78" s="15"/>
      <c r="F78" s="5"/>
      <c r="G78" s="5"/>
      <c r="H78" s="5"/>
      <c r="I78" s="5"/>
      <c r="J78" s="15"/>
      <c r="K78" s="15"/>
    </row>
    <row r="79" spans="1:11" x14ac:dyDescent="0.2">
      <c r="A79" s="5"/>
      <c r="B79" s="15"/>
      <c r="C79" s="15"/>
      <c r="D79" s="15"/>
      <c r="E79" s="15"/>
      <c r="F79" s="5"/>
      <c r="G79" s="5"/>
      <c r="H79" s="5"/>
      <c r="I79" s="5"/>
      <c r="J79" s="15"/>
      <c r="K79" s="15"/>
    </row>
    <row r="80" spans="1:11" x14ac:dyDescent="0.2">
      <c r="A80" s="5"/>
      <c r="B80" s="15"/>
      <c r="C80" s="15"/>
      <c r="D80" s="15"/>
      <c r="E80" s="15"/>
      <c r="F80" s="5"/>
      <c r="G80" s="5"/>
      <c r="H80" s="5"/>
      <c r="I80" s="5"/>
      <c r="J80" s="15"/>
      <c r="K80" s="15"/>
    </row>
    <row r="81" spans="1:11" x14ac:dyDescent="0.2">
      <c r="A81" s="5"/>
      <c r="B81" s="15"/>
      <c r="C81" s="15"/>
      <c r="D81" s="15"/>
      <c r="E81" s="15"/>
      <c r="F81" s="5"/>
      <c r="G81" s="5"/>
      <c r="H81" s="5"/>
      <c r="I81" s="5"/>
      <c r="J81" s="15"/>
      <c r="K81" s="15"/>
    </row>
    <row r="82" spans="1:11" x14ac:dyDescent="0.2">
      <c r="A82" s="5"/>
      <c r="B82" s="15"/>
      <c r="C82" s="15"/>
      <c r="D82" s="15"/>
      <c r="E82" s="15"/>
      <c r="F82" s="5"/>
      <c r="G82" s="5"/>
      <c r="H82" s="5"/>
      <c r="I82" s="5"/>
      <c r="J82" s="15"/>
      <c r="K82" s="15"/>
    </row>
    <row r="83" spans="1:11" x14ac:dyDescent="0.2">
      <c r="A83" s="5"/>
      <c r="B83" s="15"/>
      <c r="C83" s="15"/>
      <c r="D83" s="15"/>
      <c r="E83" s="15"/>
      <c r="F83" s="5"/>
      <c r="G83" s="5"/>
      <c r="H83" s="5"/>
      <c r="I83" s="5"/>
      <c r="J83" s="15"/>
      <c r="K83" s="15"/>
    </row>
    <row r="84" spans="1:11" x14ac:dyDescent="0.2">
      <c r="A84" s="5"/>
      <c r="B84" s="15"/>
      <c r="C84" s="15"/>
      <c r="D84" s="15"/>
      <c r="E84" s="15"/>
      <c r="F84" s="5"/>
      <c r="G84" s="5"/>
      <c r="H84" s="5"/>
      <c r="I84" s="5"/>
      <c r="J84" s="15"/>
      <c r="K84" s="15"/>
    </row>
    <row r="85" spans="1:11" x14ac:dyDescent="0.2">
      <c r="A85" s="5"/>
      <c r="B85" s="15"/>
      <c r="C85" s="15"/>
      <c r="D85" s="15"/>
      <c r="E85" s="15"/>
      <c r="F85" s="5"/>
      <c r="G85" s="5"/>
      <c r="H85" s="5"/>
      <c r="I85" s="5"/>
      <c r="J85" s="15"/>
      <c r="K85" s="15"/>
    </row>
    <row r="86" spans="1:11" x14ac:dyDescent="0.2">
      <c r="A86" s="5"/>
      <c r="B86" s="15"/>
      <c r="C86" s="15"/>
      <c r="D86" s="15"/>
      <c r="E86" s="15"/>
      <c r="F86" s="5"/>
      <c r="G86" s="5"/>
      <c r="H86" s="5"/>
      <c r="I86" s="5"/>
      <c r="J86" s="15"/>
      <c r="K86" s="15"/>
    </row>
    <row r="87" spans="1:11" x14ac:dyDescent="0.2">
      <c r="A87" s="5"/>
      <c r="B87" s="15"/>
      <c r="C87" s="15"/>
      <c r="D87" s="15"/>
      <c r="E87" s="15"/>
      <c r="F87" s="5"/>
      <c r="G87" s="5"/>
      <c r="H87" s="5"/>
      <c r="I87" s="5"/>
      <c r="J87" s="15"/>
      <c r="K87" s="15"/>
    </row>
    <row r="88" spans="1:11" x14ac:dyDescent="0.2">
      <c r="A88" s="5"/>
      <c r="B88" s="15"/>
      <c r="C88" s="15"/>
      <c r="D88" s="15"/>
      <c r="E88" s="15"/>
      <c r="F88" s="5"/>
      <c r="G88" s="5"/>
      <c r="H88" s="5"/>
      <c r="I88" s="5"/>
      <c r="J88" s="15"/>
      <c r="K88" s="15"/>
    </row>
    <row r="89" spans="1:11" x14ac:dyDescent="0.2">
      <c r="A89" s="5"/>
      <c r="B89" s="15"/>
      <c r="C89" s="15"/>
      <c r="D89" s="15"/>
      <c r="E89" s="15"/>
      <c r="F89" s="5"/>
      <c r="G89" s="5"/>
      <c r="H89" s="5"/>
      <c r="I89" s="5"/>
      <c r="J89" s="15"/>
      <c r="K89" s="15"/>
    </row>
    <row r="90" spans="1:11" x14ac:dyDescent="0.2">
      <c r="A90" s="5"/>
      <c r="B90" s="15"/>
      <c r="C90" s="15"/>
      <c r="D90" s="15"/>
      <c r="E90" s="15"/>
      <c r="F90" s="5"/>
      <c r="G90" s="5"/>
      <c r="H90" s="5"/>
      <c r="I90" s="5"/>
      <c r="J90" s="15"/>
      <c r="K90" s="15"/>
    </row>
    <row r="91" spans="1:11" x14ac:dyDescent="0.2">
      <c r="A91" s="5"/>
      <c r="B91" s="15"/>
      <c r="C91" s="15"/>
      <c r="D91" s="15"/>
      <c r="E91" s="15"/>
      <c r="F91" s="5"/>
      <c r="G91" s="5"/>
      <c r="H91" s="5"/>
      <c r="I91" s="5"/>
      <c r="J91" s="15"/>
      <c r="K91" s="15"/>
    </row>
    <row r="92" spans="1:11" x14ac:dyDescent="0.2">
      <c r="A92" s="5"/>
      <c r="B92" s="15"/>
      <c r="C92" s="15"/>
      <c r="D92" s="15"/>
      <c r="E92" s="15"/>
      <c r="F92" s="5"/>
      <c r="G92" s="5"/>
      <c r="H92" s="5"/>
      <c r="I92" s="5"/>
      <c r="J92" s="15"/>
      <c r="K92" s="15"/>
    </row>
    <row r="93" spans="1:11" x14ac:dyDescent="0.2">
      <c r="A93" s="5"/>
      <c r="B93" s="15"/>
      <c r="C93" s="15"/>
      <c r="D93" s="15"/>
      <c r="E93" s="15"/>
      <c r="F93" s="5"/>
      <c r="G93" s="5"/>
      <c r="H93" s="5"/>
      <c r="I93" s="5"/>
      <c r="J93" s="15"/>
      <c r="K93" s="15"/>
    </row>
    <row r="94" spans="1:11" x14ac:dyDescent="0.2">
      <c r="A94" s="5"/>
      <c r="B94" s="15"/>
      <c r="C94" s="15"/>
      <c r="D94" s="15"/>
      <c r="E94" s="15"/>
      <c r="F94" s="5"/>
      <c r="G94" s="5"/>
      <c r="H94" s="5"/>
      <c r="I94" s="5"/>
      <c r="J94" s="15"/>
      <c r="K94" s="15"/>
    </row>
    <row r="95" spans="1:11" x14ac:dyDescent="0.2">
      <c r="A95" s="5"/>
      <c r="B95" s="15"/>
      <c r="C95" s="15"/>
      <c r="D95" s="15"/>
      <c r="E95" s="15"/>
      <c r="F95" s="5"/>
      <c r="G95" s="5"/>
      <c r="H95" s="5"/>
      <c r="I95" s="5"/>
      <c r="J95" s="15"/>
      <c r="K95" s="15"/>
    </row>
    <row r="96" spans="1:11" x14ac:dyDescent="0.2">
      <c r="A96" s="5"/>
      <c r="B96" s="15"/>
      <c r="C96" s="15"/>
      <c r="D96" s="15"/>
      <c r="E96" s="15"/>
      <c r="F96" s="5"/>
      <c r="G96" s="5"/>
      <c r="H96" s="5"/>
      <c r="I96" s="5"/>
      <c r="J96" s="15"/>
      <c r="K96" s="15"/>
    </row>
    <row r="97" spans="1:11" x14ac:dyDescent="0.2">
      <c r="A97" s="5"/>
      <c r="B97" s="15"/>
      <c r="C97" s="15"/>
      <c r="D97" s="15"/>
      <c r="E97" s="15"/>
      <c r="F97" s="5"/>
      <c r="G97" s="5"/>
      <c r="H97" s="5"/>
      <c r="I97" s="5"/>
      <c r="J97" s="15"/>
      <c r="K97" s="15"/>
    </row>
    <row r="98" spans="1:11" x14ac:dyDescent="0.2">
      <c r="A98" s="5"/>
      <c r="B98" s="15"/>
      <c r="C98" s="15"/>
      <c r="D98" s="15"/>
      <c r="E98" s="15"/>
      <c r="F98" s="5"/>
      <c r="G98" s="5"/>
      <c r="H98" s="5"/>
      <c r="I98" s="5"/>
      <c r="J98" s="15"/>
      <c r="K98" s="15"/>
    </row>
    <row r="99" spans="1:11" x14ac:dyDescent="0.2">
      <c r="A99" s="5"/>
      <c r="B99" s="15"/>
      <c r="C99" s="15"/>
      <c r="D99" s="15"/>
      <c r="E99" s="15"/>
      <c r="F99" s="5"/>
      <c r="G99" s="5"/>
      <c r="H99" s="5"/>
      <c r="I99" s="5"/>
      <c r="J99" s="15"/>
      <c r="K99" s="15"/>
    </row>
    <row r="100" spans="1:11" x14ac:dyDescent="0.2">
      <c r="A100" s="5"/>
      <c r="B100" s="15"/>
      <c r="C100" s="15"/>
      <c r="D100" s="15"/>
      <c r="E100" s="15"/>
      <c r="F100" s="5"/>
      <c r="G100" s="5"/>
      <c r="H100" s="5"/>
      <c r="I100" s="5"/>
      <c r="J100" s="15"/>
      <c r="K100" s="15"/>
    </row>
    <row r="101" spans="1:11" x14ac:dyDescent="0.2">
      <c r="A101" s="5"/>
      <c r="B101" s="15"/>
      <c r="C101" s="15"/>
      <c r="D101" s="15"/>
      <c r="E101" s="15"/>
      <c r="F101" s="5"/>
      <c r="G101" s="5"/>
      <c r="H101" s="5"/>
      <c r="I101" s="5"/>
      <c r="J101" s="15"/>
      <c r="K101" s="15"/>
    </row>
    <row r="102" spans="1:11" x14ac:dyDescent="0.2">
      <c r="A102" s="5"/>
      <c r="B102" s="15"/>
      <c r="C102" s="15"/>
      <c r="D102" s="15"/>
      <c r="E102" s="15"/>
      <c r="F102" s="5"/>
      <c r="G102" s="5"/>
      <c r="H102" s="5"/>
      <c r="I102" s="5"/>
      <c r="J102" s="15"/>
      <c r="K102" s="15"/>
    </row>
    <row r="103" spans="1:11" x14ac:dyDescent="0.2">
      <c r="A103" s="5"/>
      <c r="B103" s="15"/>
      <c r="C103" s="15"/>
      <c r="D103" s="15"/>
      <c r="E103" s="15"/>
      <c r="F103" s="5"/>
      <c r="G103" s="5"/>
      <c r="H103" s="5"/>
      <c r="I103" s="5"/>
      <c r="J103" s="15"/>
      <c r="K103" s="15"/>
    </row>
    <row r="104" spans="1:11" x14ac:dyDescent="0.2">
      <c r="A104" s="5"/>
      <c r="B104" s="15"/>
      <c r="C104" s="15"/>
      <c r="D104" s="15"/>
      <c r="E104" s="15"/>
      <c r="F104" s="5"/>
      <c r="G104" s="5"/>
      <c r="H104" s="5"/>
      <c r="I104" s="5"/>
      <c r="J104" s="15"/>
      <c r="K104" s="15"/>
    </row>
    <row r="105" spans="1:11" x14ac:dyDescent="0.2">
      <c r="A105" s="5"/>
      <c r="B105" s="15"/>
      <c r="C105" s="15"/>
      <c r="D105" s="15"/>
      <c r="E105" s="15"/>
      <c r="F105" s="5"/>
      <c r="G105" s="5"/>
      <c r="H105" s="5"/>
      <c r="I105" s="5"/>
      <c r="J105" s="15"/>
      <c r="K105" s="15"/>
    </row>
    <row r="106" spans="1:11" x14ac:dyDescent="0.2">
      <c r="A106" s="5"/>
      <c r="B106" s="15"/>
      <c r="C106" s="15"/>
      <c r="D106" s="15"/>
      <c r="E106" s="15"/>
      <c r="F106" s="5"/>
      <c r="G106" s="5"/>
      <c r="H106" s="5"/>
      <c r="I106" s="5"/>
      <c r="J106" s="15"/>
      <c r="K106" s="15"/>
    </row>
    <row r="107" spans="1:11" x14ac:dyDescent="0.2">
      <c r="A107" s="5"/>
      <c r="B107" s="15"/>
      <c r="C107" s="15"/>
      <c r="D107" s="15"/>
      <c r="E107" s="15"/>
      <c r="F107" s="5"/>
      <c r="G107" s="5"/>
      <c r="H107" s="5"/>
      <c r="I107" s="5"/>
      <c r="J107" s="15"/>
      <c r="K107" s="15"/>
    </row>
    <row r="108" spans="1:11" x14ac:dyDescent="0.2">
      <c r="A108" s="5"/>
      <c r="B108" s="15"/>
      <c r="C108" s="15"/>
      <c r="D108" s="15"/>
      <c r="E108" s="15"/>
      <c r="F108" s="5"/>
      <c r="G108" s="5"/>
      <c r="H108" s="5"/>
      <c r="I108" s="5"/>
      <c r="J108" s="15"/>
      <c r="K108" s="15"/>
    </row>
    <row r="109" spans="1:11" x14ac:dyDescent="0.2">
      <c r="A109" s="5"/>
      <c r="B109" s="15"/>
      <c r="C109" s="15"/>
      <c r="D109" s="15"/>
      <c r="E109" s="15"/>
      <c r="F109" s="5"/>
      <c r="G109" s="5"/>
      <c r="H109" s="5"/>
      <c r="I109" s="5"/>
      <c r="J109" s="15"/>
      <c r="K109" s="15"/>
    </row>
    <row r="110" spans="1:11" x14ac:dyDescent="0.2">
      <c r="A110" s="5"/>
      <c r="B110" s="15"/>
      <c r="C110" s="15"/>
      <c r="D110" s="15"/>
      <c r="E110" s="15"/>
      <c r="F110" s="5"/>
      <c r="G110" s="5"/>
      <c r="H110" s="5"/>
      <c r="I110" s="5"/>
      <c r="J110" s="15"/>
      <c r="K110" s="15"/>
    </row>
    <row r="111" spans="1:11" x14ac:dyDescent="0.2">
      <c r="A111" s="5"/>
      <c r="B111" s="15"/>
      <c r="C111" s="15"/>
      <c r="D111" s="15"/>
      <c r="E111" s="15"/>
      <c r="F111" s="5"/>
      <c r="G111" s="5"/>
      <c r="H111" s="5"/>
      <c r="I111" s="5"/>
      <c r="J111" s="15"/>
      <c r="K111" s="15"/>
    </row>
    <row r="112" spans="1:11" x14ac:dyDescent="0.2">
      <c r="A112" s="5"/>
      <c r="B112" s="15"/>
      <c r="C112" s="15"/>
      <c r="D112" s="15"/>
      <c r="E112" s="15"/>
      <c r="F112" s="5"/>
      <c r="G112" s="5"/>
      <c r="H112" s="5"/>
      <c r="I112" s="5"/>
      <c r="J112" s="15"/>
      <c r="K112" s="15"/>
    </row>
    <row r="113" spans="1:11" x14ac:dyDescent="0.2">
      <c r="A113" s="5"/>
      <c r="B113" s="15"/>
      <c r="C113" s="15"/>
      <c r="D113" s="15"/>
      <c r="E113" s="15"/>
      <c r="F113" s="5"/>
      <c r="G113" s="5"/>
      <c r="H113" s="5"/>
      <c r="I113" s="5"/>
      <c r="J113" s="15"/>
      <c r="K113" s="15"/>
    </row>
    <row r="114" spans="1:11" x14ac:dyDescent="0.2">
      <c r="A114" s="5"/>
      <c r="B114" s="15"/>
      <c r="C114" s="15"/>
      <c r="D114" s="15"/>
      <c r="E114" s="15"/>
      <c r="F114" s="5"/>
      <c r="G114" s="5"/>
      <c r="H114" s="5"/>
      <c r="I114" s="5"/>
      <c r="J114" s="15"/>
      <c r="K114" s="15"/>
    </row>
    <row r="115" spans="1:11" x14ac:dyDescent="0.2">
      <c r="A115" s="5"/>
      <c r="B115" s="15"/>
      <c r="C115" s="15"/>
      <c r="D115" s="15"/>
      <c r="E115" s="15"/>
      <c r="F115" s="5"/>
      <c r="G115" s="5"/>
      <c r="H115" s="5"/>
      <c r="I115" s="5"/>
      <c r="J115" s="15"/>
      <c r="K115" s="15"/>
    </row>
    <row r="116" spans="1:11" x14ac:dyDescent="0.2">
      <c r="A116" s="5"/>
      <c r="B116" s="15"/>
      <c r="C116" s="15"/>
      <c r="D116" s="15"/>
      <c r="E116" s="15"/>
      <c r="F116" s="5"/>
      <c r="G116" s="5"/>
      <c r="H116" s="5"/>
      <c r="I116" s="5"/>
      <c r="J116" s="15"/>
      <c r="K116" s="15"/>
    </row>
    <row r="117" spans="1:11" x14ac:dyDescent="0.2">
      <c r="A117" s="5"/>
      <c r="B117" s="15"/>
      <c r="C117" s="15"/>
      <c r="D117" s="15"/>
      <c r="E117" s="15"/>
      <c r="F117" s="5"/>
      <c r="G117" s="5"/>
      <c r="H117" s="5"/>
      <c r="I117" s="5"/>
      <c r="J117" s="15"/>
      <c r="K117" s="15"/>
    </row>
    <row r="118" spans="1:11" x14ac:dyDescent="0.2">
      <c r="A118" s="5"/>
      <c r="B118" s="15"/>
      <c r="C118" s="15"/>
      <c r="D118" s="15"/>
      <c r="E118" s="15"/>
      <c r="F118" s="5"/>
      <c r="G118" s="5"/>
      <c r="H118" s="5"/>
      <c r="I118" s="5"/>
      <c r="J118" s="15"/>
      <c r="K118" s="15"/>
    </row>
    <row r="119" spans="1:11" x14ac:dyDescent="0.2">
      <c r="A119" s="5"/>
      <c r="B119" s="15"/>
      <c r="C119" s="15"/>
      <c r="D119" s="15"/>
      <c r="E119" s="15"/>
      <c r="F119" s="5"/>
      <c r="G119" s="5"/>
      <c r="H119" s="5"/>
      <c r="I119" s="5"/>
      <c r="J119" s="15"/>
      <c r="K119" s="15"/>
    </row>
    <row r="120" spans="1:11" x14ac:dyDescent="0.2">
      <c r="A120" s="5"/>
      <c r="B120" s="15"/>
      <c r="C120" s="15"/>
      <c r="D120" s="15"/>
      <c r="E120" s="15"/>
      <c r="F120" s="5"/>
      <c r="G120" s="5"/>
      <c r="H120" s="5"/>
      <c r="I120" s="5"/>
      <c r="J120" s="15"/>
      <c r="K120" s="15"/>
    </row>
    <row r="121" spans="1:11" x14ac:dyDescent="0.2">
      <c r="A121" s="5"/>
      <c r="B121" s="15"/>
      <c r="C121" s="15"/>
      <c r="D121" s="15"/>
      <c r="E121" s="15"/>
      <c r="F121" s="5"/>
      <c r="G121" s="5"/>
      <c r="H121" s="5"/>
      <c r="I121" s="5"/>
      <c r="J121" s="15"/>
      <c r="K121" s="15"/>
    </row>
    <row r="122" spans="1:11" x14ac:dyDescent="0.2">
      <c r="A122" s="5"/>
      <c r="B122" s="15"/>
      <c r="C122" s="15"/>
      <c r="D122" s="15"/>
      <c r="E122" s="15"/>
      <c r="F122" s="5"/>
      <c r="G122" s="5"/>
      <c r="H122" s="5"/>
      <c r="I122" s="5"/>
      <c r="J122" s="15"/>
      <c r="K122" s="15"/>
    </row>
    <row r="123" spans="1:11" x14ac:dyDescent="0.2">
      <c r="A123" s="5"/>
      <c r="B123" s="15"/>
      <c r="C123" s="15"/>
      <c r="D123" s="15"/>
      <c r="E123" s="15"/>
      <c r="F123" s="5"/>
      <c r="G123" s="5"/>
      <c r="H123" s="5"/>
      <c r="I123" s="5"/>
      <c r="J123" s="15"/>
      <c r="K123" s="15"/>
    </row>
    <row r="124" spans="1:11" x14ac:dyDescent="0.2">
      <c r="A124" s="5"/>
      <c r="B124" s="15"/>
      <c r="C124" s="15"/>
      <c r="D124" s="15"/>
      <c r="E124" s="15"/>
      <c r="F124" s="5"/>
      <c r="G124" s="5"/>
      <c r="H124" s="5"/>
      <c r="I124" s="5"/>
      <c r="J124" s="15"/>
      <c r="K124" s="15"/>
    </row>
    <row r="125" spans="1:11" x14ac:dyDescent="0.2">
      <c r="A125" s="5"/>
      <c r="B125" s="15"/>
      <c r="C125" s="15"/>
      <c r="D125" s="15"/>
      <c r="E125" s="15"/>
      <c r="F125" s="5"/>
      <c r="G125" s="5"/>
      <c r="H125" s="5"/>
      <c r="I125" s="5"/>
      <c r="J125" s="15"/>
      <c r="K125" s="15"/>
    </row>
    <row r="126" spans="1:11" x14ac:dyDescent="0.2">
      <c r="A126" s="5"/>
      <c r="B126" s="15"/>
      <c r="C126" s="15"/>
      <c r="D126" s="15"/>
      <c r="E126" s="15"/>
      <c r="F126" s="5"/>
      <c r="G126" s="5"/>
      <c r="H126" s="5"/>
      <c r="I126" s="5"/>
      <c r="J126" s="15"/>
      <c r="K126" s="15"/>
    </row>
    <row r="127" spans="1:11" x14ac:dyDescent="0.2">
      <c r="A127" s="5"/>
      <c r="B127" s="15"/>
      <c r="C127" s="15"/>
      <c r="D127" s="15"/>
      <c r="E127" s="15"/>
      <c r="F127" s="5"/>
      <c r="G127" s="5"/>
      <c r="H127" s="5"/>
      <c r="I127" s="5"/>
      <c r="J127" s="15"/>
      <c r="K127" s="15"/>
    </row>
    <row r="128" spans="1:11" x14ac:dyDescent="0.2">
      <c r="A128" s="5"/>
      <c r="B128" s="15"/>
      <c r="C128" s="15"/>
      <c r="D128" s="15"/>
      <c r="E128" s="15"/>
      <c r="F128" s="5"/>
      <c r="G128" s="5"/>
      <c r="H128" s="5"/>
      <c r="I128" s="5"/>
      <c r="J128" s="15"/>
      <c r="K128" s="15"/>
    </row>
    <row r="129" spans="1:11" x14ac:dyDescent="0.2">
      <c r="A129" s="5"/>
      <c r="B129" s="15"/>
      <c r="C129" s="15"/>
      <c r="D129" s="15"/>
      <c r="E129" s="15"/>
      <c r="F129" s="5"/>
      <c r="G129" s="5"/>
      <c r="H129" s="5"/>
      <c r="I129" s="5"/>
      <c r="J129" s="15"/>
      <c r="K129" s="15"/>
    </row>
    <row r="130" spans="1:11" x14ac:dyDescent="0.2">
      <c r="A130" s="5"/>
      <c r="B130" s="15"/>
      <c r="C130" s="15"/>
      <c r="D130" s="15"/>
      <c r="E130" s="15"/>
      <c r="F130" s="5"/>
      <c r="G130" s="5"/>
      <c r="H130" s="5"/>
      <c r="I130" s="5"/>
      <c r="J130" s="15"/>
      <c r="K130" s="15"/>
    </row>
    <row r="131" spans="1:11" x14ac:dyDescent="0.2">
      <c r="A131" s="5"/>
      <c r="B131" s="15"/>
      <c r="C131" s="15"/>
      <c r="D131" s="15"/>
      <c r="E131" s="15"/>
      <c r="F131" s="5"/>
      <c r="G131" s="5"/>
      <c r="H131" s="5"/>
      <c r="I131" s="5"/>
      <c r="J131" s="15"/>
      <c r="K131" s="15"/>
    </row>
    <row r="132" spans="1:11" x14ac:dyDescent="0.2">
      <c r="A132" s="5"/>
      <c r="B132" s="15"/>
      <c r="C132" s="15"/>
      <c r="D132" s="15"/>
      <c r="E132" s="15"/>
      <c r="F132" s="5"/>
      <c r="G132" s="5"/>
      <c r="H132" s="5"/>
      <c r="I132" s="5"/>
      <c r="J132" s="15"/>
      <c r="K132" s="15"/>
    </row>
    <row r="133" spans="1:11" x14ac:dyDescent="0.2">
      <c r="A133" s="5"/>
      <c r="B133" s="15"/>
      <c r="C133" s="15"/>
      <c r="D133" s="15"/>
      <c r="E133" s="15"/>
      <c r="F133" s="5"/>
      <c r="G133" s="5"/>
      <c r="H133" s="5"/>
      <c r="I133" s="5"/>
      <c r="J133" s="15"/>
      <c r="K133" s="15"/>
    </row>
    <row r="134" spans="1:11" x14ac:dyDescent="0.2">
      <c r="A134" s="5"/>
      <c r="B134" s="15"/>
      <c r="C134" s="15"/>
      <c r="D134" s="15"/>
      <c r="E134" s="15"/>
      <c r="F134" s="5"/>
      <c r="G134" s="5"/>
      <c r="H134" s="5"/>
      <c r="I134" s="5"/>
      <c r="J134" s="15"/>
      <c r="K134" s="15"/>
    </row>
    <row r="135" spans="1:11" x14ac:dyDescent="0.2">
      <c r="A135" s="5"/>
      <c r="B135" s="15"/>
      <c r="C135" s="15"/>
      <c r="D135" s="15"/>
      <c r="E135" s="15"/>
      <c r="F135" s="5"/>
      <c r="G135" s="5"/>
      <c r="H135" s="5"/>
      <c r="I135" s="5"/>
      <c r="J135" s="15"/>
      <c r="K135" s="15"/>
    </row>
    <row r="136" spans="1:11" x14ac:dyDescent="0.2">
      <c r="A136" s="5"/>
      <c r="B136" s="15"/>
      <c r="C136" s="15"/>
      <c r="D136" s="15"/>
      <c r="E136" s="15"/>
      <c r="F136" s="5"/>
      <c r="G136" s="5"/>
      <c r="H136" s="5"/>
      <c r="I136" s="5"/>
      <c r="J136" s="15"/>
      <c r="K136" s="15"/>
    </row>
    <row r="137" spans="1:11" x14ac:dyDescent="0.2">
      <c r="A137" s="5"/>
      <c r="B137" s="15"/>
      <c r="C137" s="15"/>
      <c r="D137" s="15"/>
      <c r="E137" s="15"/>
      <c r="F137" s="5"/>
      <c r="G137" s="5"/>
      <c r="H137" s="5"/>
      <c r="I137" s="5"/>
      <c r="J137" s="15"/>
      <c r="K137" s="15"/>
    </row>
    <row r="138" spans="1:11" x14ac:dyDescent="0.2">
      <c r="A138" s="5"/>
      <c r="B138" s="15"/>
      <c r="C138" s="15"/>
      <c r="D138" s="15"/>
      <c r="E138" s="15"/>
      <c r="F138" s="5"/>
      <c r="G138" s="5"/>
      <c r="H138" s="5"/>
      <c r="I138" s="5"/>
      <c r="J138" s="15"/>
      <c r="K138" s="15"/>
    </row>
    <row r="139" spans="1:11" x14ac:dyDescent="0.2">
      <c r="A139" s="5"/>
      <c r="B139" s="15"/>
      <c r="C139" s="15"/>
      <c r="D139" s="15"/>
      <c r="E139" s="15"/>
      <c r="F139" s="5"/>
      <c r="G139" s="5"/>
      <c r="H139" s="5"/>
      <c r="I139" s="5"/>
      <c r="J139" s="15"/>
      <c r="K139" s="15"/>
    </row>
    <row r="140" spans="1:11" x14ac:dyDescent="0.2">
      <c r="A140" s="5"/>
      <c r="B140" s="15"/>
      <c r="C140" s="15"/>
      <c r="D140" s="15"/>
      <c r="E140" s="15"/>
      <c r="F140" s="5"/>
      <c r="G140" s="5"/>
      <c r="H140" s="5"/>
      <c r="I140" s="5"/>
      <c r="J140" s="15"/>
      <c r="K140" s="15"/>
    </row>
    <row r="141" spans="1:11" x14ac:dyDescent="0.2">
      <c r="A141" s="5"/>
      <c r="B141" s="15"/>
      <c r="C141" s="15"/>
      <c r="D141" s="15"/>
      <c r="E141" s="15"/>
      <c r="F141" s="5"/>
      <c r="G141" s="5"/>
      <c r="H141" s="5"/>
      <c r="I141" s="5"/>
      <c r="J141" s="15"/>
      <c r="K141" s="15"/>
    </row>
    <row r="142" spans="1:11" x14ac:dyDescent="0.2">
      <c r="A142" s="5"/>
      <c r="B142" s="15"/>
      <c r="C142" s="15"/>
      <c r="D142" s="15"/>
      <c r="E142" s="15"/>
      <c r="F142" s="5"/>
      <c r="G142" s="5"/>
      <c r="H142" s="5"/>
      <c r="I142" s="5"/>
      <c r="J142" s="15"/>
      <c r="K142" s="15"/>
    </row>
    <row r="143" spans="1:11" x14ac:dyDescent="0.2">
      <c r="A143" s="5"/>
      <c r="B143" s="15"/>
      <c r="C143" s="15"/>
      <c r="D143" s="15"/>
      <c r="E143" s="15"/>
      <c r="F143" s="5"/>
      <c r="G143" s="5"/>
      <c r="H143" s="5"/>
      <c r="I143" s="5"/>
      <c r="J143" s="15"/>
      <c r="K143" s="15"/>
    </row>
    <row r="144" spans="1:11" x14ac:dyDescent="0.2">
      <c r="A144" s="5"/>
      <c r="B144" s="15"/>
      <c r="C144" s="15"/>
      <c r="D144" s="15"/>
      <c r="E144" s="15"/>
      <c r="F144" s="5"/>
      <c r="G144" s="5"/>
      <c r="H144" s="5"/>
      <c r="I144" s="5"/>
      <c r="J144" s="15"/>
      <c r="K144" s="15"/>
    </row>
    <row r="145" spans="1:11" x14ac:dyDescent="0.2">
      <c r="A145" s="5"/>
      <c r="B145" s="15"/>
      <c r="C145" s="15"/>
      <c r="D145" s="15"/>
      <c r="E145" s="15"/>
      <c r="F145" s="5"/>
      <c r="G145" s="5"/>
      <c r="H145" s="5"/>
      <c r="I145" s="5"/>
      <c r="J145" s="15"/>
      <c r="K145" s="15"/>
    </row>
    <row r="146" spans="1:11" x14ac:dyDescent="0.2">
      <c r="A146" s="5"/>
      <c r="B146" s="15"/>
      <c r="C146" s="15"/>
      <c r="D146" s="15"/>
      <c r="E146" s="15"/>
      <c r="F146" s="5"/>
      <c r="G146" s="5"/>
      <c r="H146" s="5"/>
      <c r="I146" s="5"/>
      <c r="J146" s="15"/>
      <c r="K146" s="15"/>
    </row>
    <row r="147" spans="1:11" x14ac:dyDescent="0.2">
      <c r="A147" s="5"/>
      <c r="B147" s="15"/>
      <c r="C147" s="15"/>
      <c r="D147" s="15"/>
      <c r="E147" s="15"/>
      <c r="F147" s="5"/>
      <c r="G147" s="5"/>
      <c r="H147" s="5"/>
      <c r="I147" s="5"/>
      <c r="J147" s="15"/>
      <c r="K147" s="15"/>
    </row>
    <row r="148" spans="1:11" x14ac:dyDescent="0.2">
      <c r="A148" s="5"/>
      <c r="B148" s="15"/>
      <c r="C148" s="15"/>
      <c r="D148" s="15"/>
      <c r="E148" s="15"/>
      <c r="F148" s="5"/>
      <c r="G148" s="5"/>
      <c r="H148" s="5"/>
      <c r="I148" s="5"/>
      <c r="J148" s="15"/>
      <c r="K148" s="15"/>
    </row>
    <row r="149" spans="1:11" x14ac:dyDescent="0.2">
      <c r="A149" s="5"/>
      <c r="B149" s="15"/>
      <c r="C149" s="15"/>
      <c r="D149" s="15"/>
      <c r="E149" s="15"/>
      <c r="F149" s="5"/>
      <c r="G149" s="5"/>
      <c r="H149" s="5"/>
      <c r="I149" s="5"/>
      <c r="J149" s="15"/>
      <c r="K149" s="15"/>
    </row>
    <row r="150" spans="1:11" x14ac:dyDescent="0.2">
      <c r="A150" s="5"/>
      <c r="B150" s="15"/>
      <c r="C150" s="15"/>
      <c r="D150" s="15"/>
      <c r="E150" s="15"/>
      <c r="F150" s="5"/>
      <c r="G150" s="5"/>
      <c r="H150" s="5"/>
      <c r="I150" s="5"/>
      <c r="J150" s="15"/>
      <c r="K150" s="15"/>
    </row>
    <row r="151" spans="1:11" x14ac:dyDescent="0.2">
      <c r="A151" s="5"/>
      <c r="B151" s="15"/>
      <c r="C151" s="15"/>
      <c r="D151" s="15"/>
      <c r="E151" s="15"/>
      <c r="F151" s="5"/>
      <c r="G151" s="5"/>
      <c r="H151" s="5"/>
      <c r="I151" s="5"/>
      <c r="J151" s="15"/>
      <c r="K151" s="15"/>
    </row>
    <row r="152" spans="1:11" x14ac:dyDescent="0.2">
      <c r="A152" s="5"/>
      <c r="B152" s="15"/>
      <c r="C152" s="15"/>
      <c r="D152" s="15"/>
      <c r="E152" s="15"/>
      <c r="F152" s="5"/>
      <c r="G152" s="5"/>
      <c r="H152" s="5"/>
      <c r="I152" s="5"/>
      <c r="J152" s="15"/>
      <c r="K152" s="15"/>
    </row>
    <row r="153" spans="1:11" x14ac:dyDescent="0.2">
      <c r="A153" s="5"/>
      <c r="B153" s="15"/>
      <c r="C153" s="15"/>
      <c r="D153" s="15"/>
      <c r="E153" s="15"/>
      <c r="F153" s="5"/>
      <c r="G153" s="5"/>
      <c r="H153" s="5"/>
      <c r="I153" s="5"/>
      <c r="J153" s="15"/>
      <c r="K153" s="15"/>
    </row>
    <row r="154" spans="1:11" x14ac:dyDescent="0.2">
      <c r="A154" s="5"/>
      <c r="B154" s="15"/>
      <c r="C154" s="15"/>
      <c r="D154" s="15"/>
      <c r="E154" s="15"/>
      <c r="F154" s="5"/>
      <c r="G154" s="5"/>
      <c r="H154" s="5"/>
      <c r="I154" s="5"/>
      <c r="J154" s="15"/>
      <c r="K154" s="15"/>
    </row>
    <row r="155" spans="1:11" x14ac:dyDescent="0.2">
      <c r="A155" s="5"/>
      <c r="B155" s="15"/>
      <c r="C155" s="15"/>
      <c r="D155" s="15"/>
      <c r="E155" s="15"/>
      <c r="F155" s="5"/>
      <c r="G155" s="5"/>
      <c r="H155" s="5"/>
      <c r="I155" s="5"/>
      <c r="J155" s="15"/>
      <c r="K155" s="15"/>
    </row>
    <row r="156" spans="1:11" x14ac:dyDescent="0.2">
      <c r="A156" s="5"/>
      <c r="B156" s="15"/>
      <c r="C156" s="15"/>
      <c r="D156" s="15"/>
      <c r="E156" s="15"/>
      <c r="F156" s="5"/>
      <c r="G156" s="5"/>
      <c r="H156" s="5"/>
      <c r="I156" s="5"/>
      <c r="J156" s="15"/>
      <c r="K156" s="15"/>
    </row>
    <row r="157" spans="1:11" x14ac:dyDescent="0.2">
      <c r="A157" s="5"/>
      <c r="B157" s="15"/>
      <c r="C157" s="15"/>
      <c r="D157" s="15"/>
      <c r="E157" s="15"/>
      <c r="F157" s="5"/>
      <c r="G157" s="5"/>
      <c r="H157" s="5"/>
      <c r="I157" s="5"/>
      <c r="J157" s="15"/>
      <c r="K157" s="15"/>
    </row>
    <row r="158" spans="1:11" x14ac:dyDescent="0.2">
      <c r="A158" s="5"/>
      <c r="B158" s="15"/>
      <c r="C158" s="15"/>
      <c r="D158" s="15"/>
      <c r="E158" s="15"/>
      <c r="F158" s="5"/>
      <c r="G158" s="5"/>
      <c r="H158" s="5"/>
      <c r="I158" s="5"/>
      <c r="J158" s="15"/>
      <c r="K158" s="15"/>
    </row>
    <row r="159" spans="1:11" x14ac:dyDescent="0.2">
      <c r="A159" s="5"/>
      <c r="B159" s="15"/>
      <c r="C159" s="15"/>
      <c r="D159" s="15"/>
      <c r="E159" s="15"/>
      <c r="F159" s="5"/>
      <c r="G159" s="5"/>
      <c r="H159" s="5"/>
      <c r="I159" s="5"/>
      <c r="J159" s="15"/>
      <c r="K159" s="15"/>
    </row>
    <row r="160" spans="1:11" x14ac:dyDescent="0.2">
      <c r="A160" s="5"/>
      <c r="B160" s="15"/>
      <c r="C160" s="15"/>
      <c r="D160" s="15"/>
      <c r="E160" s="15"/>
      <c r="F160" s="5"/>
      <c r="G160" s="5"/>
      <c r="H160" s="5"/>
      <c r="I160" s="5"/>
      <c r="J160" s="15"/>
      <c r="K160" s="15"/>
    </row>
    <row r="161" spans="1:11" x14ac:dyDescent="0.2">
      <c r="A161" s="5"/>
      <c r="B161" s="15"/>
      <c r="C161" s="15"/>
      <c r="D161" s="15"/>
      <c r="E161" s="15"/>
      <c r="F161" s="5"/>
      <c r="G161" s="5"/>
      <c r="H161" s="5"/>
      <c r="I161" s="5"/>
      <c r="J161" s="15"/>
      <c r="K161" s="15"/>
    </row>
    <row r="162" spans="1:11" x14ac:dyDescent="0.2">
      <c r="A162" s="5"/>
      <c r="B162" s="15"/>
      <c r="C162" s="15"/>
      <c r="D162" s="15"/>
      <c r="E162" s="15"/>
      <c r="F162" s="5"/>
      <c r="G162" s="5"/>
      <c r="H162" s="5"/>
      <c r="I162" s="5"/>
      <c r="J162" s="15"/>
      <c r="K162" s="15"/>
    </row>
    <row r="163" spans="1:11" x14ac:dyDescent="0.2">
      <c r="A163" s="5"/>
      <c r="B163" s="15"/>
      <c r="C163" s="15"/>
      <c r="D163" s="15"/>
      <c r="E163" s="15"/>
      <c r="F163" s="5"/>
      <c r="G163" s="5"/>
      <c r="H163" s="5"/>
      <c r="I163" s="5"/>
      <c r="J163" s="15"/>
      <c r="K163" s="15"/>
    </row>
    <row r="164" spans="1:11" x14ac:dyDescent="0.2">
      <c r="A164" s="5"/>
      <c r="B164" s="15"/>
      <c r="C164" s="15"/>
      <c r="D164" s="15"/>
      <c r="E164" s="15"/>
      <c r="F164" s="5"/>
      <c r="G164" s="5"/>
      <c r="H164" s="5"/>
      <c r="I164" s="5"/>
      <c r="J164" s="15"/>
      <c r="K164" s="15"/>
    </row>
    <row r="165" spans="1:11" x14ac:dyDescent="0.2">
      <c r="A165" s="5"/>
      <c r="B165" s="15"/>
      <c r="C165" s="15"/>
      <c r="D165" s="15"/>
      <c r="E165" s="15"/>
      <c r="F165" s="5"/>
      <c r="G165" s="5"/>
      <c r="H165" s="5"/>
      <c r="I165" s="5"/>
      <c r="J165" s="15"/>
      <c r="K165" s="15"/>
    </row>
    <row r="166" spans="1:11" x14ac:dyDescent="0.2">
      <c r="A166" s="5"/>
      <c r="B166" s="15"/>
      <c r="C166" s="15"/>
      <c r="D166" s="15"/>
      <c r="E166" s="15"/>
      <c r="F166" s="5"/>
      <c r="G166" s="5"/>
      <c r="H166" s="5"/>
      <c r="I166" s="5"/>
      <c r="J166" s="15"/>
      <c r="K166" s="15"/>
    </row>
    <row r="167" spans="1:11" x14ac:dyDescent="0.2">
      <c r="A167" s="5"/>
      <c r="B167" s="15"/>
      <c r="C167" s="15"/>
      <c r="D167" s="15"/>
      <c r="E167" s="15"/>
      <c r="F167" s="5"/>
      <c r="G167" s="5"/>
      <c r="H167" s="5"/>
      <c r="I167" s="5"/>
      <c r="J167" s="15"/>
      <c r="K167" s="15"/>
    </row>
    <row r="168" spans="1:11" x14ac:dyDescent="0.2">
      <c r="A168" s="5"/>
      <c r="B168" s="15"/>
      <c r="C168" s="15"/>
      <c r="D168" s="15"/>
      <c r="E168" s="15"/>
      <c r="F168" s="5"/>
      <c r="G168" s="5"/>
      <c r="H168" s="5"/>
      <c r="I168" s="5"/>
      <c r="J168" s="15"/>
      <c r="K168" s="15"/>
    </row>
    <row r="169" spans="1:11" x14ac:dyDescent="0.2">
      <c r="A169" s="5"/>
      <c r="B169" s="15"/>
      <c r="C169" s="15"/>
      <c r="D169" s="15"/>
      <c r="E169" s="15"/>
      <c r="F169" s="5"/>
      <c r="G169" s="5"/>
      <c r="H169" s="5"/>
      <c r="I169" s="5"/>
      <c r="J169" s="15"/>
      <c r="K169" s="15"/>
    </row>
    <row r="170" spans="1:11" x14ac:dyDescent="0.2">
      <c r="A170" s="5"/>
      <c r="B170" s="15"/>
      <c r="C170" s="15"/>
      <c r="D170" s="15"/>
      <c r="E170" s="15"/>
      <c r="F170" s="5"/>
      <c r="G170" s="5"/>
      <c r="H170" s="5"/>
      <c r="I170" s="5"/>
      <c r="J170" s="15"/>
      <c r="K170" s="15"/>
    </row>
    <row r="171" spans="1:11" x14ac:dyDescent="0.2">
      <c r="A171" s="5"/>
      <c r="B171" s="15"/>
      <c r="C171" s="15"/>
      <c r="D171" s="15"/>
      <c r="E171" s="15"/>
      <c r="F171" s="5"/>
      <c r="G171" s="5"/>
      <c r="H171" s="5"/>
      <c r="I171" s="5"/>
      <c r="J171" s="15"/>
      <c r="K171" s="15"/>
    </row>
    <row r="172" spans="1:11" x14ac:dyDescent="0.2">
      <c r="A172" s="5"/>
      <c r="B172" s="15"/>
      <c r="C172" s="15"/>
      <c r="D172" s="15"/>
      <c r="E172" s="15"/>
      <c r="F172" s="5"/>
      <c r="G172" s="5"/>
      <c r="H172" s="5"/>
      <c r="I172" s="5"/>
      <c r="J172" s="15"/>
      <c r="K172" s="15"/>
    </row>
    <row r="173" spans="1:11" x14ac:dyDescent="0.2">
      <c r="A173" s="5"/>
      <c r="B173" s="15"/>
      <c r="C173" s="15"/>
      <c r="D173" s="15"/>
      <c r="E173" s="15"/>
      <c r="F173" s="5"/>
      <c r="G173" s="5"/>
      <c r="H173" s="5"/>
      <c r="I173" s="5"/>
      <c r="J173" s="15"/>
      <c r="K173" s="15"/>
    </row>
    <row r="174" spans="1:11" x14ac:dyDescent="0.2">
      <c r="A174" s="5"/>
      <c r="B174" s="15"/>
      <c r="C174" s="15"/>
      <c r="D174" s="15"/>
      <c r="E174" s="15"/>
      <c r="F174" s="5"/>
      <c r="G174" s="5"/>
      <c r="H174" s="5"/>
      <c r="I174" s="5"/>
      <c r="J174" s="15"/>
      <c r="K174" s="15"/>
    </row>
    <row r="175" spans="1:11" x14ac:dyDescent="0.2">
      <c r="A175" s="5"/>
      <c r="B175" s="15"/>
      <c r="C175" s="15"/>
      <c r="D175" s="15"/>
      <c r="E175" s="15"/>
      <c r="F175" s="5"/>
      <c r="G175" s="5"/>
      <c r="H175" s="5"/>
      <c r="I175" s="5"/>
      <c r="J175" s="15"/>
      <c r="K175" s="15"/>
    </row>
    <row r="176" spans="1:11" x14ac:dyDescent="0.2">
      <c r="A176" s="5"/>
      <c r="B176" s="15"/>
      <c r="C176" s="15"/>
      <c r="D176" s="15"/>
      <c r="E176" s="15"/>
      <c r="F176" s="5"/>
      <c r="G176" s="5"/>
      <c r="H176" s="5"/>
      <c r="I176" s="5"/>
      <c r="J176" s="15"/>
      <c r="K176" s="15"/>
    </row>
    <row r="177" spans="1:11" x14ac:dyDescent="0.2">
      <c r="A177" s="5"/>
      <c r="B177" s="15"/>
      <c r="C177" s="15"/>
      <c r="D177" s="15"/>
      <c r="E177" s="15"/>
      <c r="F177" s="5"/>
      <c r="G177" s="5"/>
      <c r="H177" s="5"/>
      <c r="I177" s="5"/>
      <c r="J177" s="15"/>
      <c r="K177" s="15"/>
    </row>
    <row r="178" spans="1:11" x14ac:dyDescent="0.2">
      <c r="A178" s="5"/>
      <c r="B178" s="15"/>
      <c r="C178" s="15"/>
      <c r="D178" s="15"/>
      <c r="E178" s="15"/>
      <c r="F178" s="5"/>
      <c r="G178" s="5"/>
      <c r="H178" s="5"/>
      <c r="I178" s="5"/>
      <c r="J178" s="15"/>
      <c r="K178" s="15"/>
    </row>
    <row r="179" spans="1:11" x14ac:dyDescent="0.2">
      <c r="A179" s="5"/>
      <c r="B179" s="15"/>
      <c r="C179" s="15"/>
      <c r="D179" s="15"/>
      <c r="E179" s="15"/>
      <c r="F179" s="5"/>
      <c r="G179" s="5"/>
      <c r="H179" s="5"/>
      <c r="I179" s="5"/>
      <c r="J179" s="15"/>
      <c r="K179" s="15"/>
    </row>
    <row r="180" spans="1:11" x14ac:dyDescent="0.2">
      <c r="A180" s="5"/>
      <c r="B180" s="15"/>
      <c r="C180" s="15"/>
      <c r="D180" s="15"/>
      <c r="E180" s="15"/>
      <c r="F180" s="5"/>
      <c r="G180" s="5"/>
      <c r="H180" s="5"/>
      <c r="I180" s="5"/>
      <c r="J180" s="15"/>
      <c r="K180" s="15"/>
    </row>
    <row r="181" spans="1:11" x14ac:dyDescent="0.2">
      <c r="A181" s="5"/>
      <c r="B181" s="15"/>
      <c r="C181" s="15"/>
      <c r="D181" s="15"/>
      <c r="E181" s="15"/>
      <c r="F181" s="5"/>
      <c r="G181" s="5"/>
      <c r="H181" s="5"/>
      <c r="I181" s="5"/>
      <c r="J181" s="15"/>
      <c r="K181" s="15"/>
    </row>
    <row r="182" spans="1:11" x14ac:dyDescent="0.2">
      <c r="A182" s="5"/>
      <c r="B182" s="15"/>
      <c r="C182" s="15"/>
      <c r="D182" s="15"/>
      <c r="E182" s="15"/>
      <c r="F182" s="5"/>
      <c r="G182" s="5"/>
      <c r="H182" s="5"/>
      <c r="I182" s="5"/>
      <c r="J182" s="15"/>
      <c r="K182" s="15"/>
    </row>
    <row r="183" spans="1:11" x14ac:dyDescent="0.2">
      <c r="A183" s="5"/>
      <c r="B183" s="15"/>
      <c r="C183" s="15"/>
      <c r="D183" s="15"/>
      <c r="E183" s="15"/>
      <c r="F183" s="5"/>
      <c r="G183" s="5"/>
      <c r="H183" s="5"/>
      <c r="I183" s="5"/>
      <c r="J183" s="15"/>
      <c r="K183" s="15"/>
    </row>
    <row r="184" spans="1:11" x14ac:dyDescent="0.2">
      <c r="A184" s="5"/>
      <c r="B184" s="15"/>
      <c r="C184" s="15"/>
      <c r="D184" s="15"/>
      <c r="E184" s="15"/>
      <c r="F184" s="5"/>
      <c r="G184" s="5"/>
      <c r="H184" s="5"/>
      <c r="I184" s="5"/>
      <c r="J184" s="15"/>
      <c r="K184" s="15"/>
    </row>
    <row r="185" spans="1:11" x14ac:dyDescent="0.2">
      <c r="A185" s="5"/>
      <c r="B185" s="15"/>
      <c r="C185" s="15"/>
      <c r="D185" s="15"/>
      <c r="E185" s="15"/>
      <c r="F185" s="5"/>
      <c r="G185" s="5"/>
      <c r="H185" s="5"/>
      <c r="I185" s="5"/>
      <c r="J185" s="15"/>
      <c r="K185" s="15"/>
    </row>
    <row r="186" spans="1:11" x14ac:dyDescent="0.2">
      <c r="A186" s="5"/>
      <c r="B186" s="15"/>
      <c r="C186" s="15"/>
      <c r="D186" s="15"/>
      <c r="E186" s="15"/>
      <c r="F186" s="5"/>
      <c r="G186" s="5"/>
      <c r="H186" s="5"/>
      <c r="I186" s="5"/>
      <c r="J186" s="15"/>
      <c r="K186" s="15"/>
    </row>
    <row r="187" spans="1:11" x14ac:dyDescent="0.2">
      <c r="A187" s="5"/>
      <c r="B187" s="15"/>
      <c r="C187" s="15"/>
      <c r="D187" s="15"/>
      <c r="E187" s="15"/>
      <c r="F187" s="5"/>
      <c r="G187" s="5"/>
      <c r="H187" s="5"/>
      <c r="I187" s="5"/>
      <c r="J187" s="15"/>
      <c r="K187" s="15"/>
    </row>
    <row r="188" spans="1:11" x14ac:dyDescent="0.2">
      <c r="A188" s="5"/>
      <c r="B188" s="15"/>
      <c r="C188" s="15"/>
      <c r="D188" s="15"/>
      <c r="E188" s="15"/>
      <c r="F188" s="5"/>
      <c r="G188" s="5"/>
      <c r="H188" s="5"/>
      <c r="I188" s="5"/>
      <c r="J188" s="15"/>
      <c r="K188" s="15"/>
    </row>
    <row r="189" spans="1:11" x14ac:dyDescent="0.2">
      <c r="A189" s="5"/>
      <c r="B189" s="15"/>
      <c r="C189" s="15"/>
      <c r="D189" s="15"/>
      <c r="E189" s="15"/>
      <c r="F189" s="5"/>
      <c r="G189" s="5"/>
      <c r="H189" s="5"/>
      <c r="I189" s="5"/>
      <c r="J189" s="15"/>
      <c r="K189" s="15"/>
    </row>
    <row r="190" spans="1:11" x14ac:dyDescent="0.2">
      <c r="A190" s="5"/>
      <c r="B190" s="15"/>
      <c r="C190" s="15"/>
      <c r="D190" s="15"/>
      <c r="E190" s="15"/>
      <c r="F190" s="5"/>
      <c r="G190" s="5"/>
      <c r="H190" s="5"/>
      <c r="I190" s="5"/>
      <c r="J190" s="15"/>
      <c r="K190" s="15"/>
    </row>
    <row r="191" spans="1:11" x14ac:dyDescent="0.2">
      <c r="A191" s="5"/>
      <c r="B191" s="15"/>
      <c r="C191" s="15"/>
      <c r="D191" s="15"/>
      <c r="E191" s="15"/>
      <c r="F191" s="5"/>
      <c r="G191" s="5"/>
      <c r="H191" s="5"/>
      <c r="I191" s="5"/>
      <c r="J191" s="15"/>
      <c r="K191" s="15"/>
    </row>
    <row r="192" spans="1:11" x14ac:dyDescent="0.2">
      <c r="A192" s="5"/>
      <c r="B192" s="15"/>
      <c r="C192" s="15"/>
      <c r="D192" s="15"/>
      <c r="E192" s="15"/>
      <c r="F192" s="5"/>
      <c r="G192" s="5"/>
      <c r="H192" s="5"/>
      <c r="I192" s="5"/>
      <c r="J192" s="15"/>
      <c r="K192" s="15"/>
    </row>
    <row r="193" spans="1:11" x14ac:dyDescent="0.2">
      <c r="A193" s="5"/>
      <c r="B193" s="15"/>
      <c r="C193" s="15"/>
      <c r="D193" s="15"/>
      <c r="E193" s="15"/>
      <c r="F193" s="5"/>
      <c r="G193" s="5"/>
      <c r="H193" s="5"/>
      <c r="I193" s="5"/>
      <c r="J193" s="15"/>
      <c r="K193" s="15"/>
    </row>
    <row r="194" spans="1:11" x14ac:dyDescent="0.2">
      <c r="A194" s="5"/>
      <c r="B194" s="15"/>
      <c r="C194" s="15"/>
      <c r="D194" s="15"/>
      <c r="E194" s="15"/>
      <c r="F194" s="5"/>
      <c r="G194" s="5"/>
      <c r="H194" s="5"/>
      <c r="I194" s="5"/>
      <c r="J194" s="15"/>
      <c r="K194" s="15"/>
    </row>
    <row r="195" spans="1:11" x14ac:dyDescent="0.2">
      <c r="A195" s="5"/>
      <c r="B195" s="15"/>
      <c r="C195" s="15"/>
      <c r="D195" s="15"/>
      <c r="E195" s="15"/>
      <c r="F195" s="5"/>
      <c r="G195" s="5"/>
      <c r="H195" s="5"/>
      <c r="I195" s="5"/>
      <c r="J195" s="15"/>
      <c r="K195" s="15"/>
    </row>
    <row r="196" spans="1:11" x14ac:dyDescent="0.2">
      <c r="A196" s="5"/>
      <c r="B196" s="15"/>
      <c r="C196" s="15"/>
      <c r="D196" s="15"/>
      <c r="E196" s="15"/>
      <c r="F196" s="5"/>
      <c r="G196" s="5"/>
      <c r="H196" s="5"/>
      <c r="I196" s="5"/>
      <c r="J196" s="15"/>
      <c r="K196" s="15"/>
    </row>
    <row r="197" spans="1:11" x14ac:dyDescent="0.2">
      <c r="A197" s="5"/>
      <c r="B197" s="15"/>
      <c r="C197" s="15"/>
      <c r="D197" s="15"/>
      <c r="E197" s="15"/>
      <c r="F197" s="5"/>
      <c r="G197" s="5"/>
      <c r="H197" s="5"/>
      <c r="I197" s="5"/>
      <c r="J197" s="15"/>
      <c r="K197" s="15"/>
    </row>
    <row r="198" spans="1:11" x14ac:dyDescent="0.2">
      <c r="A198" s="5"/>
      <c r="B198" s="15"/>
      <c r="C198" s="15"/>
      <c r="D198" s="15"/>
      <c r="E198" s="15"/>
      <c r="F198" s="5"/>
      <c r="G198" s="5"/>
      <c r="H198" s="5"/>
      <c r="I198" s="5"/>
      <c r="J198" s="15"/>
      <c r="K198" s="15"/>
    </row>
    <row r="199" spans="1:11" x14ac:dyDescent="0.2">
      <c r="A199" s="5"/>
      <c r="B199" s="15"/>
      <c r="C199" s="15"/>
      <c r="D199" s="15"/>
      <c r="E199" s="15"/>
      <c r="F199" s="5"/>
      <c r="G199" s="5"/>
      <c r="H199" s="5"/>
      <c r="I199" s="5"/>
      <c r="J199" s="15"/>
      <c r="K199" s="15"/>
    </row>
    <row r="200" spans="1:11" x14ac:dyDescent="0.2">
      <c r="A200" s="5"/>
      <c r="B200" s="15"/>
      <c r="C200" s="15"/>
      <c r="D200" s="15"/>
      <c r="E200" s="15"/>
      <c r="F200" s="5"/>
      <c r="G200" s="5"/>
      <c r="H200" s="5"/>
      <c r="I200" s="5"/>
      <c r="J200" s="15"/>
      <c r="K200" s="15"/>
    </row>
    <row r="201" spans="1:11" x14ac:dyDescent="0.2">
      <c r="A201" s="5"/>
      <c r="B201" s="15"/>
      <c r="C201" s="15"/>
      <c r="D201" s="15"/>
      <c r="E201" s="15"/>
      <c r="F201" s="5"/>
      <c r="G201" s="5"/>
      <c r="H201" s="5"/>
      <c r="I201" s="5"/>
      <c r="J201" s="15"/>
      <c r="K201" s="15"/>
    </row>
    <row r="202" spans="1:11" x14ac:dyDescent="0.2">
      <c r="A202" s="5"/>
      <c r="B202" s="15"/>
      <c r="C202" s="15"/>
      <c r="D202" s="15"/>
      <c r="E202" s="15"/>
      <c r="F202" s="5"/>
      <c r="G202" s="5"/>
      <c r="H202" s="5"/>
      <c r="I202" s="5"/>
      <c r="J202" s="15"/>
      <c r="K202" s="15"/>
    </row>
    <row r="203" spans="1:11" x14ac:dyDescent="0.2">
      <c r="A203" s="5"/>
      <c r="B203" s="15"/>
      <c r="C203" s="15"/>
      <c r="D203" s="15"/>
      <c r="E203" s="15"/>
      <c r="F203" s="5"/>
      <c r="G203" s="5"/>
      <c r="H203" s="5"/>
      <c r="I203" s="5"/>
      <c r="J203" s="15"/>
      <c r="K203" s="15"/>
    </row>
    <row r="204" spans="1:11" x14ac:dyDescent="0.2">
      <c r="A204" s="5"/>
      <c r="B204" s="15"/>
      <c r="C204" s="15"/>
      <c r="D204" s="15"/>
      <c r="E204" s="15"/>
      <c r="F204" s="5"/>
      <c r="G204" s="5"/>
      <c r="H204" s="5"/>
      <c r="I204" s="5"/>
      <c r="J204" s="15"/>
      <c r="K204" s="15"/>
    </row>
    <row r="205" spans="1:11" x14ac:dyDescent="0.2">
      <c r="A205" s="5"/>
      <c r="B205" s="15"/>
      <c r="C205" s="15"/>
      <c r="D205" s="15"/>
      <c r="E205" s="15"/>
      <c r="F205" s="5"/>
      <c r="G205" s="5"/>
      <c r="H205" s="5"/>
      <c r="I205" s="5"/>
      <c r="J205" s="15"/>
      <c r="K205" s="15"/>
    </row>
    <row r="206" spans="1:11" x14ac:dyDescent="0.2">
      <c r="A206" s="5"/>
      <c r="B206" s="15"/>
      <c r="C206" s="15"/>
      <c r="D206" s="15"/>
      <c r="E206" s="15"/>
      <c r="F206" s="5"/>
      <c r="G206" s="5"/>
      <c r="H206" s="5"/>
      <c r="I206" s="5"/>
      <c r="J206" s="15"/>
      <c r="K206" s="15"/>
    </row>
    <row r="207" spans="1:11" x14ac:dyDescent="0.2">
      <c r="A207" s="5"/>
      <c r="B207" s="15"/>
      <c r="C207" s="15"/>
      <c r="D207" s="15"/>
      <c r="E207" s="15"/>
      <c r="F207" s="5"/>
      <c r="G207" s="5"/>
      <c r="H207" s="5"/>
      <c r="I207" s="5"/>
      <c r="J207" s="15"/>
      <c r="K207" s="15"/>
    </row>
    <row r="208" spans="1:11" x14ac:dyDescent="0.2">
      <c r="A208" s="5"/>
      <c r="B208" s="15"/>
      <c r="C208" s="15"/>
      <c r="D208" s="15"/>
      <c r="E208" s="15"/>
      <c r="F208" s="5"/>
      <c r="G208" s="5"/>
      <c r="H208" s="5"/>
      <c r="I208" s="5"/>
      <c r="J208" s="15"/>
      <c r="K208" s="15"/>
    </row>
    <row r="209" spans="1:11" x14ac:dyDescent="0.2">
      <c r="A209" s="5"/>
      <c r="B209" s="15"/>
      <c r="C209" s="15"/>
      <c r="D209" s="15"/>
      <c r="E209" s="15"/>
      <c r="F209" s="5"/>
      <c r="G209" s="5"/>
      <c r="H209" s="5"/>
      <c r="I209" s="5"/>
      <c r="J209" s="15"/>
      <c r="K209" s="15"/>
    </row>
    <row r="210" spans="1:11" x14ac:dyDescent="0.2">
      <c r="A210" s="5"/>
      <c r="B210" s="15"/>
      <c r="C210" s="15"/>
      <c r="D210" s="15"/>
      <c r="E210" s="15"/>
      <c r="F210" s="5"/>
      <c r="G210" s="5"/>
      <c r="H210" s="5"/>
      <c r="I210" s="5"/>
      <c r="J210" s="15"/>
      <c r="K210" s="15"/>
    </row>
    <row r="211" spans="1:11" x14ac:dyDescent="0.2">
      <c r="A211" s="5"/>
      <c r="B211" s="15"/>
      <c r="C211" s="15"/>
      <c r="D211" s="15"/>
      <c r="E211" s="15"/>
      <c r="F211" s="5"/>
      <c r="G211" s="5"/>
      <c r="H211" s="5"/>
      <c r="I211" s="5"/>
      <c r="J211" s="15"/>
      <c r="K211" s="15"/>
    </row>
    <row r="212" spans="1:11" x14ac:dyDescent="0.2">
      <c r="A212" s="5"/>
      <c r="B212" s="15"/>
      <c r="C212" s="15"/>
      <c r="D212" s="15"/>
      <c r="E212" s="15"/>
      <c r="F212" s="5"/>
      <c r="G212" s="5"/>
      <c r="H212" s="5"/>
      <c r="I212" s="5"/>
      <c r="J212" s="15"/>
      <c r="K212" s="15"/>
    </row>
    <row r="213" spans="1:11" x14ac:dyDescent="0.2">
      <c r="A213" s="5"/>
      <c r="B213" s="15"/>
      <c r="C213" s="15"/>
      <c r="D213" s="15"/>
      <c r="E213" s="15"/>
      <c r="F213" s="5"/>
      <c r="G213" s="5"/>
      <c r="H213" s="5"/>
      <c r="I213" s="5"/>
      <c r="J213" s="15"/>
      <c r="K213" s="15"/>
    </row>
    <row r="214" spans="1:11" x14ac:dyDescent="0.2">
      <c r="A214" s="5"/>
      <c r="B214" s="15"/>
      <c r="C214" s="15"/>
      <c r="D214" s="15"/>
      <c r="E214" s="15"/>
      <c r="F214" s="5"/>
      <c r="G214" s="5"/>
      <c r="H214" s="5"/>
      <c r="I214" s="5"/>
      <c r="J214" s="15"/>
      <c r="K214" s="15"/>
    </row>
    <row r="215" spans="1:11" x14ac:dyDescent="0.2">
      <c r="A215" s="5"/>
      <c r="B215" s="15"/>
      <c r="C215" s="15"/>
      <c r="D215" s="15"/>
      <c r="E215" s="15"/>
      <c r="F215" s="5"/>
      <c r="G215" s="5"/>
      <c r="H215" s="5"/>
      <c r="I215" s="5"/>
      <c r="J215" s="15"/>
      <c r="K215" s="15"/>
    </row>
    <row r="216" spans="1:11" x14ac:dyDescent="0.2">
      <c r="A216" s="5"/>
      <c r="B216" s="15"/>
      <c r="C216" s="15"/>
      <c r="D216" s="15"/>
      <c r="E216" s="15"/>
      <c r="F216" s="5"/>
      <c r="G216" s="5"/>
      <c r="H216" s="5"/>
      <c r="I216" s="5"/>
      <c r="J216" s="15"/>
      <c r="K216" s="15"/>
    </row>
    <row r="217" spans="1:11" x14ac:dyDescent="0.2">
      <c r="A217" s="5"/>
      <c r="B217" s="15"/>
      <c r="C217" s="15"/>
      <c r="D217" s="15"/>
      <c r="E217" s="15"/>
      <c r="F217" s="5"/>
      <c r="G217" s="5"/>
      <c r="H217" s="5"/>
      <c r="I217" s="5"/>
      <c r="J217" s="15"/>
      <c r="K217" s="15"/>
    </row>
    <row r="218" spans="1:11" x14ac:dyDescent="0.2">
      <c r="A218" s="5"/>
      <c r="B218" s="15"/>
      <c r="C218" s="15"/>
      <c r="D218" s="15"/>
      <c r="E218" s="15"/>
      <c r="F218" s="5"/>
      <c r="G218" s="5"/>
      <c r="H218" s="5"/>
      <c r="I218" s="5"/>
      <c r="J218" s="15"/>
      <c r="K218" s="15"/>
    </row>
    <row r="219" spans="1:11" x14ac:dyDescent="0.2">
      <c r="A219" s="5"/>
      <c r="B219" s="15"/>
      <c r="C219" s="15"/>
      <c r="D219" s="15"/>
      <c r="E219" s="15"/>
      <c r="F219" s="5"/>
      <c r="G219" s="5"/>
      <c r="H219" s="5"/>
      <c r="I219" s="5"/>
      <c r="J219" s="15"/>
      <c r="K219" s="15"/>
    </row>
    <row r="220" spans="1:11" x14ac:dyDescent="0.2">
      <c r="A220" s="5"/>
      <c r="B220" s="15"/>
      <c r="C220" s="15"/>
      <c r="D220" s="15"/>
      <c r="E220" s="15"/>
      <c r="F220" s="5"/>
      <c r="G220" s="5"/>
      <c r="H220" s="5"/>
      <c r="I220" s="5"/>
      <c r="J220" s="15"/>
      <c r="K220" s="15"/>
    </row>
    <row r="221" spans="1:11" x14ac:dyDescent="0.2">
      <c r="A221" s="5"/>
      <c r="B221" s="15"/>
      <c r="C221" s="15"/>
      <c r="D221" s="15"/>
      <c r="E221" s="15"/>
      <c r="F221" s="5"/>
      <c r="G221" s="5"/>
      <c r="H221" s="5"/>
      <c r="I221" s="5"/>
      <c r="J221" s="15"/>
      <c r="K221" s="15"/>
    </row>
    <row r="222" spans="1:11" x14ac:dyDescent="0.2">
      <c r="A222" s="5"/>
      <c r="B222" s="15"/>
      <c r="C222" s="15"/>
      <c r="D222" s="15"/>
      <c r="E222" s="15"/>
      <c r="F222" s="5"/>
      <c r="G222" s="5"/>
      <c r="H222" s="5"/>
      <c r="I222" s="5"/>
      <c r="J222" s="15"/>
      <c r="K222" s="15"/>
    </row>
    <row r="223" spans="1:11" x14ac:dyDescent="0.2">
      <c r="A223" s="5"/>
      <c r="B223" s="15"/>
      <c r="C223" s="15"/>
      <c r="D223" s="15"/>
      <c r="E223" s="15"/>
      <c r="F223" s="5"/>
      <c r="G223" s="5"/>
      <c r="H223" s="5"/>
      <c r="I223" s="5"/>
      <c r="J223" s="15"/>
      <c r="K223" s="15"/>
    </row>
    <row r="224" spans="1:11" x14ac:dyDescent="0.2">
      <c r="A224" s="5"/>
      <c r="B224" s="15"/>
      <c r="C224" s="15"/>
      <c r="D224" s="15"/>
      <c r="E224" s="15"/>
      <c r="F224" s="5"/>
      <c r="G224" s="5"/>
      <c r="H224" s="5"/>
      <c r="I224" s="5"/>
      <c r="J224" s="15"/>
      <c r="K224" s="15"/>
    </row>
    <row r="225" spans="1:11" x14ac:dyDescent="0.2">
      <c r="A225" s="5"/>
      <c r="B225" s="15"/>
      <c r="C225" s="15"/>
      <c r="D225" s="15"/>
      <c r="E225" s="15"/>
      <c r="F225" s="5"/>
      <c r="G225" s="5"/>
      <c r="H225" s="5"/>
      <c r="I225" s="5"/>
      <c r="J225" s="15"/>
      <c r="K225" s="15"/>
    </row>
    <row r="226" spans="1:11" x14ac:dyDescent="0.2">
      <c r="A226" s="5"/>
      <c r="B226" s="15"/>
      <c r="C226" s="15"/>
      <c r="D226" s="15"/>
      <c r="E226" s="15"/>
      <c r="F226" s="5"/>
      <c r="G226" s="5"/>
      <c r="H226" s="5"/>
      <c r="I226" s="5"/>
      <c r="J226" s="15"/>
      <c r="K226" s="15"/>
    </row>
    <row r="227" spans="1:11" x14ac:dyDescent="0.2">
      <c r="A227" s="5"/>
      <c r="B227" s="15"/>
      <c r="C227" s="15"/>
      <c r="D227" s="15"/>
      <c r="E227" s="15"/>
      <c r="F227" s="5"/>
      <c r="G227" s="5"/>
      <c r="H227" s="5"/>
      <c r="I227" s="5"/>
      <c r="J227" s="15"/>
      <c r="K227" s="15"/>
    </row>
  </sheetData>
  <mergeCells count="3">
    <mergeCell ref="B2:F2"/>
    <mergeCell ref="G2:K2"/>
    <mergeCell ref="H32:L32"/>
  </mergeCells>
  <pageMargins left="0.7" right="0.7" top="0.75" bottom="0.75" header="0.3" footer="0.3"/>
  <pageSetup orientation="portrait" horizontalDpi="0" verticalDpi="0"/>
  <ignoredErrors>
    <ignoredError sqref="H7:I7 K7"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EE20-6BD8-49C9-AD94-A3A960A04519}">
  <dimension ref="A1:R63"/>
  <sheetViews>
    <sheetView showGridLines="0" zoomScale="90" zoomScaleNormal="90" workbookViewId="0">
      <pane xSplit="2" topLeftCell="C1" activePane="topRight" state="frozen"/>
      <selection activeCell="A4" sqref="A4"/>
      <selection pane="topRight" activeCell="E68" sqref="E68"/>
    </sheetView>
  </sheetViews>
  <sheetFormatPr baseColWidth="10" defaultColWidth="11" defaultRowHeight="16" x14ac:dyDescent="0.2"/>
  <cols>
    <col min="1" max="1" width="2.83203125" customWidth="1"/>
    <col min="2" max="2" width="37.6640625" bestFit="1" customWidth="1"/>
    <col min="3" max="4" width="16.33203125" bestFit="1" customWidth="1"/>
    <col min="5" max="5" width="16.33203125" customWidth="1"/>
    <col min="6" max="7" width="16.33203125" style="1" bestFit="1" customWidth="1"/>
    <col min="8" max="8" width="16.33203125" bestFit="1" customWidth="1"/>
    <col min="9" max="9" width="19.1640625" hidden="1" customWidth="1"/>
    <col min="10" max="10" width="16.33203125" bestFit="1" customWidth="1"/>
    <col min="11" max="11" width="19.1640625" hidden="1" customWidth="1"/>
    <col min="12" max="12" width="16.33203125" bestFit="1" customWidth="1"/>
    <col min="13" max="13" width="19.1640625" hidden="1" customWidth="1"/>
    <col min="14" max="14" width="16.33203125" bestFit="1" customWidth="1"/>
    <col min="15" max="15" width="19.1640625" hidden="1" customWidth="1"/>
    <col min="16" max="16" width="16.33203125" bestFit="1" customWidth="1"/>
    <col min="17" max="17" width="19.1640625" hidden="1" customWidth="1"/>
  </cols>
  <sheetData>
    <row r="1" spans="1:18" x14ac:dyDescent="0.2">
      <c r="A1" s="5" t="s">
        <v>0</v>
      </c>
    </row>
    <row r="2" spans="1:18" x14ac:dyDescent="0.2">
      <c r="C2" s="74" t="s">
        <v>1</v>
      </c>
      <c r="D2" s="74"/>
      <c r="E2" s="74"/>
      <c r="F2" s="74"/>
      <c r="G2"/>
      <c r="H2" s="75" t="s">
        <v>2</v>
      </c>
      <c r="I2" s="75"/>
      <c r="J2" s="75"/>
      <c r="K2" s="75"/>
      <c r="L2" s="75"/>
      <c r="M2" s="75"/>
      <c r="N2" s="75"/>
      <c r="O2" s="75"/>
      <c r="P2" s="75"/>
      <c r="Q2" s="20"/>
    </row>
    <row r="3" spans="1:18" x14ac:dyDescent="0.2">
      <c r="A3" s="5" t="s">
        <v>3</v>
      </c>
      <c r="C3" s="21">
        <v>43129</v>
      </c>
      <c r="D3" s="21">
        <v>43494</v>
      </c>
      <c r="E3" s="21">
        <v>43861</v>
      </c>
      <c r="F3" s="21">
        <v>44225</v>
      </c>
      <c r="G3" s="21">
        <v>44589</v>
      </c>
      <c r="H3" s="23">
        <v>2023</v>
      </c>
      <c r="I3" s="23" t="s">
        <v>127</v>
      </c>
      <c r="J3" s="23">
        <v>2024</v>
      </c>
      <c r="K3" s="23" t="s">
        <v>128</v>
      </c>
      <c r="L3" s="23">
        <v>2025</v>
      </c>
      <c r="M3" s="23" t="s">
        <v>129</v>
      </c>
      <c r="N3" s="23">
        <v>2026</v>
      </c>
      <c r="O3" s="23" t="s">
        <v>130</v>
      </c>
      <c r="P3" s="23">
        <v>2027</v>
      </c>
      <c r="Q3" s="32" t="s">
        <v>131</v>
      </c>
      <c r="R3" t="s">
        <v>4</v>
      </c>
    </row>
    <row r="4" spans="1:18" x14ac:dyDescent="0.2">
      <c r="A4" t="s">
        <v>5</v>
      </c>
      <c r="E4" s="1"/>
      <c r="H4" s="1"/>
    </row>
    <row r="5" spans="1:18" x14ac:dyDescent="0.2">
      <c r="B5" t="s">
        <v>6</v>
      </c>
      <c r="C5" s="7">
        <v>267441</v>
      </c>
      <c r="D5" s="7">
        <v>235487</v>
      </c>
      <c r="E5" s="1">
        <v>240320</v>
      </c>
      <c r="F5" s="1">
        <v>1376577</v>
      </c>
      <c r="G5" s="1">
        <f>G36-G6-G7-G8-G10-G11-G12-G13-G14</f>
        <v>344829</v>
      </c>
      <c r="H5" s="1">
        <f>H36-H6-H7-H8-H10-H11-H12-H13-H14</f>
        <v>1735078.9821675811</v>
      </c>
      <c r="I5" s="1"/>
      <c r="J5" s="1">
        <f>J36-J6-J7-J8-J10-J11-J12-J13-J14</f>
        <v>3647678.0894462112</v>
      </c>
      <c r="K5" s="1"/>
      <c r="L5" s="1">
        <f>L36-L6-L7-L8-L10-L11-L12-L13-L14</f>
        <v>5837664.5392193701</v>
      </c>
      <c r="M5" s="1"/>
      <c r="N5" s="1">
        <f t="shared" ref="N5" si="0">N36-N6-N7-N8-N10-N11-N12-N13-N14</f>
        <v>8184832.306381084</v>
      </c>
      <c r="O5" s="1"/>
      <c r="P5" s="1">
        <f>P36-P6-P7-P8-P10-P11-P12-P13-P14</f>
        <v>10820418.830229444</v>
      </c>
      <c r="Q5" s="1"/>
      <c r="R5" t="s">
        <v>7</v>
      </c>
    </row>
    <row r="6" spans="1:18" x14ac:dyDescent="0.2">
      <c r="B6" t="s">
        <v>8</v>
      </c>
      <c r="C6" s="7">
        <v>3609025</v>
      </c>
      <c r="D6" s="7">
        <v>4097004</v>
      </c>
      <c r="E6" s="1">
        <v>4676848</v>
      </c>
      <c r="F6" s="1">
        <v>5247477</v>
      </c>
      <c r="G6" s="1">
        <v>5614325</v>
      </c>
      <c r="H6" s="1">
        <f>(G6/'Income Statement'!F5)*'Income Statement'!G5</f>
        <v>6175757.5000000009</v>
      </c>
      <c r="I6" s="1">
        <f>G6-H6</f>
        <v>-561432.50000000093</v>
      </c>
      <c r="J6" s="1">
        <f>(H6/'Income Statement'!G5)*'Income Statement'!H5</f>
        <v>6793333.2500000009</v>
      </c>
      <c r="K6" s="1">
        <f>H6-J6</f>
        <v>-617575.75</v>
      </c>
      <c r="L6" s="1">
        <f>(J6/'Income Statement'!H5)*'Income Statement'!I5</f>
        <v>7268866.5775000025</v>
      </c>
      <c r="M6" s="1">
        <f>J6-L6</f>
        <v>-475533.32750000153</v>
      </c>
      <c r="N6" s="1">
        <f>(L6/'Income Statement'!I5)*'Income Statement'!J5</f>
        <v>7777687.2379250033</v>
      </c>
      <c r="O6" s="1">
        <f>L6-N6</f>
        <v>-508820.66042500082</v>
      </c>
      <c r="P6" s="1">
        <f>(N6/'Income Statement'!J5)*'Income Statement'!K5</f>
        <v>8011017.855062753</v>
      </c>
      <c r="Q6" s="1">
        <f>N6-P6</f>
        <v>-233330.61713774968</v>
      </c>
      <c r="R6" t="s">
        <v>9</v>
      </c>
    </row>
    <row r="7" spans="1:18" x14ac:dyDescent="0.2">
      <c r="B7" t="s">
        <v>10</v>
      </c>
      <c r="C7" s="7">
        <v>108265</v>
      </c>
      <c r="D7" s="7">
        <v>57804</v>
      </c>
      <c r="E7" s="1">
        <v>76537</v>
      </c>
      <c r="F7" s="1">
        <v>90760</v>
      </c>
      <c r="G7" s="1">
        <v>97394</v>
      </c>
      <c r="H7" s="1">
        <f>(G7/'Income Statement'!F4)*'Income Statement'!G4</f>
        <v>107133.40000000002</v>
      </c>
      <c r="I7" s="1">
        <f t="shared" ref="I7:I8" si="1">G7-H7</f>
        <v>-9739.4000000000233</v>
      </c>
      <c r="J7" s="1">
        <f>H7/'Income Statement'!G4*'Income Statement'!H4</f>
        <v>117846.74000000002</v>
      </c>
      <c r="K7" s="1">
        <f t="shared" ref="K7:K8" si="2">H7-J7</f>
        <v>-10713.339999999997</v>
      </c>
      <c r="L7" s="1">
        <f>(J7/'Income Statement'!H4)*'Income Statement'!I4</f>
        <v>126096.01180000004</v>
      </c>
      <c r="M7" s="1">
        <f t="shared" ref="M7:M8" si="3">J7-L7</f>
        <v>-8249.2718000000168</v>
      </c>
      <c r="N7" s="1">
        <f>L7/'Income Statement'!I4*'Income Statement'!J4</f>
        <v>134922.73262600007</v>
      </c>
      <c r="O7" s="1">
        <f t="shared" ref="O7:O8" si="4">L7-N7</f>
        <v>-8826.7208260000334</v>
      </c>
      <c r="P7" s="1">
        <f>(N7/'Income Statement'!J4)*'Income Statement'!K4</f>
        <v>138970.41460478009</v>
      </c>
      <c r="Q7" s="1">
        <f t="shared" ref="Q7:Q8" si="5">N7-P7</f>
        <v>-4047.6819787800196</v>
      </c>
      <c r="R7" s="27"/>
    </row>
    <row r="8" spans="1:18" x14ac:dyDescent="0.2">
      <c r="B8" t="s">
        <v>11</v>
      </c>
      <c r="C8" s="10">
        <v>263121</v>
      </c>
      <c r="D8" s="10">
        <v>272725</v>
      </c>
      <c r="E8" s="9">
        <v>184163</v>
      </c>
      <c r="F8" s="9">
        <v>199405</v>
      </c>
      <c r="G8" s="9">
        <v>247295</v>
      </c>
      <c r="H8" s="1">
        <f>G8</f>
        <v>247295</v>
      </c>
      <c r="I8" s="1">
        <f t="shared" si="1"/>
        <v>0</v>
      </c>
      <c r="J8" s="1">
        <f>H8</f>
        <v>247295</v>
      </c>
      <c r="K8" s="1">
        <f t="shared" si="2"/>
        <v>0</v>
      </c>
      <c r="L8" s="1">
        <f>J8</f>
        <v>247295</v>
      </c>
      <c r="M8" s="1">
        <f t="shared" si="3"/>
        <v>0</v>
      </c>
      <c r="N8" s="1">
        <f>L8</f>
        <v>247295</v>
      </c>
      <c r="O8" s="1">
        <f t="shared" si="4"/>
        <v>0</v>
      </c>
      <c r="P8" s="1">
        <f>N8</f>
        <v>247295</v>
      </c>
      <c r="Q8" s="1">
        <f t="shared" si="5"/>
        <v>0</v>
      </c>
      <c r="R8" t="s">
        <v>12</v>
      </c>
    </row>
    <row r="9" spans="1:18" s="27" customFormat="1" x14ac:dyDescent="0.2">
      <c r="B9" s="27" t="s">
        <v>13</v>
      </c>
      <c r="C9" s="62">
        <f t="shared" ref="C9:P9" si="6">SUM(C5:C8)</f>
        <v>4247852</v>
      </c>
      <c r="D9" s="62">
        <f t="shared" si="6"/>
        <v>4663020</v>
      </c>
      <c r="E9" s="63">
        <f t="shared" si="6"/>
        <v>5177868</v>
      </c>
      <c r="F9" s="63">
        <f t="shared" si="6"/>
        <v>6914219</v>
      </c>
      <c r="G9" s="63">
        <f t="shared" si="6"/>
        <v>6303843</v>
      </c>
      <c r="H9" s="64">
        <f t="shared" si="6"/>
        <v>8265264.8821675824</v>
      </c>
      <c r="I9" s="64"/>
      <c r="J9" s="64">
        <f t="shared" si="6"/>
        <v>10806153.079446213</v>
      </c>
      <c r="K9" s="64"/>
      <c r="L9" s="64">
        <f t="shared" si="6"/>
        <v>13479922.128519373</v>
      </c>
      <c r="M9" s="64"/>
      <c r="N9" s="64">
        <f t="shared" si="6"/>
        <v>16344737.276932089</v>
      </c>
      <c r="O9" s="64"/>
      <c r="P9" s="64">
        <f t="shared" si="6"/>
        <v>19217702.099896979</v>
      </c>
      <c r="Q9" s="64"/>
    </row>
    <row r="10" spans="1:18" x14ac:dyDescent="0.2">
      <c r="A10" t="s">
        <v>14</v>
      </c>
      <c r="C10" s="7">
        <v>2701282</v>
      </c>
      <c r="D10" s="7">
        <v>2970806</v>
      </c>
      <c r="E10" s="1">
        <v>3278359</v>
      </c>
      <c r="F10" s="1">
        <v>3899997</v>
      </c>
      <c r="G10" s="1">
        <v>4346127</v>
      </c>
      <c r="H10" s="1">
        <f>G10/'Income Statement'!F4*'Income Statement'!G4</f>
        <v>4780739.7000000011</v>
      </c>
      <c r="I10" s="1">
        <f>G10-H10</f>
        <v>-434612.70000000112</v>
      </c>
      <c r="J10" s="1">
        <f>H10/'Income Statement'!G4*'Income Statement'!H4</f>
        <v>5258813.6700000009</v>
      </c>
      <c r="K10" s="1">
        <f>H10-J10</f>
        <v>-478073.96999999974</v>
      </c>
      <c r="L10" s="1">
        <f>J10/'Income Statement'!H4*'Income Statement'!I4</f>
        <v>5626930.6269000014</v>
      </c>
      <c r="M10" s="1">
        <f>J10-L10</f>
        <v>-368116.95690000057</v>
      </c>
      <c r="N10" s="1">
        <f>L10/'Income Statement'!I4*'Income Statement'!J4</f>
        <v>6020815.7707830025</v>
      </c>
      <c r="O10" s="1">
        <f>L10-N10</f>
        <v>-393885.14388300106</v>
      </c>
      <c r="P10" s="1">
        <f>N10/'Income Statement'!J4*'Income Statement'!K4</f>
        <v>6201440.2439064924</v>
      </c>
      <c r="Q10" s="1">
        <f>N10-P10</f>
        <v>-180624.47312348988</v>
      </c>
      <c r="R10" t="s">
        <v>15</v>
      </c>
    </row>
    <row r="11" spans="1:18" x14ac:dyDescent="0.2">
      <c r="A11" t="s">
        <v>16</v>
      </c>
      <c r="C11" s="7"/>
      <c r="D11" s="7"/>
      <c r="E11" s="1">
        <v>8796183</v>
      </c>
      <c r="F11" s="1">
        <v>9473330</v>
      </c>
      <c r="G11" s="1">
        <v>10092930</v>
      </c>
      <c r="H11" s="1">
        <f>G11*1.04</f>
        <v>10496647.200000001</v>
      </c>
      <c r="I11" s="1">
        <f t="shared" ref="I11:I14" si="7">G11-H11</f>
        <v>-403717.20000000112</v>
      </c>
      <c r="J11" s="1">
        <f>H11*1.04</f>
        <v>10916513.088000001</v>
      </c>
      <c r="K11" s="1">
        <f t="shared" ref="K11:K14" si="8">H11-J11</f>
        <v>-419865.88800000027</v>
      </c>
      <c r="L11" s="1">
        <f>J11*1.04</f>
        <v>11353173.611520002</v>
      </c>
      <c r="M11" s="1">
        <f t="shared" ref="M11:M14" si="9">J11-L11</f>
        <v>-436660.52352000028</v>
      </c>
      <c r="N11" s="1">
        <f>L11*1.04</f>
        <v>11807300.555980802</v>
      </c>
      <c r="O11" s="1">
        <f t="shared" ref="O11:O14" si="10">L11-N11</f>
        <v>-454126.94446079992</v>
      </c>
      <c r="P11" s="1">
        <f>N11*1.04</f>
        <v>12279592.578220034</v>
      </c>
      <c r="Q11" s="1">
        <f t="shared" ref="Q11:Q14" si="11">N11-P11</f>
        <v>-472292.02223923244</v>
      </c>
      <c r="R11" t="s">
        <v>132</v>
      </c>
    </row>
    <row r="12" spans="1:18" x14ac:dyDescent="0.2">
      <c r="A12" t="s">
        <v>18</v>
      </c>
      <c r="C12" s="7">
        <v>4338589</v>
      </c>
      <c r="D12" s="7">
        <v>4338589</v>
      </c>
      <c r="E12" s="1">
        <v>4338589</v>
      </c>
      <c r="F12" s="1">
        <v>4338589</v>
      </c>
      <c r="G12" s="1">
        <v>4338589</v>
      </c>
      <c r="H12" s="1">
        <f>G12</f>
        <v>4338589</v>
      </c>
      <c r="I12" s="1">
        <f t="shared" si="7"/>
        <v>0</v>
      </c>
      <c r="J12" s="1">
        <f>H12</f>
        <v>4338589</v>
      </c>
      <c r="K12" s="1">
        <f t="shared" si="8"/>
        <v>0</v>
      </c>
      <c r="L12" s="1">
        <f>J12</f>
        <v>4338589</v>
      </c>
      <c r="M12" s="1">
        <f t="shared" si="9"/>
        <v>0</v>
      </c>
      <c r="N12" s="1">
        <f>L12</f>
        <v>4338589</v>
      </c>
      <c r="O12" s="1">
        <f t="shared" si="10"/>
        <v>0</v>
      </c>
      <c r="P12" s="1">
        <f>N12</f>
        <v>4338589</v>
      </c>
      <c r="Q12" s="1">
        <f t="shared" si="11"/>
        <v>0</v>
      </c>
      <c r="R12" t="s">
        <v>19</v>
      </c>
    </row>
    <row r="13" spans="1:18" x14ac:dyDescent="0.2">
      <c r="A13" t="s">
        <v>20</v>
      </c>
      <c r="C13" s="7">
        <v>1200428</v>
      </c>
      <c r="D13" s="7">
        <v>1200217</v>
      </c>
      <c r="E13" s="1">
        <v>1200006</v>
      </c>
      <c r="F13" s="1">
        <v>1199870</v>
      </c>
      <c r="G13" s="1">
        <v>1199750</v>
      </c>
      <c r="H13" s="1">
        <f t="shared" ref="H13:H14" si="12">G13</f>
        <v>1199750</v>
      </c>
      <c r="I13" s="1">
        <f t="shared" si="7"/>
        <v>0</v>
      </c>
      <c r="J13" s="1">
        <f>H13</f>
        <v>1199750</v>
      </c>
      <c r="K13" s="1">
        <f t="shared" si="8"/>
        <v>0</v>
      </c>
      <c r="L13" s="1">
        <f>J13</f>
        <v>1199750</v>
      </c>
      <c r="M13" s="1">
        <f t="shared" si="9"/>
        <v>0</v>
      </c>
      <c r="N13" s="1">
        <f>L13</f>
        <v>1199750</v>
      </c>
      <c r="O13" s="1">
        <f t="shared" si="10"/>
        <v>0</v>
      </c>
      <c r="P13" s="1">
        <f>N13</f>
        <v>1199750</v>
      </c>
      <c r="Q13" s="1">
        <f t="shared" si="11"/>
        <v>0</v>
      </c>
      <c r="R13" t="s">
        <v>17</v>
      </c>
    </row>
    <row r="14" spans="1:18" x14ac:dyDescent="0.2">
      <c r="A14" t="s">
        <v>21</v>
      </c>
      <c r="C14" s="7">
        <v>28760</v>
      </c>
      <c r="D14" s="7">
        <v>31406</v>
      </c>
      <c r="E14" s="1">
        <v>34079</v>
      </c>
      <c r="F14" s="1">
        <v>36619</v>
      </c>
      <c r="G14" s="1">
        <v>46132</v>
      </c>
      <c r="H14" s="1">
        <f t="shared" si="12"/>
        <v>46132</v>
      </c>
      <c r="I14" s="1">
        <f t="shared" si="7"/>
        <v>0</v>
      </c>
      <c r="J14" s="1">
        <f>H14</f>
        <v>46132</v>
      </c>
      <c r="K14" s="1">
        <f t="shared" si="8"/>
        <v>0</v>
      </c>
      <c r="L14" s="1">
        <f>J14</f>
        <v>46132</v>
      </c>
      <c r="M14" s="1">
        <f t="shared" si="9"/>
        <v>0</v>
      </c>
      <c r="N14" s="1">
        <f>L14</f>
        <v>46132</v>
      </c>
      <c r="O14" s="1">
        <f t="shared" si="10"/>
        <v>0</v>
      </c>
      <c r="P14" s="1">
        <f>N14</f>
        <v>46132</v>
      </c>
      <c r="Q14" s="1">
        <f t="shared" si="11"/>
        <v>0</v>
      </c>
      <c r="R14" t="s">
        <v>17</v>
      </c>
    </row>
    <row r="15" spans="1:18" x14ac:dyDescent="0.2">
      <c r="A15" t="s">
        <v>22</v>
      </c>
      <c r="C15" s="14">
        <f t="shared" ref="C15:E15" si="13">SUM(C9:C14)</f>
        <v>12516911</v>
      </c>
      <c r="D15" s="14">
        <f t="shared" si="13"/>
        <v>13204038</v>
      </c>
      <c r="E15" s="14">
        <f t="shared" si="13"/>
        <v>22825084</v>
      </c>
      <c r="F15" s="14">
        <f>SUM(F9:F14)</f>
        <v>25862624</v>
      </c>
      <c r="G15" s="14">
        <f>SUM(G9:G14)</f>
        <v>26327371</v>
      </c>
      <c r="H15" s="4">
        <f>SUM(H9:H14)</f>
        <v>29127122.782167584</v>
      </c>
      <c r="I15" s="4"/>
      <c r="J15" s="4">
        <f>SUM(J9:J14)</f>
        <v>32565950.837446213</v>
      </c>
      <c r="K15" s="4"/>
      <c r="L15" s="4">
        <f t="shared" ref="L15:P15" si="14">SUM(L9:L14)</f>
        <v>36044497.366939373</v>
      </c>
      <c r="M15" s="4"/>
      <c r="N15" s="4">
        <f t="shared" si="14"/>
        <v>39757324.603695892</v>
      </c>
      <c r="O15" s="4"/>
      <c r="P15" s="4">
        <f t="shared" si="14"/>
        <v>43283205.922023505</v>
      </c>
      <c r="Q15" s="4"/>
    </row>
    <row r="16" spans="1:18" x14ac:dyDescent="0.2">
      <c r="E16" s="1"/>
    </row>
    <row r="17" spans="1:18" x14ac:dyDescent="0.2">
      <c r="A17" s="5" t="s">
        <v>23</v>
      </c>
      <c r="C17" s="77"/>
      <c r="D17" s="77"/>
      <c r="E17" s="78"/>
      <c r="F17" s="78"/>
      <c r="G17" s="78"/>
      <c r="H17" s="77"/>
      <c r="I17" s="77"/>
      <c r="J17" s="77"/>
    </row>
    <row r="18" spans="1:18" x14ac:dyDescent="0.2">
      <c r="A18" t="s">
        <v>24</v>
      </c>
      <c r="C18" s="77"/>
      <c r="D18" s="77"/>
      <c r="E18" s="78"/>
      <c r="F18" s="78"/>
      <c r="G18" s="78"/>
      <c r="H18" s="77"/>
      <c r="I18" s="77"/>
      <c r="J18" s="77"/>
    </row>
    <row r="19" spans="1:18" x14ac:dyDescent="0.2">
      <c r="B19" t="s">
        <v>25</v>
      </c>
      <c r="C19" s="78">
        <v>401345</v>
      </c>
      <c r="D19" s="78">
        <v>1950</v>
      </c>
      <c r="E19" s="78">
        <v>964805</v>
      </c>
      <c r="F19" s="78">
        <v>1074079</v>
      </c>
      <c r="G19" s="78">
        <v>1183559</v>
      </c>
      <c r="H19" s="78">
        <f>G19*1.04</f>
        <v>1230901.3600000001</v>
      </c>
      <c r="I19" s="78">
        <f>G19-H19</f>
        <v>-47342.360000000102</v>
      </c>
      <c r="J19" s="78">
        <f>H19*1.04</f>
        <v>1280137.4144000001</v>
      </c>
      <c r="K19" s="1">
        <f>H19-J19</f>
        <v>-49236.054400000023</v>
      </c>
      <c r="L19" s="1">
        <f>J19*1.04</f>
        <v>1331342.9109760001</v>
      </c>
      <c r="M19" s="1">
        <f>L19-J19</f>
        <v>51205.496576000005</v>
      </c>
      <c r="N19" s="1">
        <f>L19*1.04</f>
        <v>1384596.6274150403</v>
      </c>
      <c r="O19" s="1">
        <f>N19-L19</f>
        <v>53253.716439040145</v>
      </c>
      <c r="P19" s="1">
        <f>N19*1.04</f>
        <v>1439980.4925116419</v>
      </c>
      <c r="Q19" s="1">
        <f>P19-N19</f>
        <v>55383.865096601658</v>
      </c>
      <c r="R19" t="s">
        <v>132</v>
      </c>
    </row>
    <row r="20" spans="1:18" x14ac:dyDescent="0.2">
      <c r="B20" t="s">
        <v>27</v>
      </c>
      <c r="C20" s="78">
        <v>2009771</v>
      </c>
      <c r="D20" s="78">
        <v>2385469</v>
      </c>
      <c r="E20" s="78">
        <v>2860682</v>
      </c>
      <c r="F20" s="78">
        <v>3614089</v>
      </c>
      <c r="G20" s="78">
        <v>3738604</v>
      </c>
      <c r="H20" s="78">
        <f>(G20/'Income Statement'!F4)*'Income Statement'!G4</f>
        <v>4112464.4000000008</v>
      </c>
      <c r="I20" s="78">
        <f>H20-G20</f>
        <v>373860.40000000084</v>
      </c>
      <c r="J20" s="78">
        <f>(H20/'Income Statement'!G4)*'Income Statement'!H4</f>
        <v>4523710.8400000008</v>
      </c>
      <c r="K20" s="1">
        <f>J20-H20</f>
        <v>411246.43999999994</v>
      </c>
      <c r="L20" s="1">
        <f>(J20/'Income Statement'!H4)*'Income Statement'!I4</f>
        <v>4840370.5988000017</v>
      </c>
      <c r="M20" s="1">
        <f>L20-J20</f>
        <v>316659.75880000088</v>
      </c>
      <c r="N20" s="1">
        <f>(L20/'Income Statement'!I4)*'Income Statement'!J4</f>
        <v>5179196.5407160018</v>
      </c>
      <c r="O20" s="1">
        <f>N20-L20</f>
        <v>338825.9419160001</v>
      </c>
      <c r="P20" s="1">
        <f>(N20/'Income Statement'!J4)*'Income Statement'!K4</f>
        <v>5334572.4369374812</v>
      </c>
      <c r="Q20" s="1">
        <f>P20-N20</f>
        <v>155375.8962214794</v>
      </c>
      <c r="R20" t="s">
        <v>28</v>
      </c>
    </row>
    <row r="21" spans="1:18" x14ac:dyDescent="0.2">
      <c r="B21" t="s">
        <v>29</v>
      </c>
      <c r="C21" s="78">
        <v>549658</v>
      </c>
      <c r="D21" s="78">
        <v>618405</v>
      </c>
      <c r="E21" s="78">
        <v>709156</v>
      </c>
      <c r="F21" s="78">
        <v>1006552</v>
      </c>
      <c r="G21" s="78">
        <v>1049139</v>
      </c>
      <c r="H21" s="78">
        <f>G21/'Income Statement'!F4*'Income Statement'!G4</f>
        <v>1154052.9000000001</v>
      </c>
      <c r="I21" s="78">
        <f>H21-G21</f>
        <v>104913.90000000014</v>
      </c>
      <c r="J21" s="78">
        <f>H21/'Income Statement'!G4*'Income Statement'!H4</f>
        <v>1269458.1900000002</v>
      </c>
      <c r="K21" s="1">
        <f t="shared" ref="K21:K22" si="15">J21-H21</f>
        <v>115405.29000000004</v>
      </c>
      <c r="L21" s="1">
        <f>J21/'Income Statement'!H4*'Income Statement'!I4</f>
        <v>1358320.2633000005</v>
      </c>
      <c r="M21" s="1">
        <f>L21-J21</f>
        <v>88862.07330000028</v>
      </c>
      <c r="N21" s="1">
        <f>L21/'Income Statement'!I4*'Income Statement'!J4</f>
        <v>1453402.6817310008</v>
      </c>
      <c r="O21" s="1">
        <f>N21-L21</f>
        <v>95082.418431000318</v>
      </c>
      <c r="P21" s="1">
        <f>N21/'Income Statement'!J4*'Income Statement'!K4</f>
        <v>1497004.7621829307</v>
      </c>
      <c r="Q21" s="1">
        <f>P21-N21</f>
        <v>43602.080451929942</v>
      </c>
      <c r="R21" t="s">
        <v>30</v>
      </c>
    </row>
    <row r="22" spans="1:18" x14ac:dyDescent="0.2">
      <c r="B22" t="s">
        <v>31</v>
      </c>
      <c r="C22" s="79">
        <v>4104</v>
      </c>
      <c r="D22" s="79">
        <v>10033</v>
      </c>
      <c r="E22" s="79">
        <v>8362</v>
      </c>
      <c r="F22" s="79">
        <v>16063</v>
      </c>
      <c r="G22" s="79">
        <v>8055</v>
      </c>
      <c r="H22" s="78">
        <f>G22/'Income Statement'!F4*'Income Statement'!G4</f>
        <v>8860.5000000000018</v>
      </c>
      <c r="I22" s="78">
        <f>H22-G22</f>
        <v>805.50000000000182</v>
      </c>
      <c r="J22" s="78">
        <f>H22/'Income Statement'!G4*'Income Statement'!H4</f>
        <v>9746.5500000000029</v>
      </c>
      <c r="K22" s="1">
        <f t="shared" si="15"/>
        <v>886.05000000000109</v>
      </c>
      <c r="L22" s="1">
        <f>J22/'Income Statement'!H4*'Income Statement'!I4</f>
        <v>10428.808500000005</v>
      </c>
      <c r="M22" s="1">
        <f>L22-J22</f>
        <v>682.25850000000173</v>
      </c>
      <c r="N22" s="1">
        <f>L22/'Income Statement'!I4*'Income Statement'!J4</f>
        <v>11158.825095000007</v>
      </c>
      <c r="O22" s="1">
        <f>N22-L22</f>
        <v>730.01659500000278</v>
      </c>
      <c r="P22" s="1">
        <f>N22/'Income Statement'!J4*'Income Statement'!K4</f>
        <v>11493.589847850009</v>
      </c>
      <c r="Q22" s="1">
        <f>P22-N22</f>
        <v>334.76475285000197</v>
      </c>
      <c r="R22" t="s">
        <v>32</v>
      </c>
    </row>
    <row r="23" spans="1:18" s="27" customFormat="1" x14ac:dyDescent="0.2">
      <c r="B23" s="27" t="s">
        <v>33</v>
      </c>
      <c r="C23" s="80">
        <f t="shared" ref="C23:P23" si="16">SUM(C19:C22)</f>
        <v>2964878</v>
      </c>
      <c r="D23" s="80">
        <f t="shared" si="16"/>
        <v>3015857</v>
      </c>
      <c r="E23" s="80">
        <f t="shared" si="16"/>
        <v>4543005</v>
      </c>
      <c r="F23" s="80">
        <f t="shared" si="16"/>
        <v>5710783</v>
      </c>
      <c r="G23" s="80">
        <f t="shared" si="16"/>
        <v>5979357</v>
      </c>
      <c r="H23" s="81">
        <f t="shared" si="16"/>
        <v>6506279.1600000011</v>
      </c>
      <c r="I23" s="81"/>
      <c r="J23" s="81">
        <f t="shared" si="16"/>
        <v>7083052.9944000011</v>
      </c>
      <c r="K23" s="64"/>
      <c r="L23" s="64">
        <f t="shared" si="16"/>
        <v>7540462.5815760028</v>
      </c>
      <c r="M23" s="64"/>
      <c r="N23" s="64">
        <f t="shared" si="16"/>
        <v>8028354.6749570426</v>
      </c>
      <c r="O23" s="64"/>
      <c r="P23" s="64">
        <f t="shared" si="16"/>
        <v>8283051.2814799035</v>
      </c>
      <c r="Q23" s="64"/>
    </row>
    <row r="24" spans="1:18" x14ac:dyDescent="0.2">
      <c r="A24" t="s">
        <v>34</v>
      </c>
      <c r="C24" s="78">
        <v>2604613</v>
      </c>
      <c r="D24" s="78">
        <v>2862740</v>
      </c>
      <c r="E24" s="78">
        <v>2911993</v>
      </c>
      <c r="F24" s="78">
        <v>4130975</v>
      </c>
      <c r="G24" s="78">
        <v>4172068</v>
      </c>
      <c r="H24" s="78">
        <f t="shared" ref="H24:H27" si="17">G24</f>
        <v>4172068</v>
      </c>
      <c r="I24" s="78">
        <f>H24-G24</f>
        <v>0</v>
      </c>
      <c r="J24" s="78">
        <f>H24</f>
        <v>4172068</v>
      </c>
      <c r="K24" s="1">
        <f t="shared" ref="K24:K27" si="18">J24-H24</f>
        <v>0</v>
      </c>
      <c r="L24" s="1">
        <f>J24</f>
        <v>4172068</v>
      </c>
      <c r="M24" s="1">
        <f>L24-J24</f>
        <v>0</v>
      </c>
      <c r="N24" s="1">
        <f>L24</f>
        <v>4172068</v>
      </c>
      <c r="O24" s="1">
        <f>N24-L24</f>
        <v>0</v>
      </c>
      <c r="P24" s="1">
        <f>N24</f>
        <v>4172068</v>
      </c>
      <c r="Q24" s="1">
        <f>P24-N24</f>
        <v>0</v>
      </c>
      <c r="R24" t="s">
        <v>35</v>
      </c>
    </row>
    <row r="25" spans="1:18" x14ac:dyDescent="0.2">
      <c r="A25" t="s">
        <v>36</v>
      </c>
      <c r="C25" s="78"/>
      <c r="D25" s="78"/>
      <c r="E25" s="78">
        <v>7819683</v>
      </c>
      <c r="F25" s="78">
        <v>8385388</v>
      </c>
      <c r="G25" s="78">
        <v>8890709</v>
      </c>
      <c r="H25" s="78">
        <v>8890709</v>
      </c>
      <c r="I25" s="78">
        <f>H25-G25</f>
        <v>0</v>
      </c>
      <c r="J25" s="78">
        <f>H25*1.04</f>
        <v>9246337.3599999994</v>
      </c>
      <c r="K25" s="1">
        <f t="shared" si="18"/>
        <v>355628.3599999994</v>
      </c>
      <c r="L25" s="1">
        <f>J25*1.04</f>
        <v>9616190.8543999996</v>
      </c>
      <c r="M25" s="1">
        <f>L25-J25</f>
        <v>369853.4944000002</v>
      </c>
      <c r="N25" s="1">
        <f>L25*1.04</f>
        <v>10000838.488576001</v>
      </c>
      <c r="O25" s="1">
        <f>N25-L25</f>
        <v>384647.63417600095</v>
      </c>
      <c r="P25" s="1">
        <f>N25*1.04</f>
        <v>10400872.028119041</v>
      </c>
      <c r="Q25" s="1">
        <f>P25-N25</f>
        <v>400033.5395430401</v>
      </c>
      <c r="R25" t="s">
        <v>132</v>
      </c>
    </row>
    <row r="26" spans="1:18" x14ac:dyDescent="0.2">
      <c r="A26" t="s">
        <v>37</v>
      </c>
      <c r="C26" s="78">
        <v>515702</v>
      </c>
      <c r="D26" s="78">
        <v>609687</v>
      </c>
      <c r="E26" s="78">
        <v>675227</v>
      </c>
      <c r="F26" s="78">
        <v>710549</v>
      </c>
      <c r="G26" s="78">
        <v>825254</v>
      </c>
      <c r="H26" s="78">
        <f>G26/'Income Statement'!F4*'Income Statement'!G4</f>
        <v>907779.40000000014</v>
      </c>
      <c r="I26" s="78">
        <f>H26-G26</f>
        <v>82525.40000000014</v>
      </c>
      <c r="J26" s="78">
        <f>H26/'Income Statement'!G4*'Income Statement'!H4</f>
        <v>998557.3400000002</v>
      </c>
      <c r="K26" s="1">
        <f>J26-H26</f>
        <v>90777.940000000061</v>
      </c>
      <c r="L26" s="1">
        <f>J26/'Income Statement'!H4*'Income Statement'!I4</f>
        <v>1068456.3538000004</v>
      </c>
      <c r="M26" s="1">
        <f>L26-J26</f>
        <v>69899.01380000019</v>
      </c>
      <c r="N26" s="1">
        <f>L26/'Income Statement'!I4*'Income Statement'!J4</f>
        <v>1143248.2985660005</v>
      </c>
      <c r="O26" s="1">
        <f>N26-L26</f>
        <v>74791.944766000146</v>
      </c>
      <c r="P26" s="1">
        <f>N26/'Income Statement'!J4*'Income Statement'!K4</f>
        <v>1177545.7475229804</v>
      </c>
      <c r="Q26" s="1">
        <f>P26-N26</f>
        <v>34297.448956979904</v>
      </c>
      <c r="R26" t="s">
        <v>38</v>
      </c>
    </row>
    <row r="27" spans="1:18" x14ac:dyDescent="0.2">
      <c r="A27" t="s">
        <v>39</v>
      </c>
      <c r="C27" s="78">
        <v>305944</v>
      </c>
      <c r="D27" s="78">
        <v>298361</v>
      </c>
      <c r="E27" s="78">
        <v>172676</v>
      </c>
      <c r="F27" s="78">
        <v>263691</v>
      </c>
      <c r="G27" s="78">
        <v>197997</v>
      </c>
      <c r="H27" s="78">
        <f t="shared" si="17"/>
        <v>197997</v>
      </c>
      <c r="I27" s="78">
        <f>H27-G27</f>
        <v>0</v>
      </c>
      <c r="J27" s="78">
        <f>H27</f>
        <v>197997</v>
      </c>
      <c r="K27" s="1">
        <f t="shared" si="18"/>
        <v>0</v>
      </c>
      <c r="L27" s="1">
        <f>J27</f>
        <v>197997</v>
      </c>
      <c r="M27" s="1">
        <f>L27-J27</f>
        <v>0</v>
      </c>
      <c r="N27" s="1">
        <f>L27</f>
        <v>197997</v>
      </c>
      <c r="O27" s="1">
        <f>N27-L27</f>
        <v>0</v>
      </c>
      <c r="P27" s="1">
        <f>N27</f>
        <v>197997</v>
      </c>
      <c r="Q27" s="1">
        <f>P27-N27</f>
        <v>0</v>
      </c>
      <c r="R27" t="s">
        <v>35</v>
      </c>
    </row>
    <row r="28" spans="1:18" x14ac:dyDescent="0.2">
      <c r="A28" t="s">
        <v>40</v>
      </c>
      <c r="C28" s="77"/>
      <c r="D28" s="77"/>
      <c r="E28" s="78"/>
      <c r="F28" s="78"/>
      <c r="G28" s="78"/>
      <c r="H28" s="77"/>
      <c r="I28" s="77"/>
      <c r="J28" s="77"/>
    </row>
    <row r="29" spans="1:18" s="27" customFormat="1" x14ac:dyDescent="0.2">
      <c r="A29" s="27" t="s">
        <v>41</v>
      </c>
      <c r="C29" s="82"/>
      <c r="D29" s="82"/>
      <c r="E29" s="82"/>
      <c r="F29" s="82"/>
      <c r="G29" s="82"/>
      <c r="H29" s="77"/>
      <c r="I29" s="77"/>
      <c r="J29" s="77"/>
    </row>
    <row r="30" spans="1:18" x14ac:dyDescent="0.2">
      <c r="B30" t="s">
        <v>42</v>
      </c>
      <c r="C30" s="78" t="s">
        <v>43</v>
      </c>
      <c r="D30" s="78" t="s">
        <v>43</v>
      </c>
      <c r="E30" s="78" t="s">
        <v>43</v>
      </c>
      <c r="F30" s="78" t="s">
        <v>43</v>
      </c>
      <c r="G30" s="78" t="s">
        <v>43</v>
      </c>
      <c r="H30" s="78" t="s">
        <v>43</v>
      </c>
      <c r="I30" s="78"/>
      <c r="J30" s="78" t="s">
        <v>43</v>
      </c>
      <c r="K30" s="1"/>
      <c r="L30" s="1" t="s">
        <v>43</v>
      </c>
      <c r="M30" s="1"/>
      <c r="N30" s="1" t="s">
        <v>43</v>
      </c>
      <c r="O30" s="1"/>
      <c r="P30" s="1" t="s">
        <v>43</v>
      </c>
      <c r="Q30" s="1"/>
    </row>
    <row r="31" spans="1:18" x14ac:dyDescent="0.2">
      <c r="B31" t="s">
        <v>44</v>
      </c>
      <c r="C31" s="78">
        <v>235141</v>
      </c>
      <c r="D31" s="78">
        <v>227072</v>
      </c>
      <c r="E31" s="78">
        <v>220444</v>
      </c>
      <c r="F31" s="78">
        <v>210687</v>
      </c>
      <c r="G31" s="78">
        <v>201265</v>
      </c>
      <c r="H31" s="78">
        <f>G31/'Income Statement'!F7*'Income Statement'!G7</f>
        <v>221391.50000000003</v>
      </c>
      <c r="I31" s="78">
        <f>H31-G31</f>
        <v>20126.500000000029</v>
      </c>
      <c r="J31" s="78">
        <f>H31/'Income Statement'!G7*'Income Statement'!H7</f>
        <v>243530.65000000002</v>
      </c>
      <c r="K31" s="1">
        <f>J31-H31</f>
        <v>22139.149999999994</v>
      </c>
      <c r="L31" s="1">
        <f>J31/'Income Statement'!H7*'Income Statement'!I7</f>
        <v>260577.79550000007</v>
      </c>
      <c r="M31" s="1">
        <f>L31-J31</f>
        <v>17047.145500000042</v>
      </c>
      <c r="N31" s="1">
        <f>L31/'Income Statement'!I7*'Income Statement'!J7</f>
        <v>278818.24118500011</v>
      </c>
      <c r="O31" s="1">
        <f>N31-L31</f>
        <v>18240.445685000042</v>
      </c>
      <c r="P31" s="1">
        <f>N31/'Income Statement'!J7*'Income Statement'!K7</f>
        <v>287182.78842055012</v>
      </c>
      <c r="Q31" s="1">
        <f>P31-N31</f>
        <v>8364.5472355500096</v>
      </c>
      <c r="R31" s="27"/>
    </row>
    <row r="32" spans="1:18" x14ac:dyDescent="0.2">
      <c r="B32" t="s">
        <v>45</v>
      </c>
      <c r="C32" s="78">
        <v>3196462</v>
      </c>
      <c r="D32" s="78">
        <v>3252421</v>
      </c>
      <c r="E32" s="78">
        <v>3322531</v>
      </c>
      <c r="F32" s="78">
        <v>3446612</v>
      </c>
      <c r="G32" s="78">
        <v>3587914</v>
      </c>
      <c r="H32" s="78">
        <v>3587914</v>
      </c>
      <c r="I32" s="78">
        <f>H32-G32</f>
        <v>0</v>
      </c>
      <c r="J32" s="78">
        <v>3587914</v>
      </c>
      <c r="K32" s="1">
        <f t="shared" ref="K32:K34" si="19">J32-H32</f>
        <v>0</v>
      </c>
      <c r="L32" s="1">
        <v>3587914</v>
      </c>
      <c r="M32" s="1">
        <f>L32-J32</f>
        <v>0</v>
      </c>
      <c r="N32" s="1">
        <v>3587914</v>
      </c>
      <c r="O32" s="1">
        <f>N32-L32</f>
        <v>0</v>
      </c>
      <c r="P32" s="1">
        <v>3587914</v>
      </c>
      <c r="Q32" s="1">
        <f>P32-N32</f>
        <v>0</v>
      </c>
      <c r="R32" s="27"/>
    </row>
    <row r="33" spans="1:18" x14ac:dyDescent="0.2">
      <c r="B33" t="s">
        <v>46</v>
      </c>
      <c r="C33" s="78">
        <v>2698352</v>
      </c>
      <c r="D33" s="78">
        <v>2941107</v>
      </c>
      <c r="E33" s="78">
        <v>3162660</v>
      </c>
      <c r="F33" s="78">
        <v>3006102</v>
      </c>
      <c r="G33" s="78">
        <v>2473999</v>
      </c>
      <c r="H33" s="78">
        <f>G33+'Income Statement'!G13-('Income Statement'!G13*'Income Statement'!$M$6)</f>
        <v>4644176.7221675823</v>
      </c>
      <c r="I33" s="78">
        <f>H33-G33</f>
        <v>2170177.7221675823</v>
      </c>
      <c r="J33" s="78">
        <f>H33+'Income Statement'!H13-'Income Statement'!H13*'Income Statement'!$M$6</f>
        <v>7037685.4930462101</v>
      </c>
      <c r="K33" s="1">
        <f t="shared" si="19"/>
        <v>2393508.7708786279</v>
      </c>
      <c r="L33" s="1">
        <f>J33+'Income Statement'!I13-'Income Statement'!I13*'Income Statement'!$M$6</f>
        <v>9602022.7816633731</v>
      </c>
      <c r="M33" s="1">
        <f>L33-J33</f>
        <v>2564337.288617163</v>
      </c>
      <c r="N33" s="1">
        <f>L33+'Income Statement'!J13-'Income Statement'!J13*'Income Statement'!$M$6</f>
        <v>12349277.900411846</v>
      </c>
      <c r="O33" s="1">
        <f>N33-L33</f>
        <v>2747255.118748473</v>
      </c>
      <c r="P33" s="1">
        <f>N33+'Income Statement'!K13-'Income Statement'!K13*'Income Statement'!$M$6</f>
        <v>15177767.076481029</v>
      </c>
      <c r="Q33" s="1">
        <f>P33-N33</f>
        <v>2828489.1760691833</v>
      </c>
      <c r="R33" s="27" t="s">
        <v>47</v>
      </c>
    </row>
    <row r="34" spans="1:18" x14ac:dyDescent="0.2">
      <c r="B34" t="s">
        <v>48</v>
      </c>
      <c r="C34" s="79">
        <v>-4181</v>
      </c>
      <c r="D34" s="79">
        <v>-3207</v>
      </c>
      <c r="E34" s="79">
        <v>-3135</v>
      </c>
      <c r="F34" s="79">
        <v>-2163</v>
      </c>
      <c r="G34" s="79">
        <v>-1192</v>
      </c>
      <c r="H34" s="78">
        <f>G34</f>
        <v>-1192</v>
      </c>
      <c r="I34" s="78">
        <f>H34-G34</f>
        <v>0</v>
      </c>
      <c r="J34" s="78">
        <f>H34</f>
        <v>-1192</v>
      </c>
      <c r="K34" s="1">
        <f t="shared" si="19"/>
        <v>0</v>
      </c>
      <c r="L34" s="1">
        <f>J34</f>
        <v>-1192</v>
      </c>
      <c r="M34" s="1">
        <f>L34-J34</f>
        <v>0</v>
      </c>
      <c r="N34" s="1">
        <f t="shared" ref="N34" si="20">L34</f>
        <v>-1192</v>
      </c>
      <c r="O34" s="1">
        <f>N34-L34</f>
        <v>0</v>
      </c>
      <c r="P34" s="1">
        <f>N34</f>
        <v>-1192</v>
      </c>
      <c r="Q34" s="1">
        <f>P34-N34</f>
        <v>0</v>
      </c>
      <c r="R34" t="s">
        <v>49</v>
      </c>
    </row>
    <row r="35" spans="1:18" x14ac:dyDescent="0.2">
      <c r="B35" t="s">
        <v>50</v>
      </c>
      <c r="C35" s="80">
        <f t="shared" ref="C35:P35" si="21">SUM(C31:C34)</f>
        <v>6125774</v>
      </c>
      <c r="D35" s="80">
        <f t="shared" si="21"/>
        <v>6417393</v>
      </c>
      <c r="E35" s="80">
        <f t="shared" si="21"/>
        <v>6702500</v>
      </c>
      <c r="F35" s="80">
        <f t="shared" si="21"/>
        <v>6661238</v>
      </c>
      <c r="G35" s="80">
        <f t="shared" si="21"/>
        <v>6261986</v>
      </c>
      <c r="H35" s="81">
        <f t="shared" si="21"/>
        <v>8452290.2221675813</v>
      </c>
      <c r="I35" s="81"/>
      <c r="J35" s="81">
        <f t="shared" si="21"/>
        <v>10867938.14304621</v>
      </c>
      <c r="K35" s="24"/>
      <c r="L35" s="24">
        <f t="shared" si="21"/>
        <v>13449322.577163372</v>
      </c>
      <c r="M35" s="24"/>
      <c r="N35" s="24">
        <f t="shared" si="21"/>
        <v>16214818.141596846</v>
      </c>
      <c r="O35" s="24"/>
      <c r="P35" s="24">
        <f t="shared" si="21"/>
        <v>19051671.86490158</v>
      </c>
      <c r="Q35" s="24"/>
    </row>
    <row r="36" spans="1:18" x14ac:dyDescent="0.2">
      <c r="A36" t="s">
        <v>51</v>
      </c>
      <c r="C36" s="83">
        <f t="shared" ref="C36:H36" si="22">SUM(C23:C27)+(C35)</f>
        <v>12516911</v>
      </c>
      <c r="D36" s="83">
        <f t="shared" si="22"/>
        <v>13204038</v>
      </c>
      <c r="E36" s="83">
        <f t="shared" si="22"/>
        <v>22825084</v>
      </c>
      <c r="F36" s="83">
        <f t="shared" si="22"/>
        <v>25862624</v>
      </c>
      <c r="G36" s="83">
        <f t="shared" si="22"/>
        <v>26327371</v>
      </c>
      <c r="H36" s="83">
        <f t="shared" si="22"/>
        <v>29127122.78216758</v>
      </c>
      <c r="I36" s="83"/>
      <c r="J36" s="83">
        <f>SUM(J23:J27)+J35</f>
        <v>32565950.837446213</v>
      </c>
      <c r="K36" s="4"/>
      <c r="L36" s="4">
        <f t="shared" ref="L36" si="23">SUM(L23:L27)+(L35)</f>
        <v>36044497.366939373</v>
      </c>
      <c r="M36" s="4"/>
      <c r="N36" s="4">
        <f>SUM(N23:N27)+N35</f>
        <v>39757324.603695892</v>
      </c>
      <c r="O36" s="4"/>
      <c r="P36" s="4">
        <f t="shared" ref="P36" si="24">SUM(P23:P27)+(P35)</f>
        <v>43283205.922023505</v>
      </c>
      <c r="Q36" s="4"/>
    </row>
    <row r="37" spans="1:18" x14ac:dyDescent="0.2">
      <c r="C37" s="77"/>
      <c r="D37" s="77"/>
      <c r="E37" s="78"/>
      <c r="F37" s="78"/>
      <c r="G37" s="78"/>
      <c r="H37" s="77"/>
      <c r="I37" s="78">
        <f>SUM(I6:I8)+SUM(I10:I14)+SUM(I19:I22)+SUM(I24:I27)+SUM(I30:I34)</f>
        <v>1295565.2621675802</v>
      </c>
      <c r="J37" s="77"/>
      <c r="K37" s="1">
        <f>SUM(K6:K8)+SUM(K10:K14)+SUM(K19:K22)+SUM(K24:K27)+SUM(K30:K34)</f>
        <v>1814126.9984786273</v>
      </c>
      <c r="M37" s="1">
        <f>SUM(M6:M8)+SUM(M10:M14)+SUM(M19:M22)+SUM(M24:M27)+SUM(M30:M34)</f>
        <v>2189986.4497731621</v>
      </c>
      <c r="O37" s="1">
        <f>SUM(O6:O8)+SUM(O10:O14)+SUM(O19:O22)+SUM(O24:O27)+SUM(O30:O34)</f>
        <v>2347167.767161713</v>
      </c>
      <c r="Q37" s="1">
        <f>SUM(Q6:Q8)+SUM(Q10:Q14)+SUM(Q19:Q22)+SUM(Q24:Q27)+SUM(Q31:Q34)</f>
        <v>2635586.5238483623</v>
      </c>
    </row>
    <row r="38" spans="1:18" x14ac:dyDescent="0.2">
      <c r="C38" s="77"/>
      <c r="D38" s="77"/>
      <c r="E38" s="78"/>
      <c r="F38" s="78"/>
      <c r="G38" s="78"/>
      <c r="H38" s="77"/>
      <c r="I38" s="84" t="s">
        <v>133</v>
      </c>
      <c r="J38" s="77"/>
      <c r="K38" s="43" t="s">
        <v>134</v>
      </c>
      <c r="M38" s="43" t="s">
        <v>135</v>
      </c>
      <c r="O38" s="43" t="s">
        <v>136</v>
      </c>
      <c r="Q38" s="43" t="s">
        <v>137</v>
      </c>
    </row>
    <row r="39" spans="1:18" hidden="1" x14ac:dyDescent="0.2">
      <c r="C39" s="85"/>
      <c r="D39" s="86"/>
      <c r="E39" s="86"/>
      <c r="F39" s="86"/>
      <c r="G39" s="86"/>
      <c r="H39" s="87" t="s">
        <v>138</v>
      </c>
      <c r="I39" s="88">
        <f>SUM(I19:I22)+SUM(I24:I27)+SUM(I31:I34)+SUM(I6:I8)+SUM(I10:I14)</f>
        <v>1295565.26216758</v>
      </c>
      <c r="J39" s="88"/>
      <c r="K39" s="38">
        <f>SUM(K19:K22)+SUM(K24:K27)+SUM(K31:K34)+SUM(K6:K8)+SUM(K10:K14)</f>
        <v>1814126.9984786273</v>
      </c>
      <c r="L39" s="38"/>
      <c r="M39" s="38">
        <f>SUM(M19:M22)+SUM(M24:M27)+SUM(M31:M34)+SUM(M6:M8)+SUM(M10:M14)</f>
        <v>2189986.4497731626</v>
      </c>
      <c r="N39" s="38"/>
      <c r="O39" s="38">
        <f>SUM(O19:O22)+SUM(O24:O27)+SUM(O31:O34)+SUM(O6:O8)+SUM(O10:O14)</f>
        <v>2347167.767161713</v>
      </c>
      <c r="P39" s="38"/>
      <c r="Q39" s="38">
        <f>SUM(Q20:Q22)+SUM(Q24:Q27)+SUM(Q31:Q34)+SUM(Q6:Q8)+SUM(Q10:Q14)</f>
        <v>2580202.6587517606</v>
      </c>
    </row>
    <row r="40" spans="1:18" hidden="1" x14ac:dyDescent="0.2">
      <c r="C40" s="77"/>
      <c r="D40" s="77"/>
      <c r="E40" s="78"/>
      <c r="F40" s="78"/>
      <c r="G40" s="78"/>
      <c r="H40" s="89" t="s">
        <v>139</v>
      </c>
      <c r="I40" s="78">
        <f>H5-G5</f>
        <v>1390249.9821675811</v>
      </c>
      <c r="J40" s="77"/>
      <c r="K40" s="1">
        <f>J5-H5</f>
        <v>1912599.1072786301</v>
      </c>
      <c r="L40" s="1"/>
      <c r="M40" s="1">
        <f>L5-J5</f>
        <v>2189986.4497731589</v>
      </c>
      <c r="N40" s="1"/>
      <c r="O40" s="1">
        <f>N5-L5</f>
        <v>2347167.7671617139</v>
      </c>
      <c r="P40" s="1"/>
      <c r="Q40" s="1">
        <f>P5-N5</f>
        <v>2635586.5238483604</v>
      </c>
    </row>
    <row r="41" spans="1:18" hidden="1" x14ac:dyDescent="0.2">
      <c r="C41" s="90" t="s">
        <v>140</v>
      </c>
      <c r="D41" s="91"/>
      <c r="E41" s="91"/>
      <c r="F41" s="91"/>
      <c r="G41" s="91"/>
      <c r="H41" s="91"/>
      <c r="I41" s="91"/>
      <c r="J41" s="86"/>
      <c r="K41" s="25"/>
      <c r="L41" s="25"/>
      <c r="M41" s="25"/>
      <c r="N41" s="25"/>
      <c r="O41" s="25"/>
      <c r="P41" s="25"/>
      <c r="Q41" s="25"/>
    </row>
    <row r="42" spans="1:18" hidden="1" x14ac:dyDescent="0.2">
      <c r="C42" s="91"/>
      <c r="D42" s="91"/>
      <c r="E42" s="91"/>
      <c r="F42" s="91"/>
      <c r="G42" s="91"/>
      <c r="H42" s="91"/>
      <c r="I42" s="91"/>
      <c r="J42" s="77"/>
    </row>
    <row r="43" spans="1:18" hidden="1" x14ac:dyDescent="0.2">
      <c r="C43" s="91"/>
      <c r="D43" s="91"/>
      <c r="E43" s="91"/>
      <c r="F43" s="91"/>
      <c r="G43" s="91"/>
      <c r="H43" s="91"/>
      <c r="I43" s="91"/>
      <c r="J43" s="77"/>
    </row>
    <row r="44" spans="1:18" hidden="1" x14ac:dyDescent="0.2">
      <c r="C44" s="91"/>
      <c r="D44" s="91"/>
      <c r="E44" s="91"/>
      <c r="F44" s="91"/>
      <c r="G44" s="91"/>
      <c r="H44" s="91"/>
      <c r="I44" s="91"/>
      <c r="J44" s="92"/>
    </row>
    <row r="45" spans="1:18" hidden="1" x14ac:dyDescent="0.2">
      <c r="C45" s="91"/>
      <c r="D45" s="91"/>
      <c r="E45" s="91"/>
      <c r="F45" s="91"/>
      <c r="G45" s="91"/>
      <c r="H45" s="91"/>
      <c r="I45" s="91"/>
      <c r="J45" s="77"/>
    </row>
    <row r="46" spans="1:18" hidden="1" x14ac:dyDescent="0.2">
      <c r="C46" s="91"/>
      <c r="D46" s="91"/>
      <c r="E46" s="91"/>
      <c r="F46" s="91"/>
      <c r="G46" s="91"/>
      <c r="H46" s="91"/>
      <c r="I46" s="91"/>
      <c r="J46" s="77"/>
    </row>
    <row r="47" spans="1:18" hidden="1" x14ac:dyDescent="0.2">
      <c r="C47" s="91"/>
      <c r="D47" s="91"/>
      <c r="E47" s="91"/>
      <c r="F47" s="91"/>
      <c r="G47" s="91"/>
      <c r="H47" s="91"/>
      <c r="I47" s="91"/>
      <c r="J47" s="77"/>
    </row>
    <row r="48" spans="1:18" hidden="1" x14ac:dyDescent="0.2">
      <c r="C48" s="91"/>
      <c r="D48" s="91"/>
      <c r="E48" s="91"/>
      <c r="F48" s="91"/>
      <c r="G48" s="91"/>
      <c r="H48" s="91"/>
      <c r="I48" s="91"/>
      <c r="J48" s="77"/>
    </row>
    <row r="49" spans="3:10" hidden="1" x14ac:dyDescent="0.2">
      <c r="C49" s="91"/>
      <c r="D49" s="91"/>
      <c r="E49" s="91"/>
      <c r="F49" s="91"/>
      <c r="G49" s="91"/>
      <c r="H49" s="91"/>
      <c r="I49" s="91"/>
      <c r="J49" s="77"/>
    </row>
    <row r="50" spans="3:10" hidden="1" x14ac:dyDescent="0.2">
      <c r="C50" s="91"/>
      <c r="D50" s="91"/>
      <c r="E50" s="91"/>
      <c r="F50" s="91"/>
      <c r="G50" s="91"/>
      <c r="H50" s="91"/>
      <c r="I50" s="91"/>
      <c r="J50" s="77"/>
    </row>
    <row r="51" spans="3:10" hidden="1" x14ac:dyDescent="0.2">
      <c r="C51" s="91"/>
      <c r="D51" s="91"/>
      <c r="E51" s="91"/>
      <c r="F51" s="91"/>
      <c r="G51" s="91"/>
      <c r="H51" s="91"/>
      <c r="I51" s="91"/>
      <c r="J51" s="77"/>
    </row>
    <row r="52" spans="3:10" x14ac:dyDescent="0.2">
      <c r="C52" s="93"/>
      <c r="D52" s="93"/>
      <c r="E52" s="93"/>
      <c r="F52" s="93"/>
      <c r="G52" s="93"/>
      <c r="H52" s="77"/>
      <c r="I52" s="77" t="s">
        <v>141</v>
      </c>
      <c r="J52" s="77"/>
    </row>
    <row r="53" spans="3:10" x14ac:dyDescent="0.2">
      <c r="C53" s="93"/>
      <c r="D53" s="93"/>
      <c r="E53" s="93"/>
      <c r="F53" s="93"/>
      <c r="G53" s="93"/>
      <c r="H53" s="77"/>
      <c r="I53" s="77"/>
      <c r="J53" s="77"/>
    </row>
    <row r="54" spans="3:10" x14ac:dyDescent="0.2">
      <c r="C54" s="1"/>
      <c r="D54" s="1"/>
      <c r="E54" s="1"/>
    </row>
    <row r="55" spans="3:10" x14ac:dyDescent="0.2">
      <c r="E55" s="1"/>
    </row>
    <row r="56" spans="3:10" x14ac:dyDescent="0.2">
      <c r="E56" s="1"/>
    </row>
    <row r="57" spans="3:10" x14ac:dyDescent="0.2">
      <c r="E57" s="1"/>
    </row>
    <row r="58" spans="3:10" x14ac:dyDescent="0.2">
      <c r="E58" s="1"/>
    </row>
    <row r="59" spans="3:10" x14ac:dyDescent="0.2">
      <c r="E59" s="1"/>
    </row>
    <row r="60" spans="3:10" x14ac:dyDescent="0.2">
      <c r="E60" s="1"/>
    </row>
    <row r="61" spans="3:10" x14ac:dyDescent="0.2">
      <c r="E61" s="1"/>
    </row>
    <row r="62" spans="3:10" x14ac:dyDescent="0.2">
      <c r="E62" s="1"/>
    </row>
    <row r="63" spans="3:10" x14ac:dyDescent="0.2">
      <c r="E63" s="1"/>
    </row>
  </sheetData>
  <mergeCells count="3">
    <mergeCell ref="C2:F2"/>
    <mergeCell ref="H2:P2"/>
    <mergeCell ref="C41:I51"/>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67381-7122-48A1-AB48-8AAF8F092B5E}">
  <dimension ref="A1:AQ59"/>
  <sheetViews>
    <sheetView showGridLines="0" zoomScale="75" workbookViewId="0">
      <pane xSplit="3" topLeftCell="D1" activePane="topRight" state="frozen"/>
      <selection pane="topRight" activeCell="K48" sqref="K48"/>
    </sheetView>
  </sheetViews>
  <sheetFormatPr baseColWidth="10" defaultColWidth="11" defaultRowHeight="16" x14ac:dyDescent="0.2"/>
  <cols>
    <col min="1" max="1" width="3.33203125" customWidth="1"/>
    <col min="2" max="2" width="37.1640625" bestFit="1" customWidth="1"/>
    <col min="3" max="3" width="47.33203125" customWidth="1"/>
    <col min="4" max="4" width="15.6640625" customWidth="1"/>
    <col min="5" max="5" width="16.1640625" customWidth="1"/>
    <col min="6" max="6" width="18.1640625" style="1" customWidth="1"/>
    <col min="7" max="7" width="16.1640625" style="1" customWidth="1"/>
    <col min="8" max="8" width="15.83203125" style="1" customWidth="1"/>
    <col min="9" max="9" width="15.83203125" style="1" hidden="1" customWidth="1"/>
    <col min="10" max="10" width="19" style="1" hidden="1" customWidth="1"/>
    <col min="11" max="11" width="15.5" customWidth="1"/>
    <col min="12" max="12" width="16.6640625" customWidth="1"/>
    <col min="13" max="13" width="17.83203125" customWidth="1"/>
    <col min="14" max="14" width="16.83203125" customWidth="1"/>
    <col min="15" max="15" width="17.83203125" customWidth="1"/>
    <col min="16384" max="16384" width="11" bestFit="1" customWidth="1"/>
  </cols>
  <sheetData>
    <row r="1" spans="1:43" x14ac:dyDescent="0.2">
      <c r="A1" s="5" t="s">
        <v>52</v>
      </c>
      <c r="F1" s="18"/>
    </row>
    <row r="2" spans="1:43" x14ac:dyDescent="0.2">
      <c r="A2" s="5"/>
      <c r="D2" s="74" t="s">
        <v>1</v>
      </c>
      <c r="E2" s="74"/>
      <c r="F2" s="74"/>
      <c r="G2" s="74"/>
      <c r="H2"/>
      <c r="I2"/>
      <c r="J2"/>
      <c r="K2" s="75" t="s">
        <v>2</v>
      </c>
      <c r="L2" s="75"/>
      <c r="M2" s="75"/>
      <c r="N2" s="75"/>
      <c r="O2" s="75"/>
    </row>
    <row r="3" spans="1:43" x14ac:dyDescent="0.2">
      <c r="D3" s="17">
        <v>43129</v>
      </c>
      <c r="E3" s="16">
        <v>43496</v>
      </c>
      <c r="F3" s="16">
        <v>43861</v>
      </c>
      <c r="G3" s="16">
        <v>44225</v>
      </c>
      <c r="H3" s="16">
        <v>44589</v>
      </c>
      <c r="I3" s="15"/>
      <c r="J3" s="15" t="s">
        <v>142</v>
      </c>
      <c r="K3" s="23">
        <v>2023</v>
      </c>
      <c r="L3" s="23">
        <v>2024</v>
      </c>
      <c r="M3" s="23">
        <v>2025</v>
      </c>
      <c r="N3" s="23">
        <v>2026</v>
      </c>
      <c r="O3" s="23">
        <v>2027</v>
      </c>
    </row>
    <row r="4" spans="1:43" x14ac:dyDescent="0.2">
      <c r="A4" s="2" t="s">
        <v>53</v>
      </c>
    </row>
    <row r="5" spans="1:43" x14ac:dyDescent="0.2">
      <c r="A5" t="s">
        <v>54</v>
      </c>
      <c r="D5" s="1">
        <v>1538960</v>
      </c>
      <c r="E5" s="1">
        <v>1589472</v>
      </c>
      <c r="F5" s="1">
        <v>1712555</v>
      </c>
      <c r="G5" s="1">
        <v>2655050</v>
      </c>
      <c r="H5" s="1">
        <v>2399232</v>
      </c>
      <c r="K5" s="1">
        <f>'Income Statement'!G13</f>
        <v>2646558.1977653452</v>
      </c>
      <c r="L5" s="1">
        <f>'Income Statement'!H13</f>
        <v>2918913.1352178389</v>
      </c>
      <c r="M5" s="1">
        <f>'Income Statement'!I13</f>
        <v>3127240.5958745875</v>
      </c>
      <c r="N5" s="1">
        <f>'Income Statement'!J13</f>
        <v>3350311.1204249673</v>
      </c>
      <c r="O5" s="1">
        <f>'Income Statement'!K13</f>
        <v>3449377.043986809</v>
      </c>
    </row>
    <row r="6" spans="1:43" x14ac:dyDescent="0.2">
      <c r="A6" t="s">
        <v>55</v>
      </c>
    </row>
    <row r="7" spans="1:43" x14ac:dyDescent="0.2">
      <c r="B7" t="s">
        <v>56</v>
      </c>
      <c r="D7" s="1">
        <v>404231</v>
      </c>
      <c r="E7" s="6">
        <v>454134</v>
      </c>
      <c r="F7" s="1">
        <v>504804</v>
      </c>
      <c r="G7" s="1">
        <v>574237</v>
      </c>
      <c r="H7" s="1">
        <v>641316</v>
      </c>
      <c r="K7" s="39">
        <f>(H7/'Balance Sheet'!F10)*'Balance Sheet'!G10</f>
        <v>714677.67363205669</v>
      </c>
      <c r="L7" s="1">
        <f>(K7/'Balance Sheet'!G10)*'Balance Sheet'!H10</f>
        <v>786145.44099526247</v>
      </c>
      <c r="M7" s="1">
        <f>(L7/'Balance Sheet'!H10)*'Balance Sheet'!J10</f>
        <v>864759.98509478872</v>
      </c>
      <c r="N7" s="1">
        <f>(M7/'Balance Sheet'!J10)*'Balance Sheet'!L10</f>
        <v>925293.18405142403</v>
      </c>
      <c r="O7" s="1">
        <f>(N7/'Balance Sheet'!L10)*'Balance Sheet'!N10</f>
        <v>990063.70693502377</v>
      </c>
    </row>
    <row r="8" spans="1:43" x14ac:dyDescent="0.2">
      <c r="B8" t="s">
        <v>37</v>
      </c>
      <c r="D8" s="1">
        <v>-137648</v>
      </c>
      <c r="E8" s="6">
        <v>52325</v>
      </c>
      <c r="F8" s="1">
        <v>55407</v>
      </c>
      <c r="G8" s="1">
        <v>34976</v>
      </c>
      <c r="H8" s="1">
        <v>114359</v>
      </c>
      <c r="K8" s="39">
        <f>'Balance Sheet'!H26-'Balance Sheet'!G26</f>
        <v>82525.40000000014</v>
      </c>
      <c r="L8" s="39">
        <f>'Balance Sheet'!J26-'Balance Sheet'!H26</f>
        <v>90777.940000000061</v>
      </c>
      <c r="M8" s="26">
        <f>'Balance Sheet'!L26-'Balance Sheet'!J26</f>
        <v>69899.01380000019</v>
      </c>
      <c r="N8" s="26">
        <f>'Balance Sheet'!N26-'Balance Sheet'!L26</f>
        <v>74791.944766000146</v>
      </c>
      <c r="O8" s="26">
        <f>'Balance Sheet'!P26-'Balance Sheet'!N26</f>
        <v>34297.448956979904</v>
      </c>
    </row>
    <row r="9" spans="1:43" x14ac:dyDescent="0.2">
      <c r="B9" t="s">
        <v>57</v>
      </c>
      <c r="D9" s="1">
        <v>3502</v>
      </c>
      <c r="E9" s="1">
        <v>0</v>
      </c>
      <c r="F9" s="1">
        <v>0</v>
      </c>
      <c r="G9" s="1">
        <v>0</v>
      </c>
      <c r="H9" s="1">
        <v>0</v>
      </c>
      <c r="K9" s="39"/>
      <c r="L9" s="1"/>
      <c r="M9" s="1"/>
      <c r="N9" s="1"/>
      <c r="O9" s="1"/>
    </row>
    <row r="10" spans="1:43" x14ac:dyDescent="0.2">
      <c r="B10" t="s">
        <v>58</v>
      </c>
      <c r="D10" s="1">
        <v>34323</v>
      </c>
      <c r="E10" s="1">
        <v>40879</v>
      </c>
      <c r="F10" s="1">
        <v>48589</v>
      </c>
      <c r="G10" s="1">
        <v>68609</v>
      </c>
      <c r="H10" s="1">
        <v>78178</v>
      </c>
      <c r="K10" s="39"/>
      <c r="L10" s="1"/>
      <c r="M10" s="1"/>
      <c r="N10" s="1"/>
      <c r="O10" s="1"/>
    </row>
    <row r="11" spans="1:43" x14ac:dyDescent="0.2">
      <c r="B11" t="s">
        <v>59</v>
      </c>
      <c r="D11" s="1">
        <v>11088</v>
      </c>
      <c r="E11" s="1">
        <v>42870</v>
      </c>
      <c r="F11" s="1">
        <v>8293</v>
      </c>
      <c r="G11" s="1">
        <v>11570</v>
      </c>
      <c r="H11" s="1">
        <v>191040</v>
      </c>
      <c r="K11" s="39"/>
      <c r="L11" s="1"/>
      <c r="M11" s="1"/>
      <c r="N11" s="1"/>
      <c r="O11" s="1"/>
    </row>
    <row r="12" spans="1:43" x14ac:dyDescent="0.2">
      <c r="C12" t="s">
        <v>8</v>
      </c>
      <c r="D12" s="1">
        <v>-348363</v>
      </c>
      <c r="E12" s="1">
        <v>-521342</v>
      </c>
      <c r="F12" s="1">
        <v>-578783</v>
      </c>
      <c r="G12" s="1">
        <v>-575827</v>
      </c>
      <c r="H12" s="1">
        <v>-550114</v>
      </c>
      <c r="K12" s="39">
        <f>'Balance Sheet'!G6-'Balance Sheet'!H6</f>
        <v>-561432.50000000093</v>
      </c>
      <c r="L12" s="39">
        <f>'Balance Sheet'!H6-'Balance Sheet'!J6</f>
        <v>-617575.75</v>
      </c>
      <c r="M12" s="39">
        <f>'Balance Sheet'!J6-'Balance Sheet'!L6</f>
        <v>-475533.32750000153</v>
      </c>
      <c r="N12" s="39">
        <f>'Balance Sheet'!L6-'Balance Sheet'!N6</f>
        <v>-508820.66042500082</v>
      </c>
      <c r="O12" s="39">
        <f>'Balance Sheet'!N6-'Balance Sheet'!P6</f>
        <v>-233330.61713774968</v>
      </c>
    </row>
    <row r="13" spans="1:43" x14ac:dyDescent="0.2">
      <c r="C13" t="s">
        <v>11</v>
      </c>
      <c r="D13" s="1">
        <v>-49406</v>
      </c>
      <c r="E13" s="1">
        <v>-12097</v>
      </c>
      <c r="F13" s="1">
        <v>-14453</v>
      </c>
      <c r="G13" s="1">
        <v>-16516</v>
      </c>
      <c r="H13" s="1">
        <v>-47471</v>
      </c>
      <c r="K13" s="39"/>
      <c r="L13" s="1"/>
      <c r="M13" s="1"/>
      <c r="N13" s="1"/>
      <c r="O13" s="1"/>
    </row>
    <row r="14" spans="1:43" x14ac:dyDescent="0.2">
      <c r="C14" t="s">
        <v>143</v>
      </c>
      <c r="D14" s="1"/>
      <c r="E14" s="1"/>
      <c r="K14" s="39">
        <f>'Balance Sheet'!G7-'Balance Sheet'!H7</f>
        <v>-9739.4000000000233</v>
      </c>
      <c r="L14" s="1">
        <f>'Balance Sheet'!H7-'Balance Sheet'!J7</f>
        <v>-10713.339999999997</v>
      </c>
      <c r="M14" s="1">
        <f>'Balance Sheet'!J7-'Balance Sheet'!L7</f>
        <v>-8249.2718000000168</v>
      </c>
      <c r="N14" s="1">
        <f>'Balance Sheet'!L7-'Balance Sheet'!N7</f>
        <v>-8826.7208260000334</v>
      </c>
      <c r="O14" s="1">
        <f>'Balance Sheet'!N7-'Balance Sheet'!P7</f>
        <v>-4047.6819787800196</v>
      </c>
    </row>
    <row r="15" spans="1:43" x14ac:dyDescent="0.2">
      <c r="C15" t="s">
        <v>27</v>
      </c>
      <c r="D15" s="1">
        <v>427911</v>
      </c>
      <c r="E15" s="1">
        <v>375214</v>
      </c>
      <c r="F15" s="1">
        <v>428627</v>
      </c>
      <c r="G15" s="1">
        <v>745596</v>
      </c>
      <c r="H15" s="1">
        <v>98735</v>
      </c>
      <c r="K15" s="39">
        <f>'Balance Sheet'!H20-'Balance Sheet'!G20</f>
        <v>373860.40000000084</v>
      </c>
      <c r="L15" s="1">
        <f>'Balance Sheet'!J20-'Balance Sheet'!H20</f>
        <v>411246.43999999994</v>
      </c>
      <c r="M15" s="1">
        <f>'Balance Sheet'!L20-'Balance Sheet'!J20</f>
        <v>316659.75880000088</v>
      </c>
      <c r="N15" s="1">
        <f>'Balance Sheet'!N20-'Balance Sheet'!L20</f>
        <v>338825.9419160001</v>
      </c>
      <c r="O15" s="1">
        <f>'Balance Sheet'!P20-'Balance Sheet'!N20</f>
        <v>155375.8962214794</v>
      </c>
    </row>
    <row r="16" spans="1:43" x14ac:dyDescent="0.2">
      <c r="A16" s="77"/>
      <c r="B16" s="77"/>
      <c r="C16" s="77" t="s">
        <v>60</v>
      </c>
      <c r="D16" s="78">
        <v>75647</v>
      </c>
      <c r="E16" s="78">
        <v>65857</v>
      </c>
      <c r="F16" s="78">
        <v>100322</v>
      </c>
      <c r="G16" s="78">
        <v>388597</v>
      </c>
      <c r="H16" s="78">
        <v>-37328</v>
      </c>
      <c r="I16" s="78"/>
      <c r="J16" s="78"/>
      <c r="K16" s="78">
        <f>'Balance Sheet'!H21-'Balance Sheet'!G21</f>
        <v>104913.90000000014</v>
      </c>
      <c r="L16" s="78">
        <f>'Balance Sheet'!J21-'Balance Sheet'!H21</f>
        <v>115405.29000000004</v>
      </c>
      <c r="M16" s="78">
        <f>'Balance Sheet'!L21-'Balance Sheet'!J21</f>
        <v>88862.07330000028</v>
      </c>
      <c r="N16" s="78">
        <f>'Balance Sheet'!N21-'Balance Sheet'!L21</f>
        <v>95082.418431000318</v>
      </c>
      <c r="O16" s="78">
        <f>'Balance Sheet'!P21-'Balance Sheet'!N21</f>
        <v>43602.080451929942</v>
      </c>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row>
    <row r="17" spans="1:43" x14ac:dyDescent="0.2">
      <c r="A17" s="77"/>
      <c r="B17" s="77"/>
      <c r="C17" s="77" t="s">
        <v>144</v>
      </c>
      <c r="D17" s="78">
        <v>-156504</v>
      </c>
      <c r="E17" s="78">
        <v>56390</v>
      </c>
      <c r="F17" s="78">
        <v>-20404</v>
      </c>
      <c r="G17" s="78">
        <v>-6522</v>
      </c>
      <c r="H17" s="78">
        <v>-14642</v>
      </c>
      <c r="I17" s="78"/>
      <c r="J17" s="78"/>
      <c r="K17" s="78">
        <f>'Balance Sheet'!H22-'Balance Sheet'!G22</f>
        <v>805.50000000000182</v>
      </c>
      <c r="L17" s="78">
        <f>'Balance Sheet'!J22-'Balance Sheet'!H22</f>
        <v>886.05000000000109</v>
      </c>
      <c r="M17" s="78">
        <f>'Balance Sheet'!L22-'Balance Sheet'!J22</f>
        <v>682.25850000000173</v>
      </c>
      <c r="N17" s="78">
        <f>'Balance Sheet'!N22-'Balance Sheet'!L22</f>
        <v>730.01659500000278</v>
      </c>
      <c r="O17" s="78">
        <f>'Balance Sheet'!P22-'Balance Sheet'!N22</f>
        <v>334.76475285000197</v>
      </c>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row>
    <row r="18" spans="1:43" x14ac:dyDescent="0.2">
      <c r="A18" s="77"/>
      <c r="B18" s="77"/>
      <c r="C18" s="77" t="s">
        <v>62</v>
      </c>
      <c r="D18" s="79">
        <v>-1633</v>
      </c>
      <c r="E18" s="79">
        <v>-152</v>
      </c>
      <c r="F18" s="79">
        <v>-6959</v>
      </c>
      <c r="G18" s="79">
        <v>-3611</v>
      </c>
      <c r="H18" s="79">
        <v>-7494</v>
      </c>
      <c r="I18" s="79"/>
      <c r="J18" s="79"/>
      <c r="K18" s="79"/>
      <c r="L18" s="79"/>
      <c r="M18" s="79"/>
      <c r="N18" s="79"/>
      <c r="O18" s="79"/>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row>
    <row r="19" spans="1:43" x14ac:dyDescent="0.2">
      <c r="A19" s="77" t="s">
        <v>63</v>
      </c>
      <c r="B19" s="77"/>
      <c r="C19" s="77"/>
      <c r="D19" s="80">
        <v>1802108</v>
      </c>
      <c r="E19" s="80">
        <v>2143550</v>
      </c>
      <c r="F19" s="80">
        <f>F5+SUM(F7:F11)+SUM(F12:F18)</f>
        <v>2237998</v>
      </c>
      <c r="G19" s="80">
        <v>3876159</v>
      </c>
      <c r="H19" s="80">
        <f>SUM(H5:H18)</f>
        <v>2865811</v>
      </c>
      <c r="I19" s="80"/>
      <c r="J19" s="80"/>
      <c r="K19" s="80">
        <f>K5+SUM(K7:K11)+SUM(K12:K18)</f>
        <v>3352169.171397402</v>
      </c>
      <c r="L19" s="80">
        <f>L5+SUM(L7:L11)+SUM(L12:L18)</f>
        <v>3695085.2062131013</v>
      </c>
      <c r="M19" s="80">
        <f>M5+SUM(M7:M11)+SUM(M12:M18)</f>
        <v>3984321.0860693762</v>
      </c>
      <c r="N19" s="80">
        <f>N5+SUM(N7:N11)+SUM(N12:N18)</f>
        <v>4267387.244933391</v>
      </c>
      <c r="O19" s="80">
        <f>O5+SUM(O7:O11)+SUM(O12:O18)</f>
        <v>4435672.6421885425</v>
      </c>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row>
    <row r="20" spans="1:43" x14ac:dyDescent="0.2">
      <c r="A20" s="94" t="s">
        <v>64</v>
      </c>
      <c r="B20" s="77"/>
      <c r="C20" s="77"/>
      <c r="D20" s="77"/>
      <c r="E20" s="77"/>
      <c r="F20" s="78"/>
      <c r="G20" s="78"/>
      <c r="H20" s="78"/>
      <c r="I20" s="78"/>
      <c r="J20" s="78"/>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row>
    <row r="21" spans="1:43" x14ac:dyDescent="0.2">
      <c r="A21" s="77" t="s">
        <v>65</v>
      </c>
      <c r="B21" s="77"/>
      <c r="C21" s="77"/>
      <c r="D21" s="78">
        <v>-646456</v>
      </c>
      <c r="E21" s="78">
        <v>-734380</v>
      </c>
      <c r="F21" s="78">
        <v>-784843</v>
      </c>
      <c r="G21" s="78">
        <v>-1027963</v>
      </c>
      <c r="H21" s="78">
        <v>-1070460</v>
      </c>
      <c r="I21" s="78"/>
      <c r="J21" s="78"/>
      <c r="K21" s="78">
        <f>-('Balance Sheet'!H10-'Balance Sheet'!G10)-K7</f>
        <v>-1149290.3736320578</v>
      </c>
      <c r="L21" s="78">
        <f>-('Balance Sheet'!J10-'Balance Sheet'!H10)-'Cash Flow'!L7</f>
        <v>-1264219.4109952622</v>
      </c>
      <c r="M21" s="78">
        <f>-('Balance Sheet'!L10-'Balance Sheet'!J10)-M7</f>
        <v>-1232876.9419947893</v>
      </c>
      <c r="N21" s="78">
        <f>-('Balance Sheet'!N10-'Balance Sheet'!L10)-'Cash Flow'!N7</f>
        <v>-1319178.3279344251</v>
      </c>
      <c r="O21" s="78">
        <f>-('Balance Sheet'!P10-'Balance Sheet'!N10)-'Cash Flow'!O7</f>
        <v>-1170688.1800585138</v>
      </c>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row>
    <row r="22" spans="1:43" x14ac:dyDescent="0.2">
      <c r="A22" s="77" t="s">
        <v>66</v>
      </c>
      <c r="B22" s="77"/>
      <c r="C22" s="77"/>
      <c r="D22" s="79">
        <v>1428</v>
      </c>
      <c r="E22" s="79">
        <v>2777</v>
      </c>
      <c r="F22" s="79">
        <v>2358</v>
      </c>
      <c r="G22" s="79">
        <v>3053</v>
      </c>
      <c r="H22" s="79">
        <v>4903</v>
      </c>
      <c r="I22" s="79"/>
      <c r="J22" s="79"/>
      <c r="K22" s="79"/>
      <c r="L22" s="79"/>
      <c r="M22" s="79"/>
      <c r="N22" s="79"/>
      <c r="O22" s="79"/>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row>
    <row r="23" spans="1:43" x14ac:dyDescent="0.2">
      <c r="A23" s="77" t="s">
        <v>67</v>
      </c>
      <c r="B23" s="77"/>
      <c r="C23" s="77"/>
      <c r="D23" s="80">
        <f t="shared" ref="D23:O23" si="0">D21+D22</f>
        <v>-645028</v>
      </c>
      <c r="E23" s="80">
        <f t="shared" si="0"/>
        <v>-731603</v>
      </c>
      <c r="F23" s="80">
        <f t="shared" si="0"/>
        <v>-782485</v>
      </c>
      <c r="G23" s="80">
        <f t="shared" si="0"/>
        <v>-1024910</v>
      </c>
      <c r="H23" s="80">
        <f t="shared" si="0"/>
        <v>-1065557</v>
      </c>
      <c r="I23" s="80"/>
      <c r="J23" s="80"/>
      <c r="K23" s="80">
        <f t="shared" si="0"/>
        <v>-1149290.3736320578</v>
      </c>
      <c r="L23" s="80">
        <f t="shared" si="0"/>
        <v>-1264219.4109952622</v>
      </c>
      <c r="M23" s="80">
        <f t="shared" si="0"/>
        <v>-1232876.9419947893</v>
      </c>
      <c r="N23" s="80">
        <f t="shared" si="0"/>
        <v>-1319178.3279344251</v>
      </c>
      <c r="O23" s="80">
        <f t="shared" si="0"/>
        <v>-1170688.1800585138</v>
      </c>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row>
    <row r="24" spans="1:43" x14ac:dyDescent="0.2">
      <c r="A24" s="94" t="s">
        <v>68</v>
      </c>
      <c r="B24" s="77"/>
      <c r="C24" s="77"/>
      <c r="D24" s="77"/>
      <c r="E24" s="77"/>
      <c r="F24" s="78"/>
      <c r="G24" s="78"/>
      <c r="H24" s="78"/>
      <c r="I24" s="78"/>
      <c r="J24" s="78"/>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row>
    <row r="25" spans="1:43" x14ac:dyDescent="0.2">
      <c r="A25" s="77" t="s">
        <v>69</v>
      </c>
      <c r="B25" s="77"/>
      <c r="C25" s="77"/>
      <c r="D25" s="78">
        <v>599556</v>
      </c>
      <c r="E25" s="78">
        <v>499495</v>
      </c>
      <c r="F25" s="78"/>
      <c r="G25" s="78">
        <v>1494315</v>
      </c>
      <c r="H25" s="78"/>
      <c r="I25" s="78"/>
      <c r="J25" s="78"/>
      <c r="K25" s="78"/>
      <c r="L25" s="78"/>
      <c r="M25" s="78"/>
      <c r="N25" s="78"/>
      <c r="O25" s="78"/>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row>
    <row r="26" spans="1:43" x14ac:dyDescent="0.2">
      <c r="A26" s="77" t="s">
        <v>70</v>
      </c>
      <c r="B26" s="77"/>
      <c r="C26" s="77"/>
      <c r="D26" s="78">
        <v>-752676</v>
      </c>
      <c r="E26" s="78">
        <v>-577321</v>
      </c>
      <c r="F26" s="78">
        <v>-1465</v>
      </c>
      <c r="G26" s="78">
        <v>-4640</v>
      </c>
      <c r="H26" s="78">
        <v>-6402</v>
      </c>
      <c r="I26" s="78"/>
      <c r="J26" s="78"/>
      <c r="K26" s="78"/>
      <c r="L26" s="78"/>
      <c r="M26" s="78"/>
      <c r="N26" s="78"/>
      <c r="O26" s="78"/>
      <c r="P26" s="77"/>
      <c r="Q26" s="77"/>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c r="AP26" s="77"/>
      <c r="AQ26" s="77"/>
    </row>
    <row r="27" spans="1:43" s="77" customFormat="1" x14ac:dyDescent="0.2">
      <c r="A27" s="77" t="s">
        <v>145</v>
      </c>
      <c r="D27" s="78"/>
      <c r="E27" s="78"/>
      <c r="F27" s="78"/>
      <c r="G27" s="78"/>
      <c r="H27" s="78"/>
      <c r="I27" s="78"/>
      <c r="J27" s="78"/>
      <c r="K27" s="78">
        <f>'Balance Sheet'!H25-'Balance Sheet'!G25</f>
        <v>0</v>
      </c>
      <c r="L27" s="78">
        <f>'Balance Sheet'!J25-'Balance Sheet'!H25</f>
        <v>355628.3599999994</v>
      </c>
      <c r="M27" s="78">
        <f>'Balance Sheet'!L25-'Balance Sheet'!J25</f>
        <v>369853.4944000002</v>
      </c>
      <c r="N27" s="78">
        <f>'Balance Sheet'!N25-'Balance Sheet'!L25</f>
        <v>384647.63417600095</v>
      </c>
      <c r="O27" s="78">
        <f>'Balance Sheet'!P25-'Balance Sheet'!N25</f>
        <v>400033.5395430401</v>
      </c>
    </row>
    <row r="28" spans="1:43" x14ac:dyDescent="0.2">
      <c r="A28" s="77" t="s">
        <v>71</v>
      </c>
      <c r="B28" s="77"/>
      <c r="C28" s="77"/>
      <c r="D28" s="78">
        <v>-60300</v>
      </c>
      <c r="E28" s="78">
        <v>-63300</v>
      </c>
      <c r="F28" s="78">
        <v>58300</v>
      </c>
      <c r="G28" s="78">
        <v>-425200</v>
      </c>
      <c r="H28" s="78">
        <v>54300</v>
      </c>
      <c r="I28" s="78"/>
      <c r="J28" s="78"/>
      <c r="K28" s="78"/>
      <c r="L28" s="78"/>
      <c r="M28" s="78"/>
      <c r="N28" s="78"/>
      <c r="O28" s="78"/>
      <c r="P28" s="77"/>
      <c r="Q28" s="77"/>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c r="AP28" s="77"/>
      <c r="AQ28" s="77"/>
    </row>
    <row r="29" spans="1:43" x14ac:dyDescent="0.2">
      <c r="A29" s="77" t="s">
        <v>72</v>
      </c>
      <c r="B29" s="77"/>
      <c r="C29" s="77"/>
      <c r="D29" s="78">
        <v>0</v>
      </c>
      <c r="E29" s="78">
        <v>0</v>
      </c>
      <c r="F29" s="78">
        <v>0</v>
      </c>
      <c r="G29" s="78">
        <v>300000</v>
      </c>
      <c r="H29" s="78">
        <v>0</v>
      </c>
      <c r="I29" s="78"/>
      <c r="J29" s="78"/>
      <c r="K29" s="78"/>
      <c r="L29" s="78"/>
      <c r="M29" s="78"/>
      <c r="N29" s="78"/>
      <c r="O29" s="78"/>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c r="AP29" s="77"/>
      <c r="AQ29" s="77"/>
    </row>
    <row r="30" spans="1:43" x14ac:dyDescent="0.2">
      <c r="A30" s="77" t="s">
        <v>73</v>
      </c>
      <c r="B30" s="77"/>
      <c r="C30" s="77"/>
      <c r="D30" s="78">
        <v>0</v>
      </c>
      <c r="E30" s="78">
        <v>0</v>
      </c>
      <c r="F30" s="78">
        <v>0</v>
      </c>
      <c r="G30" s="78">
        <v>-300000</v>
      </c>
      <c r="H30" s="78">
        <v>0</v>
      </c>
      <c r="I30" s="78"/>
      <c r="J30" s="78"/>
      <c r="K30" s="78"/>
      <c r="L30" s="78"/>
      <c r="M30" s="78"/>
      <c r="N30" s="78"/>
      <c r="O30" s="78"/>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c r="AP30" s="77"/>
      <c r="AQ30" s="77"/>
    </row>
    <row r="31" spans="1:43" x14ac:dyDescent="0.2">
      <c r="A31" s="77" t="s">
        <v>74</v>
      </c>
      <c r="B31" s="77"/>
      <c r="C31" s="77"/>
      <c r="D31" s="78">
        <v>-9524</v>
      </c>
      <c r="E31" s="78">
        <v>-4384</v>
      </c>
      <c r="F31" s="78">
        <v>-1675</v>
      </c>
      <c r="G31" s="78">
        <v>-13574</v>
      </c>
      <c r="H31" s="78">
        <v>-2268</v>
      </c>
      <c r="I31" s="78"/>
      <c r="J31" s="78"/>
      <c r="K31" s="77"/>
      <c r="L31" s="77"/>
      <c r="M31" s="77"/>
      <c r="N31" s="77"/>
      <c r="O31" s="77"/>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77"/>
      <c r="AP31" s="77"/>
      <c r="AQ31" s="77"/>
    </row>
    <row r="32" spans="1:43" x14ac:dyDescent="0.2">
      <c r="A32" s="77" t="s">
        <v>146</v>
      </c>
      <c r="B32" s="77"/>
      <c r="C32" s="77"/>
      <c r="D32" s="78"/>
      <c r="E32" s="78"/>
      <c r="F32" s="78"/>
      <c r="G32" s="78"/>
      <c r="H32" s="78"/>
      <c r="I32" s="78"/>
      <c r="J32" s="78"/>
      <c r="K32" s="78">
        <f>'Balance Sheet'!H31-'Balance Sheet'!G31</f>
        <v>20126.500000000029</v>
      </c>
      <c r="L32" s="78">
        <f>'Balance Sheet'!J31-'Balance Sheet'!H31</f>
        <v>22139.149999999994</v>
      </c>
      <c r="M32" s="78">
        <f>'Balance Sheet'!L31-'Balance Sheet'!J31</f>
        <v>17047.145500000042</v>
      </c>
      <c r="N32" s="78">
        <f>'Balance Sheet'!N31-'Balance Sheet'!L31</f>
        <v>18240.445685000042</v>
      </c>
      <c r="O32" s="78">
        <f>'Balance Sheet'!P31-'Balance Sheet'!N31</f>
        <v>8364.5472355500096</v>
      </c>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c r="AP32" s="77"/>
      <c r="AQ32" s="77"/>
    </row>
    <row r="33" spans="1:43" x14ac:dyDescent="0.2">
      <c r="A33" s="77" t="s">
        <v>75</v>
      </c>
      <c r="B33" s="77"/>
      <c r="C33" s="77"/>
      <c r="D33" s="78">
        <v>-579712</v>
      </c>
      <c r="E33" s="78">
        <v>-1007494</v>
      </c>
      <c r="F33" s="78">
        <v>-1200376</v>
      </c>
      <c r="G33" s="78">
        <v>-2466434</v>
      </c>
      <c r="H33" s="78">
        <v>-2549669</v>
      </c>
      <c r="I33" s="78"/>
      <c r="J33" s="78"/>
      <c r="K33" s="78"/>
      <c r="L33" s="78"/>
      <c r="M33" s="78"/>
      <c r="N33" s="78"/>
      <c r="O33" s="78"/>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c r="AP33" s="77"/>
      <c r="AQ33" s="77"/>
    </row>
    <row r="34" spans="1:43" x14ac:dyDescent="0.2">
      <c r="A34" s="77" t="s">
        <v>76</v>
      </c>
      <c r="B34" s="77"/>
      <c r="C34" s="77"/>
      <c r="D34" s="78">
        <v>-282931</v>
      </c>
      <c r="E34" s="78">
        <v>-306523</v>
      </c>
      <c r="F34" s="78">
        <v>-327568</v>
      </c>
      <c r="G34" s="78">
        <v>-355926</v>
      </c>
      <c r="H34" s="78">
        <v>-392188</v>
      </c>
      <c r="I34" s="78"/>
      <c r="J34" s="78"/>
      <c r="K34" s="78">
        <f>-K5*0.18</f>
        <v>-476380.4755977621</v>
      </c>
      <c r="L34" s="78">
        <f>-L5*0.18</f>
        <v>-525404.36433921102</v>
      </c>
      <c r="M34" s="78">
        <f t="shared" ref="M34:O34" si="1">-M5*0.18</f>
        <v>-562903.30725742574</v>
      </c>
      <c r="N34" s="78">
        <f t="shared" si="1"/>
        <v>-603056.00167649414</v>
      </c>
      <c r="O34" s="78">
        <f t="shared" si="1"/>
        <v>-620887.86791762558</v>
      </c>
      <c r="P34" s="77"/>
      <c r="Q34" s="77"/>
      <c r="R34" s="77"/>
      <c r="S34" s="77"/>
      <c r="T34" s="77"/>
      <c r="U34" s="77"/>
      <c r="V34" s="77"/>
      <c r="W34" s="77"/>
      <c r="X34" s="77"/>
      <c r="Y34" s="77"/>
      <c r="Z34" s="77"/>
      <c r="AA34" s="77"/>
      <c r="AB34" s="77"/>
      <c r="AC34" s="77"/>
      <c r="AD34" s="77"/>
      <c r="AE34" s="77"/>
      <c r="AF34" s="77"/>
      <c r="AG34" s="77"/>
      <c r="AH34" s="77"/>
      <c r="AI34" s="77"/>
      <c r="AJ34" s="77"/>
      <c r="AK34" s="77"/>
      <c r="AL34" s="77"/>
      <c r="AM34" s="77"/>
      <c r="AN34" s="77"/>
      <c r="AO34" s="77"/>
      <c r="AP34" s="77"/>
      <c r="AQ34" s="77"/>
    </row>
    <row r="35" spans="1:43" x14ac:dyDescent="0.2">
      <c r="A35" s="77" t="s">
        <v>77</v>
      </c>
      <c r="B35" s="77"/>
      <c r="C35" s="77"/>
      <c r="D35" s="79">
        <v>8033</v>
      </c>
      <c r="E35" s="79">
        <v>15626</v>
      </c>
      <c r="F35" s="79">
        <v>22104</v>
      </c>
      <c r="G35" s="79">
        <v>56467</v>
      </c>
      <c r="H35" s="78">
        <v>64225</v>
      </c>
      <c r="I35" s="78"/>
      <c r="J35" s="78"/>
      <c r="K35" s="77"/>
      <c r="L35" s="77"/>
      <c r="M35" s="77"/>
      <c r="N35" s="77"/>
      <c r="O35" s="77"/>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c r="AP35" s="77"/>
      <c r="AQ35" s="77"/>
    </row>
    <row r="36" spans="1:43" x14ac:dyDescent="0.2">
      <c r="A36" s="77" t="s">
        <v>78</v>
      </c>
      <c r="B36" s="77"/>
      <c r="C36" s="77"/>
      <c r="D36" s="80">
        <f t="shared" ref="D36:O36" si="2">SUM(D25:D35)</f>
        <v>-1077554</v>
      </c>
      <c r="E36" s="80">
        <f t="shared" si="2"/>
        <v>-1443901</v>
      </c>
      <c r="F36" s="80">
        <f t="shared" si="2"/>
        <v>-1450680</v>
      </c>
      <c r="G36" s="80">
        <f t="shared" si="2"/>
        <v>-1714992</v>
      </c>
      <c r="H36" s="81">
        <f t="shared" si="2"/>
        <v>-2832002</v>
      </c>
      <c r="I36" s="81"/>
      <c r="J36" s="81"/>
      <c r="K36" s="81">
        <f t="shared" si="2"/>
        <v>-456253.97559776204</v>
      </c>
      <c r="L36" s="81">
        <f t="shared" si="2"/>
        <v>-147636.8543392116</v>
      </c>
      <c r="M36" s="81">
        <f t="shared" si="2"/>
        <v>-176002.6673574255</v>
      </c>
      <c r="N36" s="81">
        <f t="shared" si="2"/>
        <v>-200167.92181549314</v>
      </c>
      <c r="O36" s="81">
        <f t="shared" si="2"/>
        <v>-212489.78113903548</v>
      </c>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c r="AP36" s="77"/>
      <c r="AQ36" s="77"/>
    </row>
    <row r="37" spans="1:43" x14ac:dyDescent="0.2">
      <c r="A37" s="77" t="s">
        <v>79</v>
      </c>
      <c r="B37" s="77"/>
      <c r="C37" s="77"/>
      <c r="D37" s="78">
        <v>79526</v>
      </c>
      <c r="E37" s="78">
        <v>-31954</v>
      </c>
      <c r="F37" s="78">
        <v>4833</v>
      </c>
      <c r="G37" s="78">
        <v>1136257</v>
      </c>
      <c r="H37" s="78">
        <v>-1031748</v>
      </c>
      <c r="I37" s="78"/>
      <c r="J37" s="78"/>
      <c r="K37" s="78">
        <f>SUM(K19,K23,K36)</f>
        <v>1746624.8221675823</v>
      </c>
      <c r="L37" s="78">
        <f>SUM(L19,L23,L36)</f>
        <v>2283228.9408786274</v>
      </c>
      <c r="M37" s="78">
        <f>SUM(M19,M23,M36)</f>
        <v>2575441.4767171615</v>
      </c>
      <c r="N37" s="78">
        <f>SUM(N19,N23,N36)</f>
        <v>2748040.9951834725</v>
      </c>
      <c r="O37" s="78">
        <f>SUM(O19,O23,O36)</f>
        <v>3052494.680990993</v>
      </c>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c r="AP37" s="77"/>
      <c r="AQ37" s="77"/>
    </row>
    <row r="38" spans="1:43" x14ac:dyDescent="0.2">
      <c r="A38" s="77" t="s">
        <v>80</v>
      </c>
      <c r="B38" s="77"/>
      <c r="C38" s="77"/>
      <c r="D38" s="78">
        <v>187915</v>
      </c>
      <c r="E38" s="78">
        <v>267441</v>
      </c>
      <c r="F38" s="78">
        <v>235487</v>
      </c>
      <c r="G38" s="78">
        <v>240320</v>
      </c>
      <c r="H38" s="78">
        <v>1376577</v>
      </c>
      <c r="I38" s="78"/>
      <c r="J38" s="78"/>
      <c r="K38" s="78">
        <f>H39</f>
        <v>344829</v>
      </c>
      <c r="L38" s="78">
        <f>K39</f>
        <v>2091453.8221675823</v>
      </c>
      <c r="M38" s="78">
        <f>L39</f>
        <v>4374682.7630462097</v>
      </c>
      <c r="N38" s="78">
        <f>M39</f>
        <v>6950124.2397633716</v>
      </c>
      <c r="O38" s="78">
        <f>N39</f>
        <v>9698165.2349468432</v>
      </c>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c r="AP38" s="77"/>
      <c r="AQ38" s="77"/>
    </row>
    <row r="39" spans="1:43" x14ac:dyDescent="0.2">
      <c r="A39" s="77" t="s">
        <v>81</v>
      </c>
      <c r="B39" s="77"/>
      <c r="C39" s="77"/>
      <c r="D39" s="95">
        <f t="shared" ref="D39:O39" si="3">D37+D38</f>
        <v>267441</v>
      </c>
      <c r="E39" s="95">
        <f t="shared" si="3"/>
        <v>235487</v>
      </c>
      <c r="F39" s="95">
        <f t="shared" si="3"/>
        <v>240320</v>
      </c>
      <c r="G39" s="95">
        <f t="shared" si="3"/>
        <v>1376577</v>
      </c>
      <c r="H39" s="95">
        <f t="shared" si="3"/>
        <v>344829</v>
      </c>
      <c r="I39" s="95"/>
      <c r="J39" s="95"/>
      <c r="K39" s="95">
        <f t="shared" si="3"/>
        <v>2091453.8221675823</v>
      </c>
      <c r="L39" s="95">
        <f t="shared" si="3"/>
        <v>4374682.7630462097</v>
      </c>
      <c r="M39" s="95">
        <f t="shared" si="3"/>
        <v>6950124.2397633716</v>
      </c>
      <c r="N39" s="95">
        <f t="shared" si="3"/>
        <v>9698165.2349468432</v>
      </c>
      <c r="O39" s="95">
        <f t="shared" si="3"/>
        <v>12750659.915937837</v>
      </c>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c r="AP39" s="77"/>
      <c r="AQ39" s="77"/>
    </row>
    <row r="40" spans="1:43" hidden="1" x14ac:dyDescent="0.2">
      <c r="A40" s="94"/>
      <c r="B40" s="77"/>
      <c r="C40" s="77"/>
      <c r="D40" s="77"/>
      <c r="E40" s="77"/>
      <c r="F40" s="78"/>
      <c r="G40" s="78" t="s">
        <v>147</v>
      </c>
      <c r="H40" s="78"/>
      <c r="I40" s="78"/>
      <c r="J40" s="78"/>
      <c r="K40" s="77"/>
      <c r="L40" s="77"/>
      <c r="M40" s="77"/>
      <c r="N40" s="77"/>
      <c r="O40" s="77"/>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c r="AP40" s="77"/>
      <c r="AQ40" s="77"/>
    </row>
    <row r="41" spans="1:43" x14ac:dyDescent="0.2">
      <c r="A41" s="77"/>
      <c r="B41" s="77"/>
      <c r="C41" s="77"/>
      <c r="D41" s="77"/>
      <c r="E41" s="77"/>
      <c r="F41" s="78"/>
      <c r="G41" s="78"/>
      <c r="H41" s="78"/>
      <c r="I41" s="78"/>
      <c r="J41" s="78"/>
      <c r="K41" s="88"/>
      <c r="L41" s="88"/>
      <c r="M41" s="88"/>
      <c r="N41" s="88"/>
      <c r="O41" s="88"/>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c r="AP41" s="77"/>
      <c r="AQ41" s="77"/>
    </row>
    <row r="42" spans="1:43" x14ac:dyDescent="0.2">
      <c r="A42" s="77"/>
      <c r="B42" s="77"/>
      <c r="C42" s="77"/>
      <c r="D42" s="86"/>
      <c r="E42" s="86"/>
      <c r="F42" s="86"/>
      <c r="G42" s="78"/>
      <c r="H42" s="78"/>
      <c r="I42" s="78"/>
      <c r="J42" s="78"/>
      <c r="K42" s="78"/>
      <c r="L42" s="78"/>
      <c r="M42" s="78"/>
      <c r="N42" s="78"/>
      <c r="O42" s="78"/>
      <c r="P42" s="77"/>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c r="AP42" s="77"/>
      <c r="AQ42" s="77"/>
    </row>
    <row r="43" spans="1:43" hidden="1" x14ac:dyDescent="0.2">
      <c r="A43" s="77"/>
      <c r="B43" s="77"/>
      <c r="C43" s="77"/>
      <c r="D43" s="78"/>
      <c r="E43" s="78"/>
      <c r="F43" s="78"/>
      <c r="G43" s="78"/>
      <c r="H43" s="78"/>
      <c r="I43" s="78"/>
      <c r="J43" s="78"/>
      <c r="K43" s="78"/>
      <c r="L43" s="78"/>
      <c r="M43" s="78"/>
      <c r="N43" s="78"/>
      <c r="O43" s="78"/>
      <c r="P43" s="77"/>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c r="AP43" s="77"/>
      <c r="AQ43" s="77"/>
    </row>
    <row r="44" spans="1:43" hidden="1" x14ac:dyDescent="0.2">
      <c r="A44" s="94"/>
      <c r="B44" s="77"/>
      <c r="C44" s="77"/>
      <c r="D44" s="78"/>
      <c r="E44" s="77"/>
      <c r="F44" s="78"/>
      <c r="G44" s="78"/>
      <c r="H44" s="78"/>
      <c r="I44" s="78"/>
      <c r="J44" s="78"/>
      <c r="K44" s="84"/>
      <c r="L44" s="84"/>
      <c r="M44" s="84"/>
      <c r="N44" s="84"/>
      <c r="O44" s="84"/>
      <c r="P44" s="77"/>
      <c r="Q44" s="84"/>
      <c r="R44" s="77"/>
      <c r="S44" s="84"/>
      <c r="T44" s="77"/>
      <c r="U44" s="77"/>
      <c r="V44" s="77"/>
      <c r="W44" s="77"/>
      <c r="X44" s="77"/>
      <c r="Y44" s="77"/>
      <c r="Z44" s="77"/>
      <c r="AA44" s="77"/>
      <c r="AB44" s="77"/>
      <c r="AC44" s="77"/>
      <c r="AD44" s="77"/>
      <c r="AE44" s="77"/>
      <c r="AF44" s="77"/>
      <c r="AG44" s="77"/>
      <c r="AH44" s="77"/>
      <c r="AI44" s="77"/>
      <c r="AJ44" s="77"/>
      <c r="AK44" s="77"/>
      <c r="AL44" s="77"/>
      <c r="AM44" s="77"/>
      <c r="AN44" s="77"/>
      <c r="AO44" s="77"/>
      <c r="AP44" s="77"/>
      <c r="AQ44" s="77"/>
    </row>
    <row r="45" spans="1:43" hidden="1" x14ac:dyDescent="0.2">
      <c r="A45" s="96"/>
      <c r="B45" s="77"/>
      <c r="C45" s="77"/>
      <c r="D45" s="78"/>
      <c r="E45" s="78"/>
      <c r="F45" s="78"/>
      <c r="G45" s="78"/>
      <c r="H45" s="78"/>
      <c r="I45" s="78"/>
      <c r="J45" s="78"/>
      <c r="K45" s="78"/>
      <c r="L45" s="77"/>
      <c r="M45" s="77"/>
      <c r="N45" s="77"/>
      <c r="O45" s="77"/>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c r="AP45" s="77"/>
      <c r="AQ45" s="77"/>
    </row>
    <row r="46" spans="1:43" hidden="1" x14ac:dyDescent="0.2">
      <c r="A46" s="77"/>
      <c r="B46" s="77"/>
      <c r="C46" s="77"/>
      <c r="D46" s="78"/>
      <c r="E46" s="78"/>
      <c r="F46" s="78"/>
      <c r="G46" s="78"/>
      <c r="H46" s="78"/>
      <c r="I46" s="78"/>
      <c r="J46" s="97"/>
      <c r="K46" s="78"/>
      <c r="L46" s="78"/>
      <c r="M46" s="78"/>
      <c r="N46" s="78"/>
      <c r="O46" s="78"/>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c r="AP46" s="77"/>
      <c r="AQ46" s="77"/>
    </row>
    <row r="47" spans="1:43" x14ac:dyDescent="0.2">
      <c r="A47" s="77"/>
      <c r="B47" s="77"/>
      <c r="C47" s="77"/>
      <c r="D47" s="78"/>
      <c r="E47" s="78"/>
      <c r="F47" s="78"/>
      <c r="G47" s="78"/>
      <c r="H47" s="78"/>
      <c r="I47" s="78"/>
      <c r="J47" s="78"/>
      <c r="K47" s="78"/>
      <c r="L47" s="78"/>
      <c r="M47" s="78"/>
      <c r="N47" s="78"/>
      <c r="O47" s="78"/>
      <c r="P47" s="77"/>
      <c r="Q47" s="77"/>
      <c r="R47" s="77"/>
      <c r="S47" s="77"/>
      <c r="T47" s="77"/>
      <c r="U47" s="77"/>
      <c r="V47" s="77"/>
      <c r="W47" s="77"/>
      <c r="X47" s="77"/>
      <c r="Y47" s="77"/>
      <c r="Z47" s="77"/>
      <c r="AA47" s="77"/>
      <c r="AB47" s="77"/>
      <c r="AC47" s="77"/>
      <c r="AD47" s="77"/>
      <c r="AE47" s="77"/>
      <c r="AF47" s="77"/>
      <c r="AG47" s="77"/>
      <c r="AH47" s="77"/>
      <c r="AI47" s="77"/>
      <c r="AJ47" s="77"/>
      <c r="AK47" s="77"/>
      <c r="AL47" s="77"/>
      <c r="AM47" s="77"/>
      <c r="AN47" s="77"/>
      <c r="AO47" s="77"/>
      <c r="AP47" s="77"/>
      <c r="AQ47" s="77"/>
    </row>
    <row r="48" spans="1:43" x14ac:dyDescent="0.2">
      <c r="A48" s="77"/>
      <c r="B48" s="77"/>
      <c r="C48" s="77"/>
      <c r="D48" s="77"/>
      <c r="E48" s="77"/>
      <c r="F48" s="78"/>
      <c r="G48" s="78"/>
      <c r="H48" s="78"/>
      <c r="I48" s="78"/>
      <c r="J48" s="78"/>
      <c r="K48" s="77"/>
      <c r="L48" s="77"/>
      <c r="M48" s="77"/>
      <c r="N48" s="77"/>
      <c r="O48" s="77"/>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c r="AP48" s="77"/>
      <c r="AQ48" s="77"/>
    </row>
    <row r="49" spans="1:43" x14ac:dyDescent="0.2">
      <c r="A49" s="77"/>
      <c r="B49" s="77"/>
      <c r="C49" s="77"/>
      <c r="D49" s="77"/>
      <c r="E49" s="77"/>
      <c r="F49" s="78"/>
      <c r="G49" s="78"/>
      <c r="H49" s="78"/>
      <c r="I49" s="78"/>
      <c r="J49" s="78"/>
      <c r="K49" s="77"/>
      <c r="L49" s="77"/>
      <c r="M49" s="77"/>
      <c r="N49" s="77"/>
      <c r="O49" s="77"/>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c r="AP49" s="77"/>
      <c r="AQ49" s="77"/>
    </row>
    <row r="50" spans="1:43" x14ac:dyDescent="0.2">
      <c r="A50" s="77"/>
      <c r="B50" s="77"/>
      <c r="C50" s="77"/>
      <c r="D50" s="77"/>
      <c r="E50" s="77"/>
      <c r="F50" s="78"/>
      <c r="G50" s="78"/>
      <c r="H50" s="78"/>
      <c r="I50" s="78"/>
      <c r="J50" s="78"/>
      <c r="K50" s="77"/>
      <c r="L50" s="77"/>
      <c r="M50" s="77"/>
      <c r="N50" s="77"/>
      <c r="O50" s="77"/>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c r="AP50" s="77"/>
      <c r="AQ50" s="77"/>
    </row>
    <row r="51" spans="1:43" x14ac:dyDescent="0.2">
      <c r="A51" s="77"/>
      <c r="B51" s="77"/>
      <c r="C51" s="77"/>
      <c r="D51" s="77"/>
      <c r="E51" s="77"/>
      <c r="F51" s="78"/>
      <c r="G51" s="78"/>
      <c r="H51" s="78"/>
      <c r="I51" s="78"/>
      <c r="J51" s="78"/>
      <c r="K51" s="77"/>
      <c r="L51" s="77"/>
      <c r="M51" s="77"/>
      <c r="N51" s="77"/>
      <c r="O51" s="77"/>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c r="AP51" s="77"/>
      <c r="AQ51" s="77"/>
    </row>
    <row r="52" spans="1:43" x14ac:dyDescent="0.2">
      <c r="A52" s="77"/>
      <c r="B52" s="77"/>
      <c r="C52" s="77"/>
      <c r="D52" s="77"/>
      <c r="E52" s="77"/>
      <c r="F52" s="78"/>
      <c r="G52" s="78"/>
      <c r="H52" s="78"/>
      <c r="I52" s="78"/>
      <c r="J52" s="78"/>
      <c r="K52" s="77"/>
      <c r="L52" s="77"/>
      <c r="M52" s="77"/>
      <c r="N52" s="77"/>
      <c r="O52" s="77"/>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c r="AP52" s="77"/>
      <c r="AQ52" s="77"/>
    </row>
    <row r="53" spans="1:43" x14ac:dyDescent="0.2">
      <c r="A53" s="77"/>
      <c r="B53" s="77"/>
      <c r="C53" s="77"/>
      <c r="D53" s="77"/>
      <c r="E53" s="77"/>
      <c r="F53" s="78"/>
      <c r="G53" s="78"/>
      <c r="H53" s="78"/>
      <c r="I53" s="78"/>
      <c r="J53" s="78"/>
      <c r="K53" s="77"/>
      <c r="L53" s="77"/>
      <c r="M53" s="77"/>
      <c r="N53" s="77"/>
      <c r="O53" s="77"/>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c r="AP53" s="77"/>
      <c r="AQ53" s="77"/>
    </row>
    <row r="54" spans="1:43" x14ac:dyDescent="0.2">
      <c r="A54" s="77"/>
      <c r="B54" s="77"/>
      <c r="C54" s="77"/>
      <c r="D54" s="77"/>
      <c r="E54" s="77"/>
      <c r="F54" s="78"/>
      <c r="G54" s="78"/>
      <c r="H54" s="78"/>
      <c r="I54" s="78"/>
      <c r="J54" s="78"/>
      <c r="K54" s="77"/>
      <c r="L54" s="77"/>
      <c r="M54" s="77"/>
      <c r="N54" s="77"/>
      <c r="O54" s="77"/>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c r="AP54" s="77"/>
      <c r="AQ54" s="77"/>
    </row>
    <row r="55" spans="1:43" x14ac:dyDescent="0.2">
      <c r="A55" s="77"/>
      <c r="B55" s="77"/>
      <c r="C55" s="77"/>
      <c r="D55" s="77"/>
      <c r="E55" s="77"/>
      <c r="F55" s="78"/>
      <c r="G55" s="78"/>
      <c r="H55" s="78"/>
      <c r="I55" s="78"/>
      <c r="J55" s="78"/>
      <c r="K55" s="77"/>
      <c r="L55" s="77"/>
      <c r="M55" s="77"/>
      <c r="N55" s="77"/>
      <c r="O55" s="77"/>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c r="AP55" s="77"/>
      <c r="AQ55" s="77"/>
    </row>
    <row r="56" spans="1:43" x14ac:dyDescent="0.2">
      <c r="A56" s="77"/>
      <c r="B56" s="77"/>
      <c r="C56" s="77"/>
      <c r="D56" s="77"/>
      <c r="E56" s="77"/>
      <c r="F56" s="78"/>
      <c r="G56" s="78"/>
      <c r="H56" s="78"/>
      <c r="I56" s="78"/>
      <c r="J56" s="78"/>
      <c r="K56" s="77"/>
      <c r="L56" s="77"/>
      <c r="M56" s="77"/>
      <c r="N56" s="77"/>
      <c r="O56" s="77"/>
      <c r="P56" s="77"/>
      <c r="Q56" s="77"/>
      <c r="R56" s="77"/>
      <c r="S56" s="77"/>
      <c r="T56" s="77"/>
      <c r="U56" s="77"/>
      <c r="V56" s="77"/>
      <c r="W56" s="77"/>
      <c r="X56" s="77"/>
      <c r="Y56" s="77"/>
      <c r="Z56" s="77"/>
      <c r="AA56" s="77"/>
      <c r="AB56" s="77"/>
      <c r="AC56" s="77"/>
      <c r="AD56" s="77"/>
      <c r="AE56" s="77"/>
      <c r="AF56" s="77"/>
      <c r="AG56" s="77"/>
      <c r="AH56" s="77"/>
      <c r="AI56" s="77"/>
      <c r="AJ56" s="77"/>
      <c r="AK56" s="77"/>
      <c r="AL56" s="77"/>
      <c r="AM56" s="77"/>
      <c r="AN56" s="77"/>
      <c r="AO56" s="77"/>
      <c r="AP56" s="77"/>
      <c r="AQ56" s="77"/>
    </row>
    <row r="59" spans="1:43" x14ac:dyDescent="0.2">
      <c r="A59" s="5"/>
    </row>
  </sheetData>
  <mergeCells count="2">
    <mergeCell ref="D2:G2"/>
    <mergeCell ref="K2:O2"/>
  </mergeCell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E7C43-7458-CA47-8EA5-B35A03EB36B0}">
  <dimension ref="A1:K38"/>
  <sheetViews>
    <sheetView tabSelected="1" zoomScale="88" zoomScaleNormal="88" workbookViewId="0">
      <selection activeCell="I66" sqref="I66"/>
    </sheetView>
  </sheetViews>
  <sheetFormatPr baseColWidth="10" defaultColWidth="11" defaultRowHeight="16" x14ac:dyDescent="0.2"/>
  <cols>
    <col min="1" max="1" width="18" bestFit="1" customWidth="1"/>
    <col min="2" max="2" width="16.6640625" bestFit="1" customWidth="1"/>
    <col min="3" max="3" width="16" bestFit="1" customWidth="1"/>
    <col min="4" max="7" width="16.6640625" bestFit="1" customWidth="1"/>
    <col min="8" max="8" width="11.1640625" bestFit="1" customWidth="1"/>
    <col min="9" max="9" width="23.6640625" bestFit="1" customWidth="1"/>
    <col min="10" max="10" width="10.33203125" bestFit="1" customWidth="1"/>
    <col min="11" max="11" width="29" bestFit="1" customWidth="1"/>
  </cols>
  <sheetData>
    <row r="1" spans="1:11" x14ac:dyDescent="0.2">
      <c r="A1" s="28" t="s">
        <v>83</v>
      </c>
      <c r="B1" s="28">
        <v>2023</v>
      </c>
      <c r="C1" s="28">
        <v>2024</v>
      </c>
      <c r="D1" s="28">
        <v>2025</v>
      </c>
      <c r="E1" s="28">
        <v>2026</v>
      </c>
      <c r="F1" s="28">
        <v>2027</v>
      </c>
      <c r="G1" s="28" t="s">
        <v>148</v>
      </c>
      <c r="I1" t="s">
        <v>149</v>
      </c>
      <c r="J1" s="25">
        <v>4.1000000000000002E-2</v>
      </c>
      <c r="K1" t="s">
        <v>85</v>
      </c>
    </row>
    <row r="2" spans="1:11" x14ac:dyDescent="0.2">
      <c r="A2" t="s">
        <v>86</v>
      </c>
      <c r="B2" s="1">
        <f>-('Cash Flow'!K34)+('Cash Flow'!K32)</f>
        <v>496506.97559776215</v>
      </c>
      <c r="C2" s="1">
        <f>-('Cash Flow'!L34)+('Cash Flow'!L32)</f>
        <v>547543.51433921105</v>
      </c>
      <c r="D2" s="1">
        <f>-('Cash Flow'!M34)+('Cash Flow'!M32)</f>
        <v>579950.45275742584</v>
      </c>
      <c r="E2" s="1">
        <f>-('Cash Flow'!N34)+('Cash Flow'!N32)</f>
        <v>621296.44736149418</v>
      </c>
      <c r="F2" s="1">
        <f>-('Cash Flow'!O34)+('Cash Flow'!O32)</f>
        <v>629252.41515317559</v>
      </c>
      <c r="G2" s="1">
        <f>(('Cash Flow'!O5)*(1+$J$7))+('Balance Sheet'!P35)-(('Balance Sheet'!P35)*(1+$J$7))</f>
        <v>2981308.1993593648</v>
      </c>
      <c r="I2" t="s">
        <v>150</v>
      </c>
      <c r="J2" s="25">
        <v>0.1086</v>
      </c>
      <c r="K2" t="s">
        <v>88</v>
      </c>
    </row>
    <row r="3" spans="1:11" x14ac:dyDescent="0.2">
      <c r="G3" s="1">
        <f>G2/($J$6-$J$7)</f>
        <v>79790927.078454241</v>
      </c>
      <c r="H3" s="2" t="s">
        <v>89</v>
      </c>
      <c r="I3" t="s">
        <v>151</v>
      </c>
      <c r="J3" s="25">
        <v>6.7599999999999993E-2</v>
      </c>
    </row>
    <row r="4" spans="1:11" x14ac:dyDescent="0.2">
      <c r="G4" s="1"/>
    </row>
    <row r="5" spans="1:11" x14ac:dyDescent="0.2">
      <c r="A5" t="s">
        <v>91</v>
      </c>
      <c r="B5">
        <f>(1+$J$6)</f>
        <v>1.067364</v>
      </c>
      <c r="C5">
        <f>B5^2</f>
        <v>1.139265908496</v>
      </c>
      <c r="D5">
        <f>B5^3</f>
        <v>1.2160114171559244</v>
      </c>
      <c r="E5">
        <f>B5^4</f>
        <v>1.2979268102612163</v>
      </c>
      <c r="F5">
        <f>B5^5</f>
        <v>1.3853603519076527</v>
      </c>
      <c r="G5">
        <f>F5</f>
        <v>1.3853603519076527</v>
      </c>
      <c r="I5" t="s">
        <v>92</v>
      </c>
      <c r="J5">
        <v>0.39</v>
      </c>
    </row>
    <row r="6" spans="1:11" x14ac:dyDescent="0.2">
      <c r="A6" t="s">
        <v>93</v>
      </c>
      <c r="B6" s="1">
        <f>B2/B5</f>
        <v>465171.18396138726</v>
      </c>
      <c r="C6" s="1">
        <f>C2/C5</f>
        <v>480610.81285408576</v>
      </c>
      <c r="D6" s="1">
        <f t="shared" ref="D6:F6" si="0">D2/D5</f>
        <v>476928.46018982818</v>
      </c>
      <c r="E6" s="1">
        <f t="shared" si="0"/>
        <v>478683.73043041944</v>
      </c>
      <c r="F6" s="1">
        <f t="shared" si="0"/>
        <v>454215.69506207522</v>
      </c>
      <c r="G6" s="1">
        <f>G3/G5</f>
        <v>57595792.292295262</v>
      </c>
      <c r="I6" t="s">
        <v>152</v>
      </c>
      <c r="J6" s="25">
        <f>J1+J5*(J2-J1)</f>
        <v>6.7364000000000007E-2</v>
      </c>
      <c r="K6" t="s">
        <v>95</v>
      </c>
    </row>
    <row r="7" spans="1:11" x14ac:dyDescent="0.2">
      <c r="G7" s="1"/>
      <c r="I7" t="s">
        <v>153</v>
      </c>
      <c r="J7" s="25">
        <v>0.03</v>
      </c>
    </row>
    <row r="8" spans="1:11" ht="17" thickBot="1" x14ac:dyDescent="0.25">
      <c r="A8" s="45" t="s">
        <v>96</v>
      </c>
      <c r="B8" s="47">
        <f>SUM(B6:G6)</f>
        <v>59951402.174793057</v>
      </c>
    </row>
    <row r="9" spans="1:11" ht="17" thickTop="1" x14ac:dyDescent="0.2">
      <c r="A9" t="s">
        <v>154</v>
      </c>
      <c r="B9">
        <v>226000</v>
      </c>
    </row>
    <row r="10" spans="1:11" x14ac:dyDescent="0.2">
      <c r="A10" t="s">
        <v>155</v>
      </c>
      <c r="B10" s="41">
        <f>B8/B9</f>
        <v>265.27169103890731</v>
      </c>
    </row>
    <row r="12" spans="1:11" x14ac:dyDescent="0.2">
      <c r="A12" s="28" t="s">
        <v>98</v>
      </c>
      <c r="B12" s="28">
        <v>2023</v>
      </c>
      <c r="C12" s="28">
        <v>2024</v>
      </c>
      <c r="D12" s="28">
        <v>2025</v>
      </c>
      <c r="E12" s="28">
        <v>2026</v>
      </c>
      <c r="F12" s="28">
        <v>2027</v>
      </c>
      <c r="G12" s="28" t="s">
        <v>148</v>
      </c>
    </row>
    <row r="13" spans="1:11" x14ac:dyDescent="0.2">
      <c r="A13" t="s">
        <v>99</v>
      </c>
      <c r="B13" s="1">
        <f>'Cash Flow'!K19</f>
        <v>3352169.171397402</v>
      </c>
      <c r="C13" s="1">
        <f>'Cash Flow'!L19</f>
        <v>3695085.2062131013</v>
      </c>
      <c r="D13" s="1">
        <f>'Cash Flow'!M19</f>
        <v>3984321.0860693762</v>
      </c>
      <c r="E13" s="1">
        <f>'Cash Flow'!N19</f>
        <v>4267387.244933391</v>
      </c>
      <c r="F13" s="1">
        <f>'Cash Flow'!O19</f>
        <v>4435672.6421885425</v>
      </c>
      <c r="G13" s="1">
        <f>(('Cash Flow'!O5)*(1+$J$7))+('Balance Sheet'!P35)-(('Balance Sheet'!P35)*(1+$J$7))</f>
        <v>2981308.1993593648</v>
      </c>
    </row>
    <row r="14" spans="1:11" x14ac:dyDescent="0.2">
      <c r="A14" t="s">
        <v>100</v>
      </c>
      <c r="B14" s="1">
        <f>'Cash Flow'!K23</f>
        <v>-1149290.3736320578</v>
      </c>
      <c r="C14" s="1">
        <f>'Cash Flow'!L23</f>
        <v>-1264219.4109952622</v>
      </c>
      <c r="D14" s="1">
        <f>'Cash Flow'!M23</f>
        <v>-1232876.9419947893</v>
      </c>
      <c r="E14" s="1">
        <f>'Cash Flow'!N23</f>
        <v>-1319178.3279344251</v>
      </c>
      <c r="F14" s="1">
        <f>'Cash Flow'!O23</f>
        <v>-1170688.1800585138</v>
      </c>
      <c r="G14" s="1">
        <f>G13/($J$6-$J$7)</f>
        <v>79790927.078454241</v>
      </c>
      <c r="H14" s="2" t="s">
        <v>89</v>
      </c>
    </row>
    <row r="15" spans="1:11" x14ac:dyDescent="0.2">
      <c r="A15" t="s">
        <v>101</v>
      </c>
      <c r="B15" s="1">
        <f>'Cash Flow'!K27</f>
        <v>0</v>
      </c>
      <c r="C15" s="1">
        <f>'Cash Flow'!L27</f>
        <v>355628.3599999994</v>
      </c>
      <c r="D15" s="1">
        <f>'Cash Flow'!M27</f>
        <v>369853.4944000002</v>
      </c>
      <c r="E15" s="1">
        <f>'Cash Flow'!N27</f>
        <v>384647.63417600095</v>
      </c>
      <c r="F15" s="1">
        <f>'Cash Flow'!O27</f>
        <v>400033.5395430401</v>
      </c>
    </row>
    <row r="16" spans="1:11" x14ac:dyDescent="0.2">
      <c r="A16" t="s">
        <v>102</v>
      </c>
      <c r="B16" s="1">
        <f>'Cash Flow'!K39-'Cash Flow'!K38</f>
        <v>1746624.8221675823</v>
      </c>
      <c r="C16" s="1">
        <f>'Cash Flow'!L39-'Cash Flow'!L38</f>
        <v>2283228.9408786274</v>
      </c>
      <c r="D16" s="1">
        <f>'Cash Flow'!M39-'Cash Flow'!M38</f>
        <v>2575441.4767171619</v>
      </c>
      <c r="E16" s="1">
        <f>'Cash Flow'!N39-'Cash Flow'!N38</f>
        <v>2748040.9951834716</v>
      </c>
      <c r="F16" s="1">
        <f>'Cash Flow'!O39-'Cash Flow'!O38</f>
        <v>3052494.680990994</v>
      </c>
    </row>
    <row r="17" spans="1:8" x14ac:dyDescent="0.2">
      <c r="A17" t="s">
        <v>103</v>
      </c>
      <c r="B17" s="46">
        <f>SUM(B13:B15)-B16</f>
        <v>456253.97559776204</v>
      </c>
      <c r="C17" s="46">
        <f>SUM(C13:C15)-C16</f>
        <v>503265.21433921112</v>
      </c>
      <c r="D17" s="46">
        <f t="shared" ref="D17:E17" si="1">SUM(D13:D15)-D16</f>
        <v>545856.16175742541</v>
      </c>
      <c r="E17" s="46">
        <f t="shared" si="1"/>
        <v>584815.55599149503</v>
      </c>
      <c r="F17" s="46">
        <f>SUM(F13:F15)-F16</f>
        <v>612523.32068207487</v>
      </c>
    </row>
    <row r="19" spans="1:8" x14ac:dyDescent="0.2">
      <c r="A19" t="s">
        <v>91</v>
      </c>
      <c r="B19">
        <f>(1+$J$6)</f>
        <v>1.067364</v>
      </c>
      <c r="C19">
        <f>B19^2</f>
        <v>1.139265908496</v>
      </c>
      <c r="D19">
        <f>B19^3</f>
        <v>1.2160114171559244</v>
      </c>
      <c r="E19">
        <f>B19^4</f>
        <v>1.2979268102612163</v>
      </c>
      <c r="F19">
        <f>B19^5</f>
        <v>1.3853603519076527</v>
      </c>
      <c r="G19">
        <f>F19</f>
        <v>1.3853603519076527</v>
      </c>
    </row>
    <row r="20" spans="1:8" x14ac:dyDescent="0.2">
      <c r="A20" t="s">
        <v>104</v>
      </c>
      <c r="B20" s="1">
        <f>B17/B19</f>
        <v>427458.65102979122</v>
      </c>
      <c r="C20" s="1">
        <f>C17/C19</f>
        <v>441745.17168129422</v>
      </c>
      <c r="D20" s="1">
        <f t="shared" ref="D20:F20" si="2">D17/D19</f>
        <v>448890.65518324194</v>
      </c>
      <c r="E20" s="1">
        <f t="shared" si="2"/>
        <v>450576.68226592615</v>
      </c>
      <c r="F20" s="1">
        <f t="shared" si="2"/>
        <v>442140.06835017703</v>
      </c>
      <c r="G20" s="1">
        <f>G14/G19</f>
        <v>57595792.292295262</v>
      </c>
    </row>
    <row r="21" spans="1:8" x14ac:dyDescent="0.2">
      <c r="B21" s="1"/>
      <c r="C21" s="1"/>
      <c r="D21" s="1"/>
      <c r="E21" s="1"/>
      <c r="F21" s="1"/>
      <c r="G21" s="1"/>
    </row>
    <row r="22" spans="1:8" ht="17" thickBot="1" x14ac:dyDescent="0.25">
      <c r="A22" s="45" t="s">
        <v>96</v>
      </c>
      <c r="B22" s="47">
        <f>SUM(B20:G20)</f>
        <v>59806603.520805694</v>
      </c>
    </row>
    <row r="23" spans="1:8" ht="17" thickTop="1" x14ac:dyDescent="0.2">
      <c r="A23" t="s">
        <v>154</v>
      </c>
      <c r="B23">
        <v>226000</v>
      </c>
    </row>
    <row r="24" spans="1:8" x14ac:dyDescent="0.2">
      <c r="A24" t="s">
        <v>155</v>
      </c>
      <c r="B24" s="41">
        <f>B22/B23</f>
        <v>264.63098903011371</v>
      </c>
    </row>
    <row r="26" spans="1:8" x14ac:dyDescent="0.2">
      <c r="A26" s="28" t="s">
        <v>105</v>
      </c>
      <c r="B26" s="28">
        <v>2023</v>
      </c>
      <c r="C26" s="28">
        <v>2024</v>
      </c>
      <c r="D26" s="28">
        <v>2025</v>
      </c>
      <c r="E26" s="28">
        <v>2026</v>
      </c>
      <c r="F26" s="28">
        <v>2027</v>
      </c>
      <c r="G26" s="28">
        <v>2028</v>
      </c>
    </row>
    <row r="27" spans="1:8" x14ac:dyDescent="0.2">
      <c r="A27" t="s">
        <v>106</v>
      </c>
      <c r="B27" s="1">
        <f>'Balance Sheet'!G35</f>
        <v>6261986</v>
      </c>
      <c r="C27" s="1">
        <f>'Balance Sheet'!H35</f>
        <v>8452290.2221675813</v>
      </c>
      <c r="D27" s="1">
        <f>'Balance Sheet'!J35</f>
        <v>10867938.14304621</v>
      </c>
      <c r="E27" s="1">
        <f>'Balance Sheet'!L35</f>
        <v>13449322.577163372</v>
      </c>
      <c r="F27" s="1">
        <f>'Balance Sheet'!N35</f>
        <v>16214818.141596846</v>
      </c>
      <c r="G27" s="1">
        <f>'Balance Sheet'!P35</f>
        <v>19051671.86490158</v>
      </c>
    </row>
    <row r="28" spans="1:8" x14ac:dyDescent="0.2">
      <c r="A28" t="s">
        <v>156</v>
      </c>
      <c r="B28" s="1">
        <f>'Income Statement'!G13</f>
        <v>2646558.1977653452</v>
      </c>
      <c r="C28" s="1">
        <f>'Income Statement'!H13</f>
        <v>2918913.1352178389</v>
      </c>
      <c r="D28" s="1">
        <f>'Income Statement'!I13</f>
        <v>3127240.5958745875</v>
      </c>
      <c r="E28" s="1">
        <f>'Income Statement'!J13</f>
        <v>3350311.1204249673</v>
      </c>
      <c r="F28" s="1">
        <f>'Income Statement'!K13</f>
        <v>3449377.043986809</v>
      </c>
      <c r="G28" s="1">
        <f>F28*(1+J7)</f>
        <v>3552858.3553064135</v>
      </c>
    </row>
    <row r="29" spans="1:8" x14ac:dyDescent="0.2">
      <c r="A29" t="s">
        <v>107</v>
      </c>
      <c r="B29" s="1">
        <f>B27*$J$6</f>
        <v>421832.42490400007</v>
      </c>
      <c r="C29" s="1">
        <f>C27*$J$6</f>
        <v>569380.078526097</v>
      </c>
      <c r="D29" s="1">
        <f t="shared" ref="D29:G29" si="3">D27*$J$6</f>
        <v>732107.78506816493</v>
      </c>
      <c r="E29" s="1">
        <f t="shared" si="3"/>
        <v>906000.16608803347</v>
      </c>
      <c r="F29" s="1">
        <f t="shared" si="3"/>
        <v>1092295.0092905301</v>
      </c>
      <c r="G29" s="1">
        <f t="shared" si="3"/>
        <v>1283396.8235072303</v>
      </c>
    </row>
    <row r="30" spans="1:8" x14ac:dyDescent="0.2">
      <c r="A30" t="s">
        <v>109</v>
      </c>
      <c r="B30" s="1">
        <f>B28-B29</f>
        <v>2224725.7728613452</v>
      </c>
      <c r="C30" s="1">
        <f t="shared" ref="C30:G30" si="4">C28-C29</f>
        <v>2349533.056691742</v>
      </c>
      <c r="D30" s="1">
        <f t="shared" si="4"/>
        <v>2395132.8108064225</v>
      </c>
      <c r="E30" s="1">
        <f t="shared" si="4"/>
        <v>2444310.9543369338</v>
      </c>
      <c r="F30" s="1">
        <f t="shared" si="4"/>
        <v>2357082.0346962791</v>
      </c>
      <c r="G30" s="1">
        <f t="shared" si="4"/>
        <v>2269461.5317991832</v>
      </c>
    </row>
    <row r="31" spans="1:8" x14ac:dyDescent="0.2">
      <c r="G31" s="50">
        <f>G30/($J$6-$J$7)</f>
        <v>60739255.213552691</v>
      </c>
      <c r="H31" t="s">
        <v>89</v>
      </c>
    </row>
    <row r="32" spans="1:8" x14ac:dyDescent="0.2">
      <c r="G32" s="1"/>
    </row>
    <row r="33" spans="1:7" x14ac:dyDescent="0.2">
      <c r="A33" t="s">
        <v>91</v>
      </c>
      <c r="B33" s="48">
        <f>(1+$J$6)</f>
        <v>1.067364</v>
      </c>
      <c r="C33" s="48">
        <f>B33^2</f>
        <v>1.139265908496</v>
      </c>
      <c r="D33" s="48">
        <f>B33^3</f>
        <v>1.2160114171559244</v>
      </c>
      <c r="E33" s="48">
        <f>B33^4</f>
        <v>1.2979268102612163</v>
      </c>
      <c r="F33" s="48">
        <f>B33^5</f>
        <v>1.3853603519076527</v>
      </c>
      <c r="G33" s="48">
        <f>F33</f>
        <v>1.3853603519076527</v>
      </c>
    </row>
    <row r="34" spans="1:7" x14ac:dyDescent="0.2">
      <c r="A34" t="s">
        <v>110</v>
      </c>
      <c r="B34" s="1">
        <f>B30/B33</f>
        <v>2084317.7893027544</v>
      </c>
      <c r="C34" s="1">
        <f>C30/C33</f>
        <v>2062321.9207827207</v>
      </c>
      <c r="D34" s="1">
        <f>D30/D33</f>
        <v>1969663.0944537455</v>
      </c>
      <c r="E34" s="1">
        <f>E30/E33</f>
        <v>1883242.5180006877</v>
      </c>
      <c r="F34" s="1">
        <f>F30/F33</f>
        <v>1701421.6059024336</v>
      </c>
      <c r="G34" s="1">
        <f>G31/G33</f>
        <v>43843650.592363372</v>
      </c>
    </row>
    <row r="35" spans="1:7" x14ac:dyDescent="0.2">
      <c r="B35" s="1"/>
      <c r="C35" s="1"/>
      <c r="D35" s="1"/>
      <c r="E35" s="1"/>
      <c r="F35" s="1"/>
      <c r="G35" s="1"/>
    </row>
    <row r="36" spans="1:7" ht="17" thickBot="1" x14ac:dyDescent="0.25">
      <c r="A36" s="45" t="s">
        <v>96</v>
      </c>
      <c r="B36" s="47">
        <f>SUM(B34:G34)+$B$27</f>
        <v>59806603.520805717</v>
      </c>
    </row>
    <row r="37" spans="1:7" ht="17" thickTop="1" x14ac:dyDescent="0.2">
      <c r="A37" t="s">
        <v>111</v>
      </c>
      <c r="B37">
        <v>226000</v>
      </c>
    </row>
    <row r="38" spans="1:7" x14ac:dyDescent="0.2">
      <c r="A38" t="s">
        <v>155</v>
      </c>
      <c r="B38" s="41">
        <f>B36/B37</f>
        <v>264.63098903011377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vt:lpstr>
      <vt:lpstr>2</vt:lpstr>
      <vt:lpstr>Valuation Models</vt:lpstr>
      <vt:lpstr>Income Statement</vt:lpstr>
      <vt:lpstr>Balance Sheet</vt:lpstr>
      <vt:lpstr>Cash Flow</vt:lpstr>
      <vt:lpstr>Valuation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2022-10-03T20:41:07Z</dcterms:created>
  <dcterms:modified xsi:type="dcterms:W3CDTF">2022-12-01T23:00:26Z</dcterms:modified>
  <cp:category/>
  <cp:contentStatus/>
</cp:coreProperties>
</file>