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6AD4434-461B-41DA-B99E-C5C46D620ED8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VOLUME OF FISH TRADED,BROKER" sheetId="1" r:id="rId1"/>
    <sheet name="SOURCE OF FISH UNLOADED BY.F.G" sheetId="2" r:id="rId2"/>
    <sheet name="FISH UNLOADING OVER LND VEHICLS" sheetId="3" r:id="rId3"/>
  </sheets>
  <calcPr calcId="191029"/>
</workbook>
</file>

<file path=xl/calcChain.xml><?xml version="1.0" encoding="utf-8"?>
<calcChain xmlns="http://schemas.openxmlformats.org/spreadsheetml/2006/main">
  <c r="AA124" i="3" l="1"/>
  <c r="AA115" i="3"/>
  <c r="AA116" i="3" s="1"/>
  <c r="AA112" i="3"/>
  <c r="AA113" i="3" s="1"/>
  <c r="AA85" i="3"/>
  <c r="AA82" i="3"/>
  <c r="AA79" i="3"/>
  <c r="AA80" i="3" s="1"/>
  <c r="AA69" i="3"/>
  <c r="AA64" i="3"/>
  <c r="AA63" i="3"/>
  <c r="AA61" i="3"/>
  <c r="AA60" i="3"/>
  <c r="AA58" i="3"/>
  <c r="AA57" i="3"/>
  <c r="AA56" i="3"/>
  <c r="AA55" i="3"/>
  <c r="AA52" i="3"/>
  <c r="AA51" i="3"/>
  <c r="AA50" i="3"/>
  <c r="AA48" i="3"/>
  <c r="AA47" i="3"/>
  <c r="AA46" i="3"/>
  <c r="AA45" i="3"/>
  <c r="AA44" i="3"/>
  <c r="AA29" i="3"/>
  <c r="AA28" i="3"/>
  <c r="AA27" i="3"/>
  <c r="AA26" i="3"/>
  <c r="AA25" i="3"/>
  <c r="AA23" i="3"/>
  <c r="AA22" i="3"/>
  <c r="AA20" i="3"/>
  <c r="AA19" i="3"/>
  <c r="AA17" i="3"/>
  <c r="AA13" i="3"/>
  <c r="AA12" i="3"/>
  <c r="AA11" i="3"/>
  <c r="AA10" i="3"/>
  <c r="AA9" i="3"/>
  <c r="AA8" i="3"/>
  <c r="AA7" i="3"/>
  <c r="AA6" i="3"/>
  <c r="L121" i="3"/>
  <c r="L122" i="3" s="1"/>
  <c r="L95" i="3"/>
  <c r="L100" i="3"/>
  <c r="L102" i="3" s="1"/>
  <c r="M101" i="3" s="1"/>
  <c r="L91" i="3"/>
  <c r="L92" i="3" s="1"/>
  <c r="L88" i="3"/>
  <c r="L89" i="3" s="1"/>
  <c r="L86" i="3"/>
  <c r="M85" i="3" s="1"/>
  <c r="L80" i="3"/>
  <c r="L70" i="3"/>
  <c r="L66" i="3"/>
  <c r="L14" i="3"/>
  <c r="L53" i="3"/>
  <c r="B97" i="3"/>
  <c r="B98" i="3" s="1"/>
  <c r="B91" i="3"/>
  <c r="B88" i="3"/>
  <c r="B66" i="3"/>
  <c r="B18" i="3"/>
  <c r="B105" i="3"/>
  <c r="B86" i="3"/>
  <c r="B80" i="3"/>
  <c r="B70" i="3"/>
  <c r="B53" i="3"/>
  <c r="M100" i="3" l="1"/>
  <c r="M102" i="3" s="1"/>
  <c r="B31" i="3"/>
  <c r="B89" i="3"/>
  <c r="B92" i="3"/>
  <c r="AA125" i="3" l="1"/>
  <c r="AB124" i="3" s="1"/>
  <c r="AB125" i="3" s="1"/>
  <c r="AA42" i="3"/>
  <c r="Y118" i="3"/>
  <c r="Y18" i="3"/>
  <c r="Y14" i="3"/>
  <c r="Y101" i="3"/>
  <c r="Y95" i="3"/>
  <c r="Y91" i="3"/>
  <c r="Y86" i="3"/>
  <c r="Y80" i="3"/>
  <c r="Y43" i="3"/>
  <c r="AA43" i="3" s="1"/>
  <c r="W121" i="3"/>
  <c r="W118" i="3"/>
  <c r="W14" i="3"/>
  <c r="W101" i="3"/>
  <c r="W95" i="3"/>
  <c r="W91" i="3"/>
  <c r="W92" i="3" s="1"/>
  <c r="W88" i="3"/>
  <c r="W89" i="3" s="1"/>
  <c r="W86" i="3"/>
  <c r="W80" i="3"/>
  <c r="W105" i="3"/>
  <c r="X104" i="3" s="1"/>
  <c r="X105" i="3" s="1"/>
  <c r="W53" i="3"/>
  <c r="X94" i="3" l="1"/>
  <c r="X95" i="3" s="1"/>
  <c r="X84" i="3"/>
  <c r="Z94" i="3"/>
  <c r="Z95" i="3" s="1"/>
  <c r="X42" i="3"/>
  <c r="Z79" i="3"/>
  <c r="Z80" i="3" s="1"/>
  <c r="Z82" i="3"/>
  <c r="X79" i="3"/>
  <c r="X80" i="3" s="1"/>
  <c r="X83" i="3"/>
  <c r="X86" i="3" s="1"/>
  <c r="X91" i="3"/>
  <c r="X92" i="3" s="1"/>
  <c r="Z85" i="3"/>
  <c r="X43" i="3"/>
  <c r="Y53" i="3"/>
  <c r="Z46" i="3" s="1"/>
  <c r="Y92" i="3"/>
  <c r="Z84" i="3"/>
  <c r="Z83" i="3"/>
  <c r="X88" i="3"/>
  <c r="X89" i="3" s="1"/>
  <c r="X52" i="3"/>
  <c r="X47" i="3"/>
  <c r="X49" i="3"/>
  <c r="X46" i="3"/>
  <c r="X44" i="3"/>
  <c r="U118" i="3"/>
  <c r="U21" i="3"/>
  <c r="U31" i="3" s="1"/>
  <c r="U101" i="3"/>
  <c r="U95" i="3"/>
  <c r="U92" i="3"/>
  <c r="U88" i="3"/>
  <c r="U89" i="3" s="1"/>
  <c r="U86" i="3"/>
  <c r="U80" i="3"/>
  <c r="U66" i="3"/>
  <c r="U53" i="3"/>
  <c r="V58" i="3" l="1"/>
  <c r="V79" i="3"/>
  <c r="V80" i="3" s="1"/>
  <c r="V94" i="3"/>
  <c r="V95" i="3" s="1"/>
  <c r="V84" i="3"/>
  <c r="Z91" i="3"/>
  <c r="Z92" i="3" s="1"/>
  <c r="V52" i="3"/>
  <c r="V88" i="3"/>
  <c r="V89" i="3" s="1"/>
  <c r="V91" i="3"/>
  <c r="V92" i="3" s="1"/>
  <c r="V20" i="3"/>
  <c r="V26" i="3"/>
  <c r="Z86" i="3"/>
  <c r="Z42" i="3"/>
  <c r="Z52" i="3"/>
  <c r="Z47" i="3"/>
  <c r="Z43" i="3"/>
  <c r="V83" i="3"/>
  <c r="V86" i="3" s="1"/>
  <c r="V43" i="3"/>
  <c r="V56" i="3"/>
  <c r="Z44" i="3"/>
  <c r="S116" i="3"/>
  <c r="S113" i="3"/>
  <c r="S98" i="3"/>
  <c r="S95" i="3"/>
  <c r="S86" i="3"/>
  <c r="S80" i="3"/>
  <c r="S70" i="3"/>
  <c r="S53" i="3"/>
  <c r="S121" i="3"/>
  <c r="S122" i="3" s="1"/>
  <c r="S118" i="3"/>
  <c r="S119" i="3" s="1"/>
  <c r="S14" i="3"/>
  <c r="S31" i="3" s="1"/>
  <c r="S101" i="3"/>
  <c r="S91" i="3"/>
  <c r="S88" i="3"/>
  <c r="S89" i="3" s="1"/>
  <c r="S62" i="3"/>
  <c r="S66" i="3" s="1"/>
  <c r="Q118" i="3"/>
  <c r="Q14" i="3"/>
  <c r="Q100" i="3"/>
  <c r="Q94" i="3"/>
  <c r="AA94" i="3" s="1"/>
  <c r="AA95" i="3" s="1"/>
  <c r="Q91" i="3"/>
  <c r="Q89" i="3"/>
  <c r="R88" i="3" s="1"/>
  <c r="R89" i="3" s="1"/>
  <c r="Q86" i="3"/>
  <c r="R83" i="3" s="1"/>
  <c r="Q104" i="3"/>
  <c r="Q80" i="3"/>
  <c r="R79" i="3" s="1"/>
  <c r="R80" i="3" s="1"/>
  <c r="Q59" i="3"/>
  <c r="AA59" i="3" s="1"/>
  <c r="Q68" i="3"/>
  <c r="AA68" i="3" s="1"/>
  <c r="AA70" i="3" s="1"/>
  <c r="Q53" i="3"/>
  <c r="T13" i="3" l="1"/>
  <c r="T84" i="3"/>
  <c r="T115" i="3"/>
  <c r="T116" i="3" s="1"/>
  <c r="R52" i="3"/>
  <c r="T56" i="3"/>
  <c r="T52" i="3"/>
  <c r="T94" i="3"/>
  <c r="T95" i="3" s="1"/>
  <c r="T69" i="3"/>
  <c r="T97" i="3"/>
  <c r="T98" i="3" s="1"/>
  <c r="T79" i="3"/>
  <c r="T80" i="3" s="1"/>
  <c r="T112" i="3"/>
  <c r="T113" i="3" s="1"/>
  <c r="T68" i="3"/>
  <c r="R84" i="3"/>
  <c r="R86" i="3" s="1"/>
  <c r="Q95" i="3"/>
  <c r="S92" i="3"/>
  <c r="T42" i="3"/>
  <c r="R43" i="3"/>
  <c r="T43" i="3"/>
  <c r="S102" i="3"/>
  <c r="T88" i="3"/>
  <c r="T89" i="3" s="1"/>
  <c r="T83" i="3"/>
  <c r="T86" i="3" s="1"/>
  <c r="T47" i="3"/>
  <c r="T46" i="3"/>
  <c r="T45" i="3"/>
  <c r="T44" i="3"/>
  <c r="R42" i="3"/>
  <c r="R51" i="3"/>
  <c r="R47" i="3"/>
  <c r="R50" i="3"/>
  <c r="R45" i="3"/>
  <c r="R44" i="3"/>
  <c r="O14" i="3"/>
  <c r="O30" i="3"/>
  <c r="O62" i="3"/>
  <c r="AA62" i="3" s="1"/>
  <c r="O53" i="3"/>
  <c r="O70" i="3"/>
  <c r="O80" i="3"/>
  <c r="O116" i="3"/>
  <c r="O91" i="3"/>
  <c r="O92" i="3" s="1"/>
  <c r="Q122" i="3"/>
  <c r="R121" i="3" s="1"/>
  <c r="R122" i="3" s="1"/>
  <c r="Q119" i="3"/>
  <c r="R118" i="3" s="1"/>
  <c r="R119" i="3" s="1"/>
  <c r="Q116" i="3"/>
  <c r="R115" i="3" s="1"/>
  <c r="R116" i="3" s="1"/>
  <c r="Q31" i="3"/>
  <c r="O121" i="3"/>
  <c r="O122" i="3" s="1"/>
  <c r="O84" i="3"/>
  <c r="AA84" i="3" s="1"/>
  <c r="O88" i="3"/>
  <c r="O89" i="3" s="1"/>
  <c r="Q92" i="3"/>
  <c r="O100" i="3"/>
  <c r="O104" i="3"/>
  <c r="AA104" i="3" s="1"/>
  <c r="AA105" i="3" s="1"/>
  <c r="O118" i="3"/>
  <c r="O119" i="3" s="1"/>
  <c r="P91" i="3" l="1"/>
  <c r="P92" i="3" s="1"/>
  <c r="T101" i="3"/>
  <c r="T91" i="3"/>
  <c r="T92" i="3" s="1"/>
  <c r="R94" i="3"/>
  <c r="R95" i="3" s="1"/>
  <c r="P79" i="3"/>
  <c r="P80" i="3" s="1"/>
  <c r="P69" i="3"/>
  <c r="T70" i="3"/>
  <c r="R91" i="3"/>
  <c r="R92" i="3" s="1"/>
  <c r="P43" i="3"/>
  <c r="T53" i="3"/>
  <c r="R28" i="3"/>
  <c r="R30" i="3"/>
  <c r="O105" i="3"/>
  <c r="P104" i="3" s="1"/>
  <c r="P105" i="3" s="1"/>
  <c r="O86" i="3"/>
  <c r="S128" i="3"/>
  <c r="O66" i="3"/>
  <c r="R24" i="3"/>
  <c r="R27" i="3"/>
  <c r="R21" i="3"/>
  <c r="R23" i="3"/>
  <c r="R18" i="3"/>
  <c r="R19" i="3"/>
  <c r="R15" i="3"/>
  <c r="R16" i="3"/>
  <c r="R12" i="3"/>
  <c r="R13" i="3"/>
  <c r="R9" i="3"/>
  <c r="R10" i="3"/>
  <c r="R7" i="3"/>
  <c r="R8" i="3"/>
  <c r="R14" i="3"/>
  <c r="R6" i="3"/>
  <c r="R53" i="3"/>
  <c r="O102" i="3"/>
  <c r="O31" i="3"/>
  <c r="P88" i="3"/>
  <c r="P89" i="3" s="1"/>
  <c r="L118" i="3"/>
  <c r="L98" i="3"/>
  <c r="L30" i="3"/>
  <c r="AA30" i="3" s="1"/>
  <c r="L21" i="3"/>
  <c r="L31" i="3" s="1"/>
  <c r="M94" i="3"/>
  <c r="M95" i="3" s="1"/>
  <c r="M91" i="3"/>
  <c r="M92" i="3" s="1"/>
  <c r="M88" i="3"/>
  <c r="M89" i="3" s="1"/>
  <c r="C85" i="3"/>
  <c r="M84" i="3"/>
  <c r="M79" i="3"/>
  <c r="M80" i="3" s="1"/>
  <c r="J118" i="3"/>
  <c r="J98" i="3"/>
  <c r="J24" i="3"/>
  <c r="J21" i="3"/>
  <c r="J18" i="3"/>
  <c r="AA18" i="3" s="1"/>
  <c r="J101" i="3"/>
  <c r="J91" i="3"/>
  <c r="J92" i="3" s="1"/>
  <c r="J88" i="3"/>
  <c r="J89" i="3" s="1"/>
  <c r="J83" i="3"/>
  <c r="AA83" i="3" s="1"/>
  <c r="AA86" i="3" s="1"/>
  <c r="J80" i="3"/>
  <c r="J49" i="3"/>
  <c r="AA49" i="3" s="1"/>
  <c r="AA53" i="3" s="1"/>
  <c r="K79" i="3" l="1"/>
  <c r="K80" i="3" s="1"/>
  <c r="K97" i="3"/>
  <c r="K98" i="3" s="1"/>
  <c r="AA21" i="3"/>
  <c r="M97" i="3"/>
  <c r="M98" i="3" s="1"/>
  <c r="P100" i="3"/>
  <c r="K91" i="3"/>
  <c r="K92" i="3" s="1"/>
  <c r="P83" i="3"/>
  <c r="P56" i="3"/>
  <c r="M83" i="3"/>
  <c r="M86" i="3" s="1"/>
  <c r="P82" i="3"/>
  <c r="P84" i="3"/>
  <c r="O128" i="3"/>
  <c r="J53" i="3"/>
  <c r="J86" i="3"/>
  <c r="R31" i="3"/>
  <c r="K88" i="3"/>
  <c r="K89" i="3" s="1"/>
  <c r="H98" i="3"/>
  <c r="H95" i="3"/>
  <c r="H66" i="3"/>
  <c r="H53" i="3"/>
  <c r="H91" i="3"/>
  <c r="H92" i="3" s="1"/>
  <c r="H118" i="3"/>
  <c r="H24" i="3"/>
  <c r="H31" i="3" s="1"/>
  <c r="H100" i="3"/>
  <c r="H88" i="3"/>
  <c r="H89" i="3" s="1"/>
  <c r="H80" i="3"/>
  <c r="F14" i="3"/>
  <c r="F31" i="3" s="1"/>
  <c r="F122" i="3"/>
  <c r="F119" i="3"/>
  <c r="G30" i="3" l="1"/>
  <c r="I30" i="3"/>
  <c r="I57" i="3"/>
  <c r="I79" i="3"/>
  <c r="I80" i="3" s="1"/>
  <c r="I94" i="3"/>
  <c r="I95" i="3" s="1"/>
  <c r="K83" i="3"/>
  <c r="K86" i="3" s="1"/>
  <c r="G118" i="3"/>
  <c r="I97" i="3"/>
  <c r="I98" i="3" s="1"/>
  <c r="K52" i="3"/>
  <c r="G121" i="3"/>
  <c r="I43" i="3"/>
  <c r="M30" i="3"/>
  <c r="P86" i="3"/>
  <c r="K43" i="3"/>
  <c r="H102" i="3"/>
  <c r="I56" i="3"/>
  <c r="I91" i="3"/>
  <c r="I92" i="3" s="1"/>
  <c r="I88" i="3"/>
  <c r="I89" i="3" s="1"/>
  <c r="G6" i="3"/>
  <c r="G24" i="3"/>
  <c r="G27" i="3"/>
  <c r="G23" i="3"/>
  <c r="G21" i="3"/>
  <c r="G22" i="3"/>
  <c r="G18" i="3"/>
  <c r="G19" i="3"/>
  <c r="G16" i="3"/>
  <c r="G15" i="3"/>
  <c r="G10" i="3"/>
  <c r="G13" i="3"/>
  <c r="G7" i="3"/>
  <c r="G8" i="3"/>
  <c r="F101" i="3"/>
  <c r="AA101" i="3" s="1"/>
  <c r="F95" i="3"/>
  <c r="F91" i="3"/>
  <c r="F92" i="3" s="1"/>
  <c r="F88" i="3"/>
  <c r="F89" i="3" s="1"/>
  <c r="F86" i="3"/>
  <c r="F80" i="3"/>
  <c r="F70" i="3"/>
  <c r="F53" i="3"/>
  <c r="D121" i="3"/>
  <c r="D122" i="3" s="1"/>
  <c r="D118" i="3"/>
  <c r="D100" i="3"/>
  <c r="D102" i="3" s="1"/>
  <c r="D97" i="3"/>
  <c r="D91" i="3"/>
  <c r="D53" i="3"/>
  <c r="D70" i="3"/>
  <c r="D80" i="3"/>
  <c r="D86" i="3"/>
  <c r="D95" i="3"/>
  <c r="D105" i="3"/>
  <c r="E104" i="3" s="1"/>
  <c r="D125" i="3"/>
  <c r="D24" i="3"/>
  <c r="AA24" i="3" s="1"/>
  <c r="D88" i="3"/>
  <c r="D14" i="3"/>
  <c r="AA14" i="3" s="1"/>
  <c r="E124" i="3"/>
  <c r="E125" i="3" s="1"/>
  <c r="D16" i="3"/>
  <c r="AA16" i="3" s="1"/>
  <c r="D15" i="3"/>
  <c r="AA15" i="3" s="1"/>
  <c r="D65" i="3"/>
  <c r="AA65" i="3" s="1"/>
  <c r="AA66" i="3" s="1"/>
  <c r="AA31" i="3" l="1"/>
  <c r="E79" i="3"/>
  <c r="E80" i="3" s="1"/>
  <c r="D98" i="3"/>
  <c r="AA97" i="3"/>
  <c r="AA98" i="3" s="1"/>
  <c r="G47" i="3"/>
  <c r="E68" i="3"/>
  <c r="G68" i="3"/>
  <c r="G70" i="3" s="1"/>
  <c r="I100" i="3"/>
  <c r="D89" i="3"/>
  <c r="AA88" i="3"/>
  <c r="AA89" i="3" s="1"/>
  <c r="E94" i="3"/>
  <c r="E95" i="3" s="1"/>
  <c r="G79" i="3"/>
  <c r="G80" i="3" s="1"/>
  <c r="G94" i="3"/>
  <c r="G95" i="3" s="1"/>
  <c r="E83" i="3"/>
  <c r="E86" i="3" s="1"/>
  <c r="AA91" i="3"/>
  <c r="AA92" i="3" s="1"/>
  <c r="E121" i="3"/>
  <c r="G83" i="3"/>
  <c r="G86" i="3" s="1"/>
  <c r="F102" i="3"/>
  <c r="D66" i="3"/>
  <c r="D31" i="3"/>
  <c r="G43" i="3"/>
  <c r="D119" i="3"/>
  <c r="D92" i="3"/>
  <c r="G52" i="3"/>
  <c r="G88" i="3"/>
  <c r="G89" i="3" s="1"/>
  <c r="G91" i="3"/>
  <c r="G92" i="3" s="1"/>
  <c r="G49" i="3"/>
  <c r="G45" i="3"/>
  <c r="C104" i="3"/>
  <c r="C56" i="3"/>
  <c r="B100" i="3"/>
  <c r="B118" i="3"/>
  <c r="B121" i="3"/>
  <c r="AA100" i="3" l="1"/>
  <c r="AA102" i="3" s="1"/>
  <c r="B102" i="3"/>
  <c r="E30" i="3"/>
  <c r="E88" i="3"/>
  <c r="E89" i="3" s="1"/>
  <c r="E91" i="3"/>
  <c r="E92" i="3" s="1"/>
  <c r="E56" i="3"/>
  <c r="AA121" i="3"/>
  <c r="AA122" i="3" s="1"/>
  <c r="B122" i="3"/>
  <c r="E97" i="3"/>
  <c r="E98" i="3" s="1"/>
  <c r="G101" i="3"/>
  <c r="AA118" i="3"/>
  <c r="AA119" i="3" s="1"/>
  <c r="B119" i="3"/>
  <c r="C118" i="3" s="1"/>
  <c r="C29" i="3"/>
  <c r="D128" i="3"/>
  <c r="E118" i="3"/>
  <c r="C97" i="3"/>
  <c r="C98" i="3" s="1"/>
  <c r="C84" i="3"/>
  <c r="C91" i="3"/>
  <c r="C92" i="3" s="1"/>
  <c r="C83" i="3"/>
  <c r="C79" i="3"/>
  <c r="C80" i="3" s="1"/>
  <c r="C69" i="3"/>
  <c r="C52" i="3"/>
  <c r="B128" i="3" l="1"/>
  <c r="B130" i="3" s="1"/>
  <c r="C86" i="3"/>
  <c r="C88" i="3" l="1"/>
  <c r="C89" i="3" s="1"/>
  <c r="Y70" i="3"/>
  <c r="U70" i="3"/>
  <c r="Q70" i="3"/>
  <c r="M69" i="3"/>
  <c r="J70" i="3"/>
  <c r="R69" i="3" l="1"/>
  <c r="K69" i="3"/>
  <c r="Z69" i="3"/>
  <c r="V69" i="3"/>
  <c r="Z68" i="3"/>
  <c r="V68" i="3"/>
  <c r="R68" i="3"/>
  <c r="P68" i="3"/>
  <c r="M68" i="3"/>
  <c r="K68" i="3"/>
  <c r="C68" i="3"/>
  <c r="Y66" i="3"/>
  <c r="T60" i="3"/>
  <c r="Q66" i="3"/>
  <c r="J66" i="3"/>
  <c r="I60" i="3"/>
  <c r="E64" i="3"/>
  <c r="C64" i="3"/>
  <c r="K56" i="3" l="1"/>
  <c r="R60" i="3"/>
  <c r="R56" i="3"/>
  <c r="Z60" i="3"/>
  <c r="Z56" i="3"/>
  <c r="Z62" i="3"/>
  <c r="Z64" i="3"/>
  <c r="Z61" i="3"/>
  <c r="Z65" i="3"/>
  <c r="Z59" i="3"/>
  <c r="V64" i="3"/>
  <c r="V60" i="3"/>
  <c r="V65" i="3"/>
  <c r="V62" i="3"/>
  <c r="V59" i="3"/>
  <c r="T62" i="3"/>
  <c r="T64" i="3"/>
  <c r="T65" i="3"/>
  <c r="R62" i="3"/>
  <c r="R64" i="3"/>
  <c r="R65" i="3"/>
  <c r="R57" i="3"/>
  <c r="R59" i="3"/>
  <c r="P64" i="3"/>
  <c r="P60" i="3"/>
  <c r="P57" i="3"/>
  <c r="P62" i="3"/>
  <c r="P59" i="3"/>
  <c r="P65" i="3"/>
  <c r="P55" i="3"/>
  <c r="K64" i="3"/>
  <c r="K60" i="3"/>
  <c r="K65" i="3"/>
  <c r="K62" i="3"/>
  <c r="K61" i="3"/>
  <c r="I62" i="3"/>
  <c r="I64" i="3"/>
  <c r="I61" i="3"/>
  <c r="I65" i="3"/>
  <c r="I55" i="3"/>
  <c r="E65" i="3"/>
  <c r="E62" i="3"/>
  <c r="E61" i="3"/>
  <c r="C65" i="3"/>
  <c r="C62" i="3"/>
  <c r="C61" i="3"/>
  <c r="Y102" i="3"/>
  <c r="Y122" i="3"/>
  <c r="Y119" i="3"/>
  <c r="Y31" i="3"/>
  <c r="W102" i="3"/>
  <c r="W113" i="3"/>
  <c r="W70" i="3"/>
  <c r="W31" i="3"/>
  <c r="W122" i="3"/>
  <c r="W119" i="3"/>
  <c r="W66" i="3"/>
  <c r="X101" i="3" l="1"/>
  <c r="Z100" i="3"/>
  <c r="X69" i="3"/>
  <c r="T66" i="3"/>
  <c r="V66" i="3"/>
  <c r="X121" i="3"/>
  <c r="Z118" i="3"/>
  <c r="X60" i="3"/>
  <c r="X56" i="3"/>
  <c r="X28" i="3"/>
  <c r="X30" i="3"/>
  <c r="X112" i="3"/>
  <c r="Z27" i="3"/>
  <c r="Z30" i="3"/>
  <c r="Z121" i="3"/>
  <c r="Z23" i="3"/>
  <c r="Z24" i="3"/>
  <c r="Z16" i="3"/>
  <c r="Z19" i="3"/>
  <c r="Z13" i="3"/>
  <c r="Z15" i="3"/>
  <c r="Z9" i="3"/>
  <c r="Z12" i="3"/>
  <c r="Z7" i="3"/>
  <c r="Z8" i="3"/>
  <c r="Z18" i="3"/>
  <c r="Z6" i="3"/>
  <c r="Z14" i="3"/>
  <c r="Z101" i="3"/>
  <c r="Z102" i="3" s="1"/>
  <c r="X118" i="3"/>
  <c r="X26" i="3"/>
  <c r="X27" i="3"/>
  <c r="X23" i="3"/>
  <c r="X24" i="3"/>
  <c r="X19" i="3"/>
  <c r="X21" i="3"/>
  <c r="X16" i="3"/>
  <c r="X18" i="3"/>
  <c r="X13" i="3"/>
  <c r="X15" i="3"/>
  <c r="X10" i="3"/>
  <c r="X12" i="3"/>
  <c r="X8" i="3"/>
  <c r="X9" i="3"/>
  <c r="X6" i="3"/>
  <c r="X7" i="3"/>
  <c r="X14" i="3"/>
  <c r="X62" i="3"/>
  <c r="X64" i="3"/>
  <c r="X61" i="3"/>
  <c r="X65" i="3"/>
  <c r="X59" i="3"/>
  <c r="X68" i="3"/>
  <c r="V47" i="3"/>
  <c r="V44" i="3"/>
  <c r="V49" i="3"/>
  <c r="V42" i="3"/>
  <c r="V48" i="3"/>
  <c r="V53" i="3" l="1"/>
  <c r="T118" i="3"/>
  <c r="T119" i="3" s="1"/>
  <c r="T100" i="3"/>
  <c r="T102" i="3" s="1"/>
  <c r="S105" i="3"/>
  <c r="P30" i="3"/>
  <c r="T121" i="3" l="1"/>
  <c r="T122" i="3" s="1"/>
  <c r="P27" i="3"/>
  <c r="P28" i="3"/>
  <c r="P23" i="3"/>
  <c r="P24" i="3"/>
  <c r="P19" i="3"/>
  <c r="P21" i="3"/>
  <c r="P16" i="3"/>
  <c r="P18" i="3"/>
  <c r="P14" i="3"/>
  <c r="P15" i="3"/>
  <c r="P12" i="3"/>
  <c r="P13" i="3"/>
  <c r="P8" i="3"/>
  <c r="P10" i="3"/>
  <c r="P6" i="3"/>
  <c r="P7" i="3"/>
  <c r="T105" i="3"/>
  <c r="O113" i="3"/>
  <c r="P51" i="3" l="1"/>
  <c r="P52" i="3"/>
  <c r="P49" i="3"/>
  <c r="P50" i="3"/>
  <c r="P45" i="3"/>
  <c r="P47" i="3"/>
  <c r="P44" i="3"/>
  <c r="M28" i="3"/>
  <c r="M43" i="3"/>
  <c r="M105" i="3"/>
  <c r="L119" i="3"/>
  <c r="M118" i="3" l="1"/>
  <c r="M121" i="3"/>
  <c r="M24" i="3"/>
  <c r="M27" i="3"/>
  <c r="M19" i="3"/>
  <c r="M23" i="3"/>
  <c r="M17" i="3"/>
  <c r="M18" i="3"/>
  <c r="M15" i="3"/>
  <c r="M16" i="3"/>
  <c r="M10" i="3"/>
  <c r="M13" i="3"/>
  <c r="M7" i="3"/>
  <c r="M8" i="3"/>
  <c r="M21" i="3"/>
  <c r="M6" i="3"/>
  <c r="M14" i="3"/>
  <c r="M51" i="3"/>
  <c r="M52" i="3"/>
  <c r="M47" i="3"/>
  <c r="M50" i="3"/>
  <c r="M45" i="3"/>
  <c r="M46" i="3"/>
  <c r="M44" i="3"/>
  <c r="M56" i="3"/>
  <c r="M64" i="3" l="1"/>
  <c r="M60" i="3"/>
  <c r="M31" i="3"/>
  <c r="M65" i="3"/>
  <c r="M62" i="3"/>
  <c r="M59" i="3"/>
  <c r="K49" i="3"/>
  <c r="K50" i="3"/>
  <c r="K47" i="3"/>
  <c r="K44" i="3"/>
  <c r="K45" i="3"/>
  <c r="K46" i="3"/>
  <c r="I52" i="3"/>
  <c r="F113" i="3"/>
  <c r="F105" i="3"/>
  <c r="G105" i="3" s="1"/>
  <c r="E27" i="3"/>
  <c r="AB42" i="3"/>
  <c r="I47" i="3" l="1"/>
  <c r="I49" i="3"/>
  <c r="I45" i="3"/>
  <c r="I46" i="3"/>
  <c r="I44" i="3"/>
  <c r="I27" i="3"/>
  <c r="I28" i="3"/>
  <c r="I22" i="3"/>
  <c r="I23" i="3"/>
  <c r="I21" i="3"/>
  <c r="I24" i="3"/>
  <c r="I17" i="3"/>
  <c r="I18" i="3"/>
  <c r="I15" i="3"/>
  <c r="I16" i="3"/>
  <c r="I13" i="3"/>
  <c r="I14" i="3"/>
  <c r="I9" i="3"/>
  <c r="I10" i="3"/>
  <c r="I7" i="3"/>
  <c r="I8" i="3"/>
  <c r="I6" i="3"/>
  <c r="G14" i="3"/>
  <c r="G31" i="3" s="1"/>
  <c r="G44" i="3"/>
  <c r="E23" i="3"/>
  <c r="E24" i="3"/>
  <c r="E19" i="3"/>
  <c r="E21" i="3"/>
  <c r="E17" i="3"/>
  <c r="E18" i="3"/>
  <c r="E15" i="3"/>
  <c r="E16" i="3"/>
  <c r="E13" i="3"/>
  <c r="E14" i="3"/>
  <c r="E10" i="3"/>
  <c r="E12" i="3"/>
  <c r="E8" i="3"/>
  <c r="E9" i="3"/>
  <c r="E6" i="3"/>
  <c r="E7" i="3"/>
  <c r="C28" i="3"/>
  <c r="C30" i="3"/>
  <c r="C25" i="3"/>
  <c r="C27" i="3"/>
  <c r="C23" i="3"/>
  <c r="C24" i="3"/>
  <c r="C19" i="3"/>
  <c r="C21" i="3"/>
  <c r="C14" i="3"/>
  <c r="C16" i="3"/>
  <c r="C12" i="3"/>
  <c r="C13" i="3"/>
  <c r="C8" i="3"/>
  <c r="C10" i="3"/>
  <c r="C6" i="3"/>
  <c r="C7" i="3"/>
  <c r="C18" i="3"/>
  <c r="C49" i="3"/>
  <c r="C51" i="3"/>
  <c r="C46" i="3"/>
  <c r="C47" i="3"/>
  <c r="C44" i="3"/>
  <c r="F66" i="3"/>
  <c r="AB101" i="3"/>
  <c r="AB69" i="3"/>
  <c r="H70" i="3"/>
  <c r="G56" i="3" l="1"/>
  <c r="F128" i="3"/>
  <c r="G62" i="3"/>
  <c r="G64" i="3"/>
  <c r="G61" i="3"/>
  <c r="G65" i="3"/>
  <c r="G63" i="3"/>
  <c r="E51" i="3"/>
  <c r="E52" i="3"/>
  <c r="E31" i="3"/>
  <c r="E48" i="3"/>
  <c r="E49" i="3"/>
  <c r="E44" i="3"/>
  <c r="E46" i="3"/>
  <c r="AD53" i="3"/>
  <c r="AD70" i="3"/>
  <c r="AB88" i="3"/>
  <c r="AB51" i="3"/>
  <c r="AB44" i="3"/>
  <c r="U102" i="3" l="1"/>
  <c r="U105" i="3"/>
  <c r="V104" i="3" s="1"/>
  <c r="V100" i="3" l="1"/>
  <c r="V28" i="3"/>
  <c r="V30" i="3"/>
  <c r="V24" i="3"/>
  <c r="V27" i="3"/>
  <c r="V19" i="3"/>
  <c r="V23" i="3"/>
  <c r="V16" i="3"/>
  <c r="V18" i="3"/>
  <c r="V14" i="3"/>
  <c r="V15" i="3"/>
  <c r="V10" i="3"/>
  <c r="V13" i="3"/>
  <c r="V8" i="3"/>
  <c r="V9" i="3"/>
  <c r="V6" i="3"/>
  <c r="V7" i="3"/>
  <c r="V21" i="3"/>
  <c r="V101" i="3"/>
  <c r="V105" i="3"/>
  <c r="V31" i="3" l="1"/>
  <c r="Q113" i="3"/>
  <c r="Q105" i="3"/>
  <c r="R104" i="3" s="1"/>
  <c r="Q102" i="3"/>
  <c r="R100" i="3" l="1"/>
  <c r="Q128" i="3"/>
  <c r="P121" i="3"/>
  <c r="P118" i="3"/>
  <c r="R102" i="3"/>
  <c r="L113" i="3" l="1"/>
  <c r="L105" i="3"/>
  <c r="J105" i="3" l="1"/>
  <c r="K105" i="3" s="1"/>
  <c r="J122" i="3"/>
  <c r="J119" i="3"/>
  <c r="J113" i="3"/>
  <c r="J102" i="3"/>
  <c r="J31" i="3"/>
  <c r="K101" i="3" l="1"/>
  <c r="K121" i="3"/>
  <c r="K30" i="3"/>
  <c r="J128" i="3"/>
  <c r="K118" i="3"/>
  <c r="K23" i="3"/>
  <c r="K27" i="3"/>
  <c r="K19" i="3"/>
  <c r="K24" i="3"/>
  <c r="K15" i="3"/>
  <c r="K16" i="3"/>
  <c r="K13" i="3"/>
  <c r="K14" i="3"/>
  <c r="K8" i="3"/>
  <c r="K10" i="3"/>
  <c r="K6" i="3"/>
  <c r="K7" i="3"/>
  <c r="K18" i="3"/>
  <c r="K21" i="3"/>
  <c r="E105" i="3" l="1"/>
  <c r="AD100" i="3" l="1"/>
  <c r="AD61" i="3" l="1"/>
  <c r="R105" i="3" l="1"/>
  <c r="P102" i="3" l="1"/>
  <c r="H105" i="3" l="1"/>
  <c r="AB104" i="3" l="1"/>
  <c r="AD105" i="3"/>
  <c r="I105" i="3"/>
  <c r="H113" i="3"/>
  <c r="H119" i="3"/>
  <c r="H122" i="3"/>
  <c r="I112" i="3" l="1"/>
  <c r="H128" i="3"/>
  <c r="H129" i="3" s="1"/>
  <c r="I121" i="3"/>
  <c r="I122" i="3" s="1"/>
  <c r="I118" i="3"/>
  <c r="I119" i="3" s="1"/>
  <c r="I102" i="3"/>
  <c r="I70" i="3"/>
  <c r="AB105" i="3" l="1"/>
  <c r="I66" i="3"/>
  <c r="I31" i="3"/>
  <c r="I53" i="3"/>
  <c r="I113" i="3"/>
  <c r="E100" i="3" l="1"/>
  <c r="C100" i="3" l="1"/>
  <c r="B113" i="3"/>
  <c r="C121" i="3" l="1"/>
  <c r="AD80" i="3"/>
  <c r="C102" i="3"/>
  <c r="AD127" i="3" l="1"/>
  <c r="P70" i="3" l="1"/>
  <c r="P53" i="3"/>
  <c r="M70" i="3" l="1"/>
  <c r="H116" i="3" l="1"/>
  <c r="I116" i="3" l="1"/>
  <c r="K53" i="3"/>
  <c r="F116" i="3"/>
  <c r="G116" i="3" l="1"/>
  <c r="H130" i="3"/>
  <c r="D116" i="3"/>
  <c r="B116" i="3"/>
  <c r="C116" i="3" l="1"/>
  <c r="Y116" i="3"/>
  <c r="Z115" i="3" l="1"/>
  <c r="Y128" i="3"/>
  <c r="AB84" i="3"/>
  <c r="AB79" i="3" l="1"/>
  <c r="W116" i="3"/>
  <c r="X115" i="3" l="1"/>
  <c r="W128" i="3"/>
  <c r="AB58" i="3"/>
  <c r="AB63" i="3"/>
  <c r="AB64" i="3"/>
  <c r="AB61" i="3"/>
  <c r="AB57" i="3"/>
  <c r="AB59" i="3"/>
  <c r="AB60" i="3"/>
  <c r="AB62" i="3"/>
  <c r="AB55" i="3"/>
  <c r="AB65" i="3"/>
  <c r="AB56" i="3"/>
  <c r="X102" i="3"/>
  <c r="U116" i="3"/>
  <c r="P115" i="3" l="1"/>
  <c r="L116" i="3" l="1"/>
  <c r="M115" i="3" l="1"/>
  <c r="M116" i="3" s="1"/>
  <c r="AB20" i="3"/>
  <c r="AB29" i="3"/>
  <c r="AB26" i="3"/>
  <c r="L128" i="3"/>
  <c r="AB11" i="3"/>
  <c r="AB22" i="3"/>
  <c r="AB28" i="3"/>
  <c r="AB82" i="3"/>
  <c r="AB97" i="3" l="1"/>
  <c r="AB115" i="3" l="1"/>
  <c r="AB116" i="3" s="1"/>
  <c r="AB98" i="3"/>
  <c r="Z53" i="3" l="1"/>
  <c r="J116" i="3"/>
  <c r="K116" i="3"/>
  <c r="E116" i="3"/>
  <c r="AD116" i="3" l="1"/>
  <c r="O130" i="3"/>
  <c r="P113" i="3"/>
  <c r="V116" i="3"/>
  <c r="P66" i="3" l="1"/>
  <c r="P116" i="3"/>
  <c r="K102" i="3"/>
  <c r="X116" i="3"/>
  <c r="Z116" i="3"/>
  <c r="G102" i="3" l="1"/>
  <c r="E102" i="3" l="1"/>
  <c r="C31" i="3" l="1"/>
  <c r="V102" i="3" l="1"/>
  <c r="AD102" i="3" l="1"/>
  <c r="M113" i="3" l="1"/>
  <c r="M119" i="3"/>
  <c r="U122" i="3"/>
  <c r="AD122" i="3" l="1"/>
  <c r="V121" i="3"/>
  <c r="V122" i="3" s="1"/>
  <c r="M122" i="3"/>
  <c r="P122" i="3"/>
  <c r="Z122" i="3"/>
  <c r="X122" i="3"/>
  <c r="K122" i="3"/>
  <c r="G122" i="3"/>
  <c r="E122" i="3"/>
  <c r="C122" i="3"/>
  <c r="AB121" i="3"/>
  <c r="AB122" i="3" s="1"/>
  <c r="AB68" i="3" l="1"/>
  <c r="AB70" i="3" s="1"/>
  <c r="M66" i="3"/>
  <c r="M53" i="3"/>
  <c r="AB100" i="3"/>
  <c r="AB102" i="3" s="1"/>
  <c r="AB85" i="3"/>
  <c r="Y113" i="3"/>
  <c r="AA128" i="3" l="1"/>
  <c r="J130" i="3"/>
  <c r="AB83" i="3"/>
  <c r="AB86" i="3" s="1"/>
  <c r="AB94" i="3"/>
  <c r="D113" i="3"/>
  <c r="U113" i="3"/>
  <c r="U119" i="3"/>
  <c r="AD119" i="3" l="1"/>
  <c r="V112" i="3"/>
  <c r="V113" i="3" s="1"/>
  <c r="U128" i="3"/>
  <c r="V118" i="3"/>
  <c r="V119" i="3" s="1"/>
  <c r="AD86" i="3"/>
  <c r="Z66" i="3"/>
  <c r="Q130" i="3"/>
  <c r="G53" i="3"/>
  <c r="E66" i="3"/>
  <c r="G66" i="3"/>
  <c r="E53" i="3"/>
  <c r="E119" i="3"/>
  <c r="X119" i="3"/>
  <c r="X31" i="3"/>
  <c r="X66" i="3"/>
  <c r="AD98" i="3"/>
  <c r="R66" i="3"/>
  <c r="G113" i="3"/>
  <c r="V70" i="3"/>
  <c r="P119" i="3"/>
  <c r="K113" i="3"/>
  <c r="X113" i="3"/>
  <c r="E113" i="3"/>
  <c r="G119" i="3"/>
  <c r="AD89" i="3"/>
  <c r="AD113" i="3"/>
  <c r="E70" i="3"/>
  <c r="AD92" i="3"/>
  <c r="R113" i="3"/>
  <c r="Z31" i="3"/>
  <c r="Z113" i="3"/>
  <c r="Z119" i="3"/>
  <c r="K119" i="3"/>
  <c r="AB118" i="3"/>
  <c r="C113" i="3"/>
  <c r="C119" i="3"/>
  <c r="AB112" i="3"/>
  <c r="D130" i="3" l="1"/>
  <c r="AD95" i="3"/>
  <c r="K70" i="3"/>
  <c r="L130" i="3"/>
  <c r="AB66" i="3"/>
  <c r="X53" i="3"/>
  <c r="Z70" i="3"/>
  <c r="X70" i="3"/>
  <c r="C70" i="3"/>
  <c r="AB113" i="3"/>
  <c r="P31" i="3"/>
  <c r="AB91" i="3"/>
  <c r="AB92" i="3" s="1"/>
  <c r="R70" i="3"/>
  <c r="AB119" i="3"/>
  <c r="Y130" i="3" l="1"/>
  <c r="W130" i="3"/>
  <c r="U130" i="3"/>
  <c r="AB95" i="3"/>
  <c r="AB89" i="3"/>
  <c r="AB80" i="3" l="1"/>
  <c r="AA129" i="3" l="1"/>
  <c r="AB12" i="3"/>
  <c r="AB18" i="3"/>
  <c r="AB7" i="3"/>
  <c r="AB19" i="3"/>
  <c r="AB23" i="3"/>
  <c r="AB8" i="3"/>
  <c r="AB30" i="3"/>
  <c r="AB10" i="3"/>
  <c r="AB9" i="3"/>
  <c r="AB14" i="3"/>
  <c r="AB6" i="3"/>
  <c r="AB15" i="3"/>
  <c r="AB17" i="3"/>
  <c r="AB16" i="3"/>
  <c r="AB24" i="3"/>
  <c r="AB25" i="3"/>
  <c r="AB27" i="3"/>
  <c r="AB13" i="3"/>
  <c r="AB21" i="3"/>
  <c r="AB31" i="3" l="1"/>
  <c r="AB129" i="3"/>
  <c r="AB43" i="3" l="1"/>
  <c r="AB46" i="3" l="1"/>
  <c r="AB48" i="3"/>
  <c r="AB45" i="3"/>
  <c r="AB52" i="3"/>
  <c r="AB49" i="3"/>
  <c r="AB50" i="3"/>
  <c r="AB47" i="3"/>
  <c r="AB53" i="3" l="1"/>
  <c r="K66" i="3" l="1"/>
  <c r="AD66" i="3"/>
  <c r="C66" i="3" l="1"/>
  <c r="K31" i="3" l="1"/>
  <c r="F130" i="3" l="1"/>
  <c r="C105" i="3"/>
  <c r="T30" i="3"/>
  <c r="T7" i="3"/>
  <c r="T24" i="3"/>
  <c r="T27" i="3"/>
  <c r="T21" i="3"/>
  <c r="T9" i="3"/>
  <c r="T11" i="3"/>
  <c r="T15" i="3"/>
  <c r="T14" i="3"/>
  <c r="T28" i="3"/>
  <c r="T23" i="3"/>
  <c r="T18" i="3"/>
  <c r="T19" i="3"/>
  <c r="T16" i="3"/>
  <c r="T8" i="3"/>
  <c r="AD128" i="3"/>
  <c r="T6" i="3"/>
  <c r="T31" i="3" l="1"/>
  <c r="S130" i="3"/>
  <c r="AA130" i="3" s="1"/>
</calcChain>
</file>

<file path=xl/sharedStrings.xml><?xml version="1.0" encoding="utf-8"?>
<sst xmlns="http://schemas.openxmlformats.org/spreadsheetml/2006/main" count="325" uniqueCount="134">
  <si>
    <t>VOLUME OF FISH TRADED / BROKER</t>
  </si>
  <si>
    <t>NAME OF BROKER</t>
  </si>
  <si>
    <t>BL</t>
  </si>
  <si>
    <t>DL</t>
  </si>
  <si>
    <t>D &amp; D</t>
  </si>
  <si>
    <t>JMP ( FORMER G &amp; G)</t>
  </si>
  <si>
    <t>LJL ( FORMER HABIBI )</t>
  </si>
  <si>
    <t>JRM</t>
  </si>
  <si>
    <t>LCM</t>
  </si>
  <si>
    <t>PM ( FR )</t>
  </si>
  <si>
    <t>MJR</t>
  </si>
  <si>
    <t>ELY/DAISY ( FORMER NLS )</t>
  </si>
  <si>
    <t>OPM</t>
  </si>
  <si>
    <t>RAT</t>
  </si>
  <si>
    <t xml:space="preserve">ROMELA </t>
  </si>
  <si>
    <t>ST.DOMINIC</t>
  </si>
  <si>
    <t>SMN</t>
  </si>
  <si>
    <t>STAR LALA</t>
  </si>
  <si>
    <t>TD</t>
  </si>
  <si>
    <t>WNNW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</si>
  <si>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</si>
  <si>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</si>
  <si>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</si>
  <si>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</si>
  <si>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</si>
  <si>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</si>
  <si>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</si>
  <si>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</si>
  <si>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</si>
  <si>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</si>
  <si>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</si>
  <si>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DECENBER</t>
  </si>
  <si>
    <t>CY:2010</t>
  </si>
  <si>
    <t>FISHING GROUND</t>
  </si>
  <si>
    <t>MARINDUQUE</t>
  </si>
  <si>
    <t>BURIAS</t>
  </si>
  <si>
    <t>ROMBLON</t>
  </si>
  <si>
    <t>AUGUST</t>
  </si>
  <si>
    <t>DECEMBER</t>
  </si>
  <si>
    <t>ORIGIN</t>
  </si>
  <si>
    <t xml:space="preserve">JUNE </t>
  </si>
  <si>
    <t>CALAUAG</t>
  </si>
  <si>
    <t>GENERAL LUNA</t>
  </si>
  <si>
    <t>GUMACA</t>
  </si>
  <si>
    <t>INFANTA</t>
  </si>
  <si>
    <t>MACALELON</t>
  </si>
  <si>
    <t>MAUBAN</t>
  </si>
  <si>
    <t>MULANAY</t>
  </si>
  <si>
    <t>PADRE BURGOS</t>
  </si>
  <si>
    <t>PAGBILAO</t>
  </si>
  <si>
    <t>PITOGO</t>
  </si>
  <si>
    <t>SAN ANDRES</t>
  </si>
  <si>
    <t>TAGKAWAYAN</t>
  </si>
  <si>
    <t>STA.ROSA</t>
  </si>
  <si>
    <t xml:space="preserve">SOURCE OF FISH UNLOADED BY FISHING GROUND </t>
  </si>
  <si>
    <t>ATIMONAN</t>
  </si>
  <si>
    <t>TALISAY</t>
  </si>
  <si>
    <t>PARACALE</t>
  </si>
  <si>
    <t>PASACAO</t>
  </si>
  <si>
    <t>STA.ELENA</t>
  </si>
  <si>
    <t xml:space="preserve">BULACAN </t>
  </si>
  <si>
    <t>T  O  T  A  L</t>
  </si>
  <si>
    <t>SAN NARCISO</t>
  </si>
  <si>
    <t>PANGANIBAN</t>
  </si>
  <si>
    <t>LAGUNA</t>
  </si>
  <si>
    <t>RAGAY</t>
  </si>
  <si>
    <t xml:space="preserve">METRO MANILA </t>
  </si>
  <si>
    <t>NAVOTAS</t>
  </si>
  <si>
    <t>PALAWAN</t>
  </si>
  <si>
    <t>MINDANAO</t>
  </si>
  <si>
    <t>CATANUAN</t>
  </si>
  <si>
    <t>SUBTOTAL</t>
  </si>
  <si>
    <t>Volume</t>
  </si>
  <si>
    <t>QUEZON</t>
  </si>
  <si>
    <t>BATANGAS</t>
  </si>
  <si>
    <t>BICOL</t>
  </si>
  <si>
    <t>BULACAN</t>
  </si>
  <si>
    <t>MINDORO</t>
  </si>
  <si>
    <t>%</t>
  </si>
  <si>
    <t>AGDANGAN</t>
  </si>
  <si>
    <t>MASBATE</t>
  </si>
  <si>
    <t>PALAWAN SEA</t>
  </si>
  <si>
    <t>ROMBLON SEA</t>
  </si>
  <si>
    <t>MARINDUQUE ISLAND</t>
  </si>
  <si>
    <t>BULAN</t>
  </si>
  <si>
    <t>HAGONOY</t>
  </si>
  <si>
    <t>RIZAL</t>
  </si>
  <si>
    <t>BURIAS BAY</t>
  </si>
  <si>
    <t>LAUREL</t>
  </si>
  <si>
    <t>STA. CRUZ</t>
  </si>
  <si>
    <t>LIPA</t>
  </si>
  <si>
    <t>UNISAN</t>
  </si>
  <si>
    <t>CAVITE</t>
  </si>
  <si>
    <r>
      <t>SAN FRANCISCO (</t>
    </r>
    <r>
      <rPr>
        <b/>
        <i/>
        <sz val="8"/>
        <color theme="1"/>
        <rFont val="Arial"/>
        <family val="2"/>
      </rPr>
      <t>Aurora</t>
    </r>
    <r>
      <rPr>
        <b/>
        <sz val="8"/>
        <color theme="1"/>
        <rFont val="Arial"/>
        <family val="2"/>
      </rPr>
      <t>)</t>
    </r>
  </si>
  <si>
    <t>SAN JUAN</t>
  </si>
  <si>
    <t>SOUTHERN TAGALOG</t>
  </si>
  <si>
    <t>TAYABAS BAY</t>
  </si>
  <si>
    <t xml:space="preserve"> </t>
  </si>
  <si>
    <t>LEMERY</t>
  </si>
  <si>
    <t>MERCEDEZ</t>
  </si>
  <si>
    <t xml:space="preserve">ROMBLON </t>
  </si>
  <si>
    <t>ALBAY</t>
  </si>
  <si>
    <t>BATANGAS BAY</t>
  </si>
  <si>
    <t>BATANGAS CITY (Capital)</t>
  </si>
  <si>
    <t>LIAN</t>
  </si>
  <si>
    <t>CAMALIGAN</t>
  </si>
  <si>
    <t>TAYABAS</t>
  </si>
  <si>
    <t>CAVITE CITY</t>
  </si>
  <si>
    <t>REAL</t>
  </si>
  <si>
    <t>MINDORO STRAIT</t>
  </si>
  <si>
    <t>VARIOUS MUNICIPALITIES</t>
  </si>
  <si>
    <t>NORTHERN LUZON</t>
  </si>
  <si>
    <t>MAMBURAO/CALAPAN</t>
  </si>
  <si>
    <t>CALATAGAN</t>
  </si>
  <si>
    <t>TAAL</t>
  </si>
  <si>
    <t>SURIGAO /AGUSAN</t>
  </si>
  <si>
    <t>GENERAL NAKAR</t>
  </si>
  <si>
    <t>CAVINTI</t>
  </si>
  <si>
    <t>Continuation of Fish Unloading by Origin 2020.</t>
  </si>
  <si>
    <t>TIAONG</t>
  </si>
  <si>
    <t>8I</t>
  </si>
  <si>
    <t>LUCENA CITY (capital)</t>
  </si>
  <si>
    <t>VISAYA</t>
  </si>
  <si>
    <t>SAMAR</t>
  </si>
  <si>
    <t>PIO DURAN</t>
  </si>
  <si>
    <t>SAN PABLO</t>
  </si>
  <si>
    <t>Isabela/Aurora/CAGAYAN</t>
  </si>
  <si>
    <t>AGONCILLO</t>
  </si>
  <si>
    <t>CAPALONGA</t>
  </si>
  <si>
    <t>PEREZ</t>
  </si>
  <si>
    <t>SARIAYA</t>
  </si>
  <si>
    <t>TANAY/CARDONA/ANGONO</t>
  </si>
  <si>
    <t>in TUBS</t>
  </si>
  <si>
    <t>FISH UNLOADING (in KGS) BY ORIGIN CY - 2020.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</si>
</sst>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#,##0.00;[Red]#,##0.00"/>
    <numFmt numFmtId="165" formatCode="#,##0.000"/>
    <numFmt numFmtId="166" formatCode="#,##0;[Red]#,##0"/>
    <numFmt numFmtId="167" formatCode="_(* #,##0_);_(* \(#,##0\);_(* &quot;-&quot;??_);_(@_)"/>
    <numFmt numFmtId="168" formatCode="0.00;[Red]0.00"/>
    <numFmt numFmtId="169" formatCode="0;[Red]0"/>
    <numFmt numFmtId="170" formatCode="#,##0.000;[Red]#,##0.000"/>
    <numFmt numFmtId="171" formatCode="_(* #,##0.000_);_(* \(#,##0.000\);_(* &quot;-&quot;??_);_(@_)"/>
    <numFmt numFmtId="172" formatCode="0.000;[Red]0.000"/>
    <numFmt numFmtId="173" formatCode="0.000"/>
    <numFmt numFmtId="174" formatCode="#,##0.0"/>
    <numFmt numFmtId="175" formatCode="#,##0.0000;[Red]#,##0.0000"/>
  </numFmts>
  <fonts count="4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theme="6" tint="0.79998168889431442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6"/>
      <color rgb="FF00B050"/>
      <name val="Arial"/>
      <family val="2"/>
    </font>
    <font>
      <b/>
      <sz val="10"/>
      <color rgb="FF00206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rgb="FFFF0000"/>
      <name val="Arial"/>
      <family val="2"/>
    </font>
    <font>
      <sz val="20"/>
      <color theme="1"/>
      <name val="Calibri"/>
      <family val="2"/>
      <scheme val="minor"/>
    </font>
    <font>
      <b/>
      <sz val="12"/>
      <color rgb="FF7030A0"/>
      <name val="Arial"/>
      <family val="2"/>
    </font>
    <font>
      <b/>
      <sz val="12"/>
      <color rgb="FF61349C"/>
      <name val="Arial"/>
      <family val="2"/>
    </font>
    <font>
      <b/>
      <sz val="16"/>
      <color rgb="FF61349C"/>
      <name val="Arial"/>
      <family val="2"/>
    </font>
    <font>
      <b/>
      <sz val="16"/>
      <color rgb="FFFF0000"/>
      <name val="Arial"/>
      <family val="2"/>
    </font>
    <font>
      <b/>
      <sz val="9"/>
      <color rgb="FFFF0000"/>
      <name val="Arial"/>
      <family val="2"/>
    </font>
    <font>
      <sz val="12"/>
      <color theme="1"/>
      <name val="Calibri"/>
      <family val="2"/>
      <scheme val="minor"/>
    </font>
    <font>
      <b/>
      <i/>
      <sz val="8"/>
      <color theme="1"/>
      <name val="Arial"/>
      <family val="2"/>
    </font>
    <font>
      <b/>
      <sz val="11"/>
      <color rgb="FF61349C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i/>
      <sz val="8"/>
      <name val="Arial"/>
      <family val="2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7" fillId="0" borderId="0" applyFont="0" applyFill="0" applyBorder="0" applyAlignment="0" applyProtection="0"/>
  </cellStyleXfs>
  <cellXfs count="385">
    <xf numFmtId="0" fontId="0" fillId="0" borderId="0" xfId="0"/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2" borderId="1" xfId="6" applyFont="1" applyFill="1" applyBorder="1" applyAlignment="1">
      <alignment horizontal="left"/>
    </xf>
    <xf numFmtId="0" fontId="2" fillId="2" borderId="1" xfId="4" applyFont="1" applyFill="1" applyBorder="1" applyAlignment="1">
      <alignment horizontal="left"/>
    </xf>
    <xf numFmtId="0" fontId="2" fillId="2" borderId="1" xfId="5" applyFont="1" applyFill="1" applyBorder="1" applyAlignment="1">
      <alignment horizontal="left"/>
    </xf>
    <xf numFmtId="0" fontId="2" fillId="2" borderId="1" xfId="7" applyFont="1" applyFill="1" applyBorder="1" applyAlignment="1">
      <alignment horizontal="left"/>
    </xf>
    <xf numFmtId="0" fontId="2" fillId="2" borderId="1" xfId="8" applyFont="1" applyFill="1" applyBorder="1" applyAlignment="1">
      <alignment horizontal="left"/>
    </xf>
    <xf numFmtId="0" fontId="2" fillId="2" borderId="1" xfId="9" applyFont="1" applyFill="1" applyBorder="1" applyAlignment="1">
      <alignment horizontal="left"/>
    </xf>
    <xf numFmtId="0" fontId="2" fillId="2" borderId="1" xfId="10" applyFont="1" applyFill="1" applyBorder="1" applyAlignment="1">
      <alignment horizontal="left"/>
    </xf>
    <xf numFmtId="0" fontId="2" fillId="2" borderId="1" xfId="11" applyFont="1" applyFill="1" applyBorder="1" applyAlignment="1">
      <alignment horizontal="left"/>
    </xf>
    <xf numFmtId="0" fontId="2" fillId="2" borderId="1" xfId="12" applyFont="1" applyFill="1" applyBorder="1" applyAlignment="1">
      <alignment horizontal="left"/>
    </xf>
    <xf numFmtId="0" fontId="2" fillId="2" borderId="1" xfId="13" applyFont="1" applyFill="1" applyBorder="1" applyAlignment="1">
      <alignment horizontal="left"/>
    </xf>
    <xf numFmtId="0" fontId="2" fillId="2" borderId="1" xfId="14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7" fillId="2" borderId="1" xfId="2" applyFont="1" applyFill="1" applyBorder="1" applyAlignment="1">
      <alignment horizontal="left"/>
    </xf>
    <xf numFmtId="0" fontId="8" fillId="2" borderId="1" xfId="3" applyFont="1" applyFill="1" applyBorder="1" applyAlignment="1">
      <alignment horizontal="left"/>
    </xf>
    <xf numFmtId="0" fontId="8" fillId="2" borderId="1" xfId="6" applyFont="1" applyFill="1" applyBorder="1" applyAlignment="1">
      <alignment horizontal="left"/>
    </xf>
    <xf numFmtId="0" fontId="8" fillId="2" borderId="1" xfId="4" applyFont="1" applyFill="1" applyBorder="1" applyAlignment="1">
      <alignment horizontal="left"/>
    </xf>
    <xf numFmtId="0" fontId="8" fillId="2" borderId="1" xfId="5" applyFont="1" applyFill="1" applyBorder="1" applyAlignment="1">
      <alignment horizontal="left"/>
    </xf>
    <xf numFmtId="0" fontId="8" fillId="2" borderId="1" xfId="7" applyFont="1" applyFill="1" applyBorder="1" applyAlignment="1">
      <alignment horizontal="left"/>
    </xf>
    <xf numFmtId="0" fontId="8" fillId="2" borderId="1" xfId="8" applyFont="1" applyFill="1" applyBorder="1" applyAlignment="1">
      <alignment horizontal="left"/>
    </xf>
    <xf numFmtId="0" fontId="8" fillId="2" borderId="1" xfId="9" applyFont="1" applyFill="1" applyBorder="1" applyAlignment="1">
      <alignment horizontal="left"/>
    </xf>
    <xf numFmtId="0" fontId="8" fillId="2" borderId="1" xfId="10" applyFont="1" applyFill="1" applyBorder="1" applyAlignment="1">
      <alignment horizontal="left"/>
    </xf>
    <xf numFmtId="0" fontId="8" fillId="2" borderId="1" xfId="11" applyFont="1" applyFill="1" applyBorder="1" applyAlignment="1">
      <alignment horizontal="left"/>
    </xf>
    <xf numFmtId="0" fontId="8" fillId="2" borderId="1" xfId="12" applyFont="1" applyFill="1" applyBorder="1" applyAlignment="1">
      <alignment horizontal="left"/>
    </xf>
    <xf numFmtId="0" fontId="8" fillId="2" borderId="1" xfId="13" applyFont="1" applyFill="1" applyBorder="1" applyAlignment="1">
      <alignment horizontal="left"/>
    </xf>
    <xf numFmtId="0" fontId="8" fillId="2" borderId="1" xfId="14" applyFont="1" applyFill="1" applyBorder="1" applyAlignment="1">
      <alignment horizontal="left"/>
    </xf>
    <xf numFmtId="0" fontId="0" fillId="0" borderId="0" xfId="0" applyAlignment="1">
      <alignment horizontal="left"/>
    </xf>
    <xf numFmtId="0" fontId="10" fillId="2" borderId="1" xfId="1" applyFont="1" applyFill="1" applyBorder="1" applyAlignment="1">
      <alignment horizontal="center"/>
    </xf>
    <xf numFmtId="0" fontId="10" fillId="2" borderId="1" xfId="14" applyFont="1" applyFill="1" applyBorder="1" applyAlignment="1">
      <alignment horizontal="left"/>
    </xf>
    <xf numFmtId="0" fontId="10" fillId="2" borderId="1" xfId="2" applyFont="1" applyFill="1" applyBorder="1" applyAlignment="1">
      <alignment horizontal="left"/>
    </xf>
    <xf numFmtId="0" fontId="11" fillId="0" borderId="0" xfId="0" applyFont="1"/>
    <xf numFmtId="3" fontId="5" fillId="2" borderId="1" xfId="3" applyNumberFormat="1" applyFont="1" applyFill="1" applyBorder="1" applyAlignment="1">
      <alignment horizontal="left"/>
    </xf>
    <xf numFmtId="0" fontId="5" fillId="2" borderId="1" xfId="3" applyFont="1" applyFill="1" applyBorder="1" applyAlignment="1">
      <alignment horizontal="left"/>
    </xf>
    <xf numFmtId="0" fontId="3" fillId="2" borderId="1" xfId="6" applyFont="1" applyFill="1" applyBorder="1" applyAlignment="1">
      <alignment horizontal="left"/>
    </xf>
    <xf numFmtId="3" fontId="3" fillId="2" borderId="1" xfId="6" applyNumberFormat="1" applyFont="1" applyFill="1" applyBorder="1" applyAlignment="1">
      <alignment horizontal="left"/>
    </xf>
    <xf numFmtId="0" fontId="3" fillId="2" borderId="1" xfId="4" applyFont="1" applyFill="1" applyBorder="1" applyAlignment="1">
      <alignment horizontal="left"/>
    </xf>
    <xf numFmtId="3" fontId="3" fillId="2" borderId="1" xfId="4" applyNumberFormat="1" applyFont="1" applyFill="1" applyBorder="1" applyAlignment="1">
      <alignment horizontal="left"/>
    </xf>
    <xf numFmtId="0" fontId="3" fillId="2" borderId="1" xfId="5" applyFont="1" applyFill="1" applyBorder="1" applyAlignment="1">
      <alignment horizontal="left"/>
    </xf>
    <xf numFmtId="3" fontId="3" fillId="2" borderId="1" xfId="5" applyNumberFormat="1" applyFont="1" applyFill="1" applyBorder="1" applyAlignment="1">
      <alignment horizontal="left"/>
    </xf>
    <xf numFmtId="0" fontId="3" fillId="2" borderId="1" xfId="7" applyFont="1" applyFill="1" applyBorder="1" applyAlignment="1">
      <alignment horizontal="left"/>
    </xf>
    <xf numFmtId="3" fontId="3" fillId="2" borderId="1" xfId="7" applyNumberFormat="1" applyFont="1" applyFill="1" applyBorder="1" applyAlignment="1">
      <alignment horizontal="left"/>
    </xf>
    <xf numFmtId="0" fontId="13" fillId="0" borderId="0" xfId="0" applyFont="1"/>
    <xf numFmtId="0" fontId="14" fillId="0" borderId="0" xfId="0" applyFont="1"/>
    <xf numFmtId="0" fontId="16" fillId="0" borderId="0" xfId="0" applyFont="1"/>
    <xf numFmtId="3" fontId="3" fillId="2" borderId="1" xfId="28" applyNumberFormat="1" applyFont="1" applyFill="1" applyBorder="1" applyAlignment="1">
      <alignment horizontal="right"/>
    </xf>
    <xf numFmtId="3" fontId="0" fillId="0" borderId="0" xfId="0" applyNumberFormat="1"/>
    <xf numFmtId="10" fontId="0" fillId="0" borderId="0" xfId="0" applyNumberFormat="1"/>
    <xf numFmtId="0" fontId="0" fillId="0" borderId="0" xfId="0" applyProtection="1">
      <protection locked="0"/>
    </xf>
    <xf numFmtId="3" fontId="3" fillId="2" borderId="1" xfId="29" applyNumberFormat="1" applyFont="1" applyFill="1" applyBorder="1" applyAlignment="1" applyProtection="1">
      <alignment horizontal="right"/>
      <protection locked="0"/>
    </xf>
    <xf numFmtId="3" fontId="3" fillId="2" borderId="1" xfId="16" applyNumberFormat="1" applyFont="1" applyFill="1" applyBorder="1" applyAlignment="1" applyProtection="1">
      <alignment horizontal="right"/>
      <protection locked="0"/>
    </xf>
    <xf numFmtId="3" fontId="0" fillId="0" borderId="0" xfId="0" applyNumberFormat="1" applyProtection="1">
      <protection locked="0"/>
    </xf>
    <xf numFmtId="0" fontId="13" fillId="0" borderId="0" xfId="0" applyFont="1" applyProtection="1">
      <protection locked="0"/>
    </xf>
    <xf numFmtId="0" fontId="13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3" fontId="3" fillId="2" borderId="1" xfId="21" applyNumberFormat="1" applyFont="1" applyFill="1" applyBorder="1" applyAlignment="1" applyProtection="1">
      <alignment horizontal="right"/>
      <protection locked="0"/>
    </xf>
    <xf numFmtId="3" fontId="3" fillId="2" borderId="1" xfId="23" applyNumberFormat="1" applyFont="1" applyFill="1" applyBorder="1" applyAlignment="1" applyProtection="1">
      <alignment horizontal="right"/>
      <protection locked="0"/>
    </xf>
    <xf numFmtId="3" fontId="3" fillId="2" borderId="1" xfId="25" applyNumberFormat="1" applyFont="1" applyFill="1" applyBorder="1" applyAlignment="1" applyProtection="1">
      <alignment horizontal="right"/>
      <protection locked="0"/>
    </xf>
    <xf numFmtId="3" fontId="3" fillId="2" borderId="1" xfId="26" applyNumberFormat="1" applyFont="1" applyFill="1" applyBorder="1" applyAlignment="1" applyProtection="1">
      <alignment horizontal="right"/>
      <protection locked="0"/>
    </xf>
    <xf numFmtId="0" fontId="9" fillId="2" borderId="1" xfId="15" applyFont="1" applyFill="1" applyBorder="1" applyAlignment="1">
      <alignment horizontal="left"/>
    </xf>
    <xf numFmtId="3" fontId="19" fillId="2" borderId="1" xfId="29" applyNumberFormat="1" applyFont="1" applyFill="1" applyBorder="1" applyAlignment="1" applyProtection="1">
      <alignment horizontal="right"/>
    </xf>
    <xf numFmtId="0" fontId="12" fillId="0" borderId="0" xfId="0" applyFont="1"/>
    <xf numFmtId="3" fontId="19" fillId="2" borderId="1" xfId="16" applyNumberFormat="1" applyFont="1" applyFill="1" applyBorder="1" applyAlignment="1">
      <alignment horizontal="right"/>
    </xf>
    <xf numFmtId="3" fontId="3" fillId="2" borderId="1" xfId="16" applyNumberFormat="1" applyFont="1" applyFill="1" applyBorder="1" applyAlignment="1">
      <alignment horizontal="right"/>
    </xf>
    <xf numFmtId="3" fontId="13" fillId="0" borderId="0" xfId="0" applyNumberFormat="1" applyFont="1"/>
    <xf numFmtId="10" fontId="13" fillId="0" borderId="0" xfId="0" applyNumberFormat="1" applyFont="1"/>
    <xf numFmtId="0" fontId="3" fillId="0" borderId="1" xfId="15" applyFont="1" applyBorder="1" applyAlignment="1" applyProtection="1">
      <alignment horizontal="left"/>
      <protection locked="0"/>
    </xf>
    <xf numFmtId="0" fontId="5" fillId="2" borderId="1" xfId="15" applyFont="1" applyFill="1" applyBorder="1" applyAlignment="1" applyProtection="1">
      <alignment horizontal="left"/>
      <protection locked="0"/>
    </xf>
    <xf numFmtId="0" fontId="5" fillId="2" borderId="1" xfId="20" applyFont="1" applyFill="1" applyBorder="1" applyAlignment="1" applyProtection="1">
      <alignment horizontal="left"/>
      <protection locked="0"/>
    </xf>
    <xf numFmtId="0" fontId="3" fillId="2" borderId="1" xfId="20" applyFont="1" applyFill="1" applyBorder="1" applyAlignment="1" applyProtection="1">
      <alignment horizontal="left"/>
      <protection locked="0"/>
    </xf>
    <xf numFmtId="0" fontId="3" fillId="2" borderId="1" xfId="17" applyFont="1" applyFill="1" applyBorder="1" applyAlignment="1" applyProtection="1">
      <alignment horizontal="left"/>
      <protection locked="0"/>
    </xf>
    <xf numFmtId="0" fontId="3" fillId="2" borderId="1" xfId="16" applyFont="1" applyFill="1" applyBorder="1" applyAlignment="1" applyProtection="1">
      <alignment horizontal="left"/>
      <protection locked="0"/>
    </xf>
    <xf numFmtId="0" fontId="3" fillId="2" borderId="1" xfId="16" applyFont="1" applyFill="1" applyBorder="1" applyProtection="1">
      <protection locked="0"/>
    </xf>
    <xf numFmtId="0" fontId="9" fillId="2" borderId="6" xfId="15" applyFont="1" applyFill="1" applyBorder="1" applyAlignment="1">
      <alignment horizontal="left"/>
    </xf>
    <xf numFmtId="10" fontId="19" fillId="2" borderId="6" xfId="29" applyNumberFormat="1" applyFont="1" applyFill="1" applyBorder="1" applyAlignment="1" applyProtection="1">
      <alignment horizontal="right"/>
    </xf>
    <xf numFmtId="10" fontId="19" fillId="2" borderId="0" xfId="29" applyNumberFormat="1" applyFont="1" applyFill="1" applyBorder="1" applyAlignment="1" applyProtection="1">
      <alignment horizontal="right"/>
    </xf>
    <xf numFmtId="0" fontId="9" fillId="2" borderId="0" xfId="15" applyFont="1" applyFill="1" applyAlignment="1">
      <alignment horizontal="left"/>
    </xf>
    <xf numFmtId="3" fontId="19" fillId="2" borderId="0" xfId="16" applyNumberFormat="1" applyFont="1" applyFill="1" applyAlignment="1">
      <alignment horizontal="right"/>
    </xf>
    <xf numFmtId="3" fontId="19" fillId="2" borderId="7" xfId="16" applyNumberFormat="1" applyFont="1" applyFill="1" applyBorder="1" applyAlignment="1">
      <alignment horizontal="right"/>
    </xf>
    <xf numFmtId="2" fontId="3" fillId="2" borderId="1" xfId="16" applyNumberFormat="1" applyFont="1" applyFill="1" applyBorder="1" applyAlignment="1">
      <alignment horizontal="right"/>
    </xf>
    <xf numFmtId="3" fontId="19" fillId="2" borderId="6" xfId="29" applyNumberFormat="1" applyFont="1" applyFill="1" applyBorder="1" applyAlignment="1" applyProtection="1">
      <alignment horizontal="right"/>
    </xf>
    <xf numFmtId="3" fontId="19" fillId="2" borderId="0" xfId="29" applyNumberFormat="1" applyFont="1" applyFill="1" applyBorder="1" applyAlignment="1" applyProtection="1">
      <alignment horizontal="right"/>
    </xf>
    <xf numFmtId="3" fontId="12" fillId="0" borderId="0" xfId="0" applyNumberFormat="1" applyFont="1"/>
    <xf numFmtId="2" fontId="3" fillId="2" borderId="1" xfId="29" applyNumberFormat="1" applyFont="1" applyFill="1" applyBorder="1" applyAlignment="1">
      <alignment horizontal="right"/>
    </xf>
    <xf numFmtId="43" fontId="3" fillId="2" borderId="1" xfId="29" applyFont="1" applyFill="1" applyBorder="1" applyAlignment="1">
      <alignment horizontal="right"/>
    </xf>
    <xf numFmtId="2" fontId="19" fillId="2" borderId="1" xfId="29" applyNumberFormat="1" applyFont="1" applyFill="1" applyBorder="1" applyAlignment="1" applyProtection="1">
      <alignment horizontal="right"/>
    </xf>
    <xf numFmtId="2" fontId="19" fillId="2" borderId="1" xfId="16" applyNumberFormat="1" applyFont="1" applyFill="1" applyBorder="1" applyAlignment="1">
      <alignment horizontal="right"/>
    </xf>
    <xf numFmtId="2" fontId="19" fillId="2" borderId="0" xfId="16" applyNumberFormat="1" applyFont="1" applyFill="1" applyAlignment="1">
      <alignment horizontal="right"/>
    </xf>
    <xf numFmtId="0" fontId="9" fillId="2" borderId="4" xfId="15" applyFont="1" applyFill="1" applyBorder="1" applyAlignment="1">
      <alignment horizontal="left"/>
    </xf>
    <xf numFmtId="3" fontId="19" fillId="2" borderId="4" xfId="16" applyNumberFormat="1" applyFont="1" applyFill="1" applyBorder="1" applyAlignment="1">
      <alignment horizontal="right"/>
    </xf>
    <xf numFmtId="2" fontId="19" fillId="2" borderId="4" xfId="16" applyNumberFormat="1" applyFont="1" applyFill="1" applyBorder="1" applyAlignment="1">
      <alignment horizontal="right"/>
    </xf>
    <xf numFmtId="2" fontId="0" fillId="0" borderId="0" xfId="0" applyNumberFormat="1"/>
    <xf numFmtId="4" fontId="19" fillId="2" borderId="1" xfId="29" applyNumberFormat="1" applyFont="1" applyFill="1" applyBorder="1" applyAlignment="1" applyProtection="1">
      <alignment horizontal="right"/>
    </xf>
    <xf numFmtId="4" fontId="3" fillId="2" borderId="1" xfId="16" applyNumberFormat="1" applyFont="1" applyFill="1" applyBorder="1" applyAlignment="1" applyProtection="1">
      <alignment horizontal="right"/>
      <protection locked="0"/>
    </xf>
    <xf numFmtId="1" fontId="0" fillId="0" borderId="0" xfId="0" applyNumberFormat="1"/>
    <xf numFmtId="2" fontId="19" fillId="2" borderId="6" xfId="29" applyNumberFormat="1" applyFont="1" applyFill="1" applyBorder="1" applyAlignment="1" applyProtection="1">
      <alignment horizontal="right"/>
    </xf>
    <xf numFmtId="2" fontId="19" fillId="2" borderId="0" xfId="29" applyNumberFormat="1" applyFont="1" applyFill="1" applyBorder="1" applyAlignment="1" applyProtection="1">
      <alignment horizontal="right"/>
    </xf>
    <xf numFmtId="0" fontId="24" fillId="3" borderId="1" xfId="17" applyFont="1" applyFill="1" applyBorder="1" applyAlignment="1">
      <alignment horizontal="left"/>
    </xf>
    <xf numFmtId="3" fontId="19" fillId="3" borderId="1" xfId="16" applyNumberFormat="1" applyFont="1" applyFill="1" applyBorder="1" applyAlignment="1">
      <alignment horizontal="right"/>
    </xf>
    <xf numFmtId="10" fontId="19" fillId="3" borderId="1" xfId="16" applyNumberFormat="1" applyFont="1" applyFill="1" applyBorder="1" applyAlignment="1">
      <alignment horizontal="right"/>
    </xf>
    <xf numFmtId="2" fontId="19" fillId="3" borderId="1" xfId="16" applyNumberFormat="1" applyFont="1" applyFill="1" applyBorder="1" applyAlignment="1">
      <alignment horizontal="right"/>
    </xf>
    <xf numFmtId="3" fontId="25" fillId="3" borderId="1" xfId="16" applyNumberFormat="1" applyFont="1" applyFill="1" applyBorder="1" applyAlignment="1">
      <alignment horizontal="center"/>
    </xf>
    <xf numFmtId="3" fontId="25" fillId="3" borderId="1" xfId="28" applyNumberFormat="1" applyFont="1" applyFill="1" applyBorder="1" applyAlignment="1">
      <alignment horizontal="center"/>
    </xf>
    <xf numFmtId="3" fontId="3" fillId="2" borderId="1" xfId="27" applyNumberFormat="1" applyFont="1" applyFill="1" applyBorder="1" applyAlignment="1" applyProtection="1">
      <alignment horizontal="right"/>
      <protection locked="0"/>
    </xf>
    <xf numFmtId="0" fontId="20" fillId="0" borderId="0" xfId="0" applyFont="1" applyAlignment="1" applyProtection="1">
      <alignment vertical="center"/>
      <protection locked="0"/>
    </xf>
    <xf numFmtId="10" fontId="20" fillId="0" borderId="0" xfId="0" applyNumberFormat="1" applyFont="1" applyAlignment="1">
      <alignment vertical="center"/>
    </xf>
    <xf numFmtId="0" fontId="14" fillId="0" borderId="0" xfId="0" applyFont="1" applyAlignment="1" applyProtection="1">
      <alignment horizontal="left" vertical="center"/>
      <protection locked="0"/>
    </xf>
    <xf numFmtId="10" fontId="0" fillId="0" borderId="0" xfId="0" applyNumberFormat="1" applyAlignment="1">
      <alignment vertical="center"/>
    </xf>
    <xf numFmtId="0" fontId="13" fillId="0" borderId="0" xfId="0" applyFont="1" applyAlignment="1" applyProtection="1">
      <alignment horizontal="left" vertical="center"/>
      <protection locked="0"/>
    </xf>
    <xf numFmtId="10" fontId="26" fillId="0" borderId="0" xfId="0" applyNumberFormat="1" applyFont="1"/>
    <xf numFmtId="0" fontId="22" fillId="4" borderId="1" xfId="15" applyFont="1" applyFill="1" applyBorder="1" applyAlignment="1">
      <alignment horizontal="left"/>
    </xf>
    <xf numFmtId="3" fontId="3" fillId="4" borderId="1" xfId="16" applyNumberFormat="1" applyFont="1" applyFill="1" applyBorder="1" applyAlignment="1" applyProtection="1">
      <alignment horizontal="right"/>
      <protection locked="0"/>
    </xf>
    <xf numFmtId="10" fontId="3" fillId="4" borderId="1" xfId="16" applyNumberFormat="1" applyFont="1" applyFill="1" applyBorder="1" applyAlignment="1">
      <alignment horizontal="right"/>
    </xf>
    <xf numFmtId="3" fontId="3" fillId="4" borderId="1" xfId="17" applyNumberFormat="1" applyFont="1" applyFill="1" applyBorder="1" applyAlignment="1" applyProtection="1">
      <alignment horizontal="right"/>
      <protection locked="0"/>
    </xf>
    <xf numFmtId="3" fontId="3" fillId="4" borderId="1" xfId="18" applyNumberFormat="1" applyFont="1" applyFill="1" applyBorder="1" applyAlignment="1" applyProtection="1">
      <alignment horizontal="right"/>
      <protection locked="0"/>
    </xf>
    <xf numFmtId="3" fontId="3" fillId="4" borderId="1" xfId="19" applyNumberFormat="1" applyFont="1" applyFill="1" applyBorder="1" applyAlignment="1" applyProtection="1">
      <alignment horizontal="right"/>
      <protection locked="0"/>
    </xf>
    <xf numFmtId="3" fontId="3" fillId="4" borderId="1" xfId="20" applyNumberFormat="1" applyFont="1" applyFill="1" applyBorder="1" applyAlignment="1" applyProtection="1">
      <alignment horizontal="right"/>
      <protection locked="0"/>
    </xf>
    <xf numFmtId="3" fontId="3" fillId="4" borderId="1" xfId="21" applyNumberFormat="1" applyFont="1" applyFill="1" applyBorder="1" applyAlignment="1" applyProtection="1">
      <alignment horizontal="right"/>
      <protection locked="0"/>
    </xf>
    <xf numFmtId="3" fontId="3" fillId="4" borderId="1" xfId="22" applyNumberFormat="1" applyFont="1" applyFill="1" applyBorder="1" applyAlignment="1" applyProtection="1">
      <alignment horizontal="right"/>
      <protection locked="0"/>
    </xf>
    <xf numFmtId="3" fontId="3" fillId="4" borderId="1" xfId="23" applyNumberFormat="1" applyFont="1" applyFill="1" applyBorder="1" applyAlignment="1" applyProtection="1">
      <alignment horizontal="right"/>
      <protection locked="0"/>
    </xf>
    <xf numFmtId="3" fontId="3" fillId="4" borderId="1" xfId="24" applyNumberFormat="1" applyFont="1" applyFill="1" applyBorder="1" applyAlignment="1" applyProtection="1">
      <alignment horizontal="right"/>
      <protection locked="0"/>
    </xf>
    <xf numFmtId="3" fontId="3" fillId="4" borderId="1" xfId="25" applyNumberFormat="1" applyFont="1" applyFill="1" applyBorder="1" applyAlignment="1" applyProtection="1">
      <alignment horizontal="right"/>
      <protection locked="0"/>
    </xf>
    <xf numFmtId="3" fontId="3" fillId="4" borderId="1" xfId="26" applyNumberFormat="1" applyFont="1" applyFill="1" applyBorder="1" applyAlignment="1" applyProtection="1">
      <alignment horizontal="right"/>
      <protection locked="0"/>
    </xf>
    <xf numFmtId="3" fontId="3" fillId="4" borderId="1" xfId="27" applyNumberFormat="1" applyFont="1" applyFill="1" applyBorder="1" applyAlignment="1" applyProtection="1">
      <alignment horizontal="right"/>
      <protection locked="0"/>
    </xf>
    <xf numFmtId="3" fontId="3" fillId="4" borderId="1" xfId="28" applyNumberFormat="1" applyFont="1" applyFill="1" applyBorder="1" applyAlignment="1">
      <alignment horizontal="right"/>
    </xf>
    <xf numFmtId="0" fontId="21" fillId="4" borderId="1" xfId="15" applyFont="1" applyFill="1" applyBorder="1" applyAlignment="1">
      <alignment horizontal="left" vertical="center"/>
    </xf>
    <xf numFmtId="3" fontId="3" fillId="4" borderId="1" xfId="16" applyNumberFormat="1" applyFont="1" applyFill="1" applyBorder="1" applyAlignment="1" applyProtection="1">
      <alignment horizontal="right" vertical="center"/>
      <protection locked="0"/>
    </xf>
    <xf numFmtId="10" fontId="3" fillId="4" borderId="1" xfId="16" applyNumberFormat="1" applyFont="1" applyFill="1" applyBorder="1" applyAlignment="1">
      <alignment horizontal="right" vertical="center"/>
    </xf>
    <xf numFmtId="3" fontId="3" fillId="4" borderId="1" xfId="17" applyNumberFormat="1" applyFont="1" applyFill="1" applyBorder="1" applyAlignment="1" applyProtection="1">
      <alignment horizontal="right" vertical="center"/>
      <protection locked="0"/>
    </xf>
    <xf numFmtId="3" fontId="3" fillId="4" borderId="1" xfId="18" applyNumberFormat="1" applyFont="1" applyFill="1" applyBorder="1" applyAlignment="1" applyProtection="1">
      <alignment horizontal="right" vertical="center"/>
      <protection locked="0"/>
    </xf>
    <xf numFmtId="3" fontId="3" fillId="4" borderId="1" xfId="19" applyNumberFormat="1" applyFont="1" applyFill="1" applyBorder="1" applyAlignment="1" applyProtection="1">
      <alignment horizontal="right" vertical="center"/>
      <protection locked="0"/>
    </xf>
    <xf numFmtId="3" fontId="3" fillId="4" borderId="1" xfId="20" applyNumberFormat="1" applyFont="1" applyFill="1" applyBorder="1" applyAlignment="1" applyProtection="1">
      <alignment horizontal="right" vertical="center"/>
      <protection locked="0"/>
    </xf>
    <xf numFmtId="3" fontId="3" fillId="4" borderId="1" xfId="21" applyNumberFormat="1" applyFont="1" applyFill="1" applyBorder="1" applyAlignment="1" applyProtection="1">
      <alignment horizontal="right" vertical="center"/>
      <protection locked="0"/>
    </xf>
    <xf numFmtId="0" fontId="22" fillId="4" borderId="1" xfId="15" applyFont="1" applyFill="1" applyBorder="1" applyAlignment="1">
      <alignment horizontal="left" vertical="center"/>
    </xf>
    <xf numFmtId="10" fontId="18" fillId="5" borderId="1" xfId="16" applyNumberFormat="1" applyFont="1" applyFill="1" applyBorder="1" applyAlignment="1">
      <alignment horizontal="center"/>
    </xf>
    <xf numFmtId="0" fontId="0" fillId="2" borderId="0" xfId="0" applyFill="1" applyAlignment="1">
      <alignment shrinkToFit="1"/>
    </xf>
    <xf numFmtId="0" fontId="22" fillId="4" borderId="1" xfId="15" applyFont="1" applyFill="1" applyBorder="1" applyAlignment="1">
      <alignment horizontal="left" vertical="top"/>
    </xf>
    <xf numFmtId="3" fontId="0" fillId="2" borderId="0" xfId="0" applyNumberFormat="1" applyFill="1" applyAlignment="1">
      <alignment shrinkToFit="1"/>
    </xf>
    <xf numFmtId="0" fontId="12" fillId="2" borderId="0" xfId="0" applyFont="1" applyFill="1"/>
    <xf numFmtId="164" fontId="3" fillId="2" borderId="1" xfId="29" applyNumberFormat="1" applyFont="1" applyFill="1" applyBorder="1" applyAlignment="1">
      <alignment horizontal="right"/>
    </xf>
    <xf numFmtId="165" fontId="3" fillId="4" borderId="1" xfId="16" applyNumberFormat="1" applyFont="1" applyFill="1" applyBorder="1" applyAlignment="1" applyProtection="1">
      <alignment horizontal="right" vertical="center"/>
      <protection locked="0"/>
    </xf>
    <xf numFmtId="166" fontId="3" fillId="2" borderId="1" xfId="29" applyNumberFormat="1" applyFont="1" applyFill="1" applyBorder="1" applyAlignment="1" applyProtection="1">
      <alignment horizontal="right"/>
      <protection locked="0"/>
    </xf>
    <xf numFmtId="166" fontId="3" fillId="2" borderId="1" xfId="29" applyNumberFormat="1" applyFont="1" applyFill="1" applyBorder="1" applyAlignment="1" applyProtection="1">
      <alignment horizontal="right" wrapText="1"/>
      <protection locked="0"/>
    </xf>
    <xf numFmtId="165" fontId="19" fillId="2" borderId="0" xfId="29" applyNumberFormat="1" applyFont="1" applyFill="1" applyBorder="1" applyAlignment="1" applyProtection="1">
      <alignment horizontal="right"/>
    </xf>
    <xf numFmtId="166" fontId="12" fillId="0" borderId="0" xfId="0" applyNumberFormat="1" applyFont="1"/>
    <xf numFmtId="4" fontId="19" fillId="2" borderId="6" xfId="29" applyNumberFormat="1" applyFont="1" applyFill="1" applyBorder="1" applyAlignment="1" applyProtection="1">
      <alignment horizontal="right"/>
    </xf>
    <xf numFmtId="166" fontId="19" fillId="2" borderId="1" xfId="29" applyNumberFormat="1" applyFont="1" applyFill="1" applyBorder="1" applyAlignment="1" applyProtection="1">
      <alignment horizontal="right"/>
    </xf>
    <xf numFmtId="0" fontId="28" fillId="4" borderId="1" xfId="15" applyFont="1" applyFill="1" applyBorder="1" applyAlignment="1">
      <alignment horizontal="left"/>
    </xf>
    <xf numFmtId="166" fontId="3" fillId="2" borderId="1" xfId="29" applyNumberFormat="1" applyFont="1" applyFill="1" applyBorder="1" applyAlignment="1">
      <alignment horizontal="right"/>
    </xf>
    <xf numFmtId="165" fontId="19" fillId="2" borderId="6" xfId="29" applyNumberFormat="1" applyFont="1" applyFill="1" applyBorder="1" applyAlignment="1" applyProtection="1">
      <alignment horizontal="right"/>
    </xf>
    <xf numFmtId="167" fontId="0" fillId="0" borderId="0" xfId="29" applyNumberFormat="1" applyFont="1" applyBorder="1" applyProtection="1">
      <protection locked="0"/>
    </xf>
    <xf numFmtId="166" fontId="3" fillId="2" borderId="8" xfId="29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6" fontId="0" fillId="0" borderId="0" xfId="29" applyNumberFormat="1" applyFont="1" applyBorder="1" applyProtection="1">
      <protection locked="0"/>
    </xf>
    <xf numFmtId="3" fontId="3" fillId="0" borderId="1" xfId="16" applyNumberFormat="1" applyFont="1" applyBorder="1" applyAlignment="1" applyProtection="1">
      <alignment horizontal="right"/>
      <protection locked="0"/>
    </xf>
    <xf numFmtId="10" fontId="3" fillId="0" borderId="1" xfId="16" applyNumberFormat="1" applyFont="1" applyBorder="1" applyAlignment="1">
      <alignment horizontal="right"/>
    </xf>
    <xf numFmtId="3" fontId="3" fillId="0" borderId="1" xfId="17" applyNumberFormat="1" applyFont="1" applyBorder="1" applyAlignment="1" applyProtection="1">
      <alignment horizontal="right"/>
      <protection locked="0"/>
    </xf>
    <xf numFmtId="3" fontId="3" fillId="0" borderId="1" xfId="18" applyNumberFormat="1" applyFont="1" applyBorder="1" applyAlignment="1" applyProtection="1">
      <alignment horizontal="right"/>
      <protection locked="0"/>
    </xf>
    <xf numFmtId="3" fontId="3" fillId="0" borderId="1" xfId="19" applyNumberFormat="1" applyFont="1" applyBorder="1" applyAlignment="1" applyProtection="1">
      <alignment horizontal="right"/>
      <protection locked="0"/>
    </xf>
    <xf numFmtId="3" fontId="3" fillId="0" borderId="1" xfId="20" applyNumberFormat="1" applyFont="1" applyBorder="1" applyAlignment="1" applyProtection="1">
      <alignment horizontal="right"/>
      <protection locked="0"/>
    </xf>
    <xf numFmtId="3" fontId="3" fillId="0" borderId="1" xfId="21" applyNumberFormat="1" applyFont="1" applyBorder="1" applyAlignment="1" applyProtection="1">
      <alignment horizontal="right"/>
      <protection locked="0"/>
    </xf>
    <xf numFmtId="3" fontId="3" fillId="0" borderId="1" xfId="22" applyNumberFormat="1" applyFont="1" applyBorder="1" applyAlignment="1" applyProtection="1">
      <alignment horizontal="right"/>
      <protection locked="0"/>
    </xf>
    <xf numFmtId="3" fontId="3" fillId="0" borderId="1" xfId="23" applyNumberFormat="1" applyFont="1" applyBorder="1" applyAlignment="1" applyProtection="1">
      <alignment horizontal="right"/>
      <protection locked="0"/>
    </xf>
    <xf numFmtId="3" fontId="3" fillId="0" borderId="1" xfId="24" applyNumberFormat="1" applyFont="1" applyBorder="1" applyAlignment="1" applyProtection="1">
      <alignment horizontal="right"/>
      <protection locked="0"/>
    </xf>
    <xf numFmtId="3" fontId="3" fillId="0" borderId="1" xfId="25" applyNumberFormat="1" applyFont="1" applyBorder="1" applyAlignment="1" applyProtection="1">
      <alignment horizontal="right"/>
      <protection locked="0"/>
    </xf>
    <xf numFmtId="3" fontId="3" fillId="0" borderId="1" xfId="26" applyNumberFormat="1" applyFont="1" applyBorder="1" applyAlignment="1" applyProtection="1">
      <alignment horizontal="right"/>
      <protection locked="0"/>
    </xf>
    <xf numFmtId="3" fontId="3" fillId="0" borderId="1" xfId="27" applyNumberFormat="1" applyFont="1" applyBorder="1" applyAlignment="1" applyProtection="1">
      <alignment horizontal="right"/>
      <protection locked="0"/>
    </xf>
    <xf numFmtId="165" fontId="3" fillId="4" borderId="1" xfId="23" applyNumberFormat="1" applyFont="1" applyFill="1" applyBorder="1" applyAlignment="1" applyProtection="1">
      <alignment horizontal="right"/>
      <protection locked="0"/>
    </xf>
    <xf numFmtId="166" fontId="30" fillId="0" borderId="0" xfId="0" applyNumberFormat="1" applyFont="1"/>
    <xf numFmtId="168" fontId="0" fillId="0" borderId="0" xfId="0" applyNumberFormat="1"/>
    <xf numFmtId="166" fontId="29" fillId="0" borderId="0" xfId="29" applyNumberFormat="1" applyFont="1" applyBorder="1"/>
    <xf numFmtId="167" fontId="0" fillId="0" borderId="0" xfId="0" applyNumberFormat="1"/>
    <xf numFmtId="169" fontId="0" fillId="0" borderId="0" xfId="0" applyNumberFormat="1"/>
    <xf numFmtId="164" fontId="19" fillId="2" borderId="1" xfId="29" applyNumberFormat="1" applyFont="1" applyFill="1" applyBorder="1" applyAlignment="1" applyProtection="1">
      <alignment horizontal="right"/>
    </xf>
    <xf numFmtId="166" fontId="25" fillId="3" borderId="1" xfId="16" applyNumberFormat="1" applyFont="1" applyFill="1" applyBorder="1" applyAlignment="1">
      <alignment horizontal="center"/>
    </xf>
    <xf numFmtId="167" fontId="12" fillId="0" borderId="0" xfId="0" applyNumberFormat="1" applyFont="1"/>
    <xf numFmtId="166" fontId="0" fillId="0" borderId="0" xfId="0" applyNumberFormat="1"/>
    <xf numFmtId="168" fontId="3" fillId="0" borderId="1" xfId="16" applyNumberFormat="1" applyFont="1" applyBorder="1" applyAlignment="1">
      <alignment horizontal="right"/>
    </xf>
    <xf numFmtId="168" fontId="3" fillId="2" borderId="1" xfId="29" applyNumberFormat="1" applyFont="1" applyFill="1" applyBorder="1" applyAlignment="1">
      <alignment horizontal="right"/>
    </xf>
    <xf numFmtId="168" fontId="19" fillId="2" borderId="1" xfId="16" applyNumberFormat="1" applyFont="1" applyFill="1" applyBorder="1" applyAlignment="1">
      <alignment horizontal="right"/>
    </xf>
    <xf numFmtId="168" fontId="19" fillId="2" borderId="1" xfId="29" applyNumberFormat="1" applyFont="1" applyFill="1" applyBorder="1" applyAlignment="1" applyProtection="1">
      <alignment horizontal="right"/>
    </xf>
    <xf numFmtId="4" fontId="19" fillId="2" borderId="1" xfId="16" applyNumberFormat="1" applyFont="1" applyFill="1" applyBorder="1" applyAlignment="1">
      <alignment horizontal="right"/>
    </xf>
    <xf numFmtId="0" fontId="32" fillId="0" borderId="0" xfId="0" applyFont="1" applyAlignment="1">
      <alignment horizontal="left" vertical="center"/>
    </xf>
    <xf numFmtId="0" fontId="33" fillId="2" borderId="0" xfId="15" applyFont="1" applyFill="1" applyAlignment="1">
      <alignment horizontal="left"/>
    </xf>
    <xf numFmtId="10" fontId="3" fillId="2" borderId="1" xfId="16" applyNumberFormat="1" applyFont="1" applyFill="1" applyBorder="1" applyAlignment="1">
      <alignment horizontal="right"/>
    </xf>
    <xf numFmtId="3" fontId="3" fillId="2" borderId="1" xfId="17" applyNumberFormat="1" applyFont="1" applyFill="1" applyBorder="1" applyAlignment="1" applyProtection="1">
      <alignment horizontal="right"/>
      <protection locked="0"/>
    </xf>
    <xf numFmtId="3" fontId="3" fillId="2" borderId="1" xfId="18" applyNumberFormat="1" applyFont="1" applyFill="1" applyBorder="1" applyAlignment="1" applyProtection="1">
      <alignment horizontal="right"/>
      <protection locked="0"/>
    </xf>
    <xf numFmtId="3" fontId="3" fillId="2" borderId="1" xfId="19" applyNumberFormat="1" applyFont="1" applyFill="1" applyBorder="1" applyAlignment="1" applyProtection="1">
      <alignment horizontal="right"/>
      <protection locked="0"/>
    </xf>
    <xf numFmtId="3" fontId="3" fillId="2" borderId="1" xfId="20" applyNumberFormat="1" applyFont="1" applyFill="1" applyBorder="1" applyAlignment="1" applyProtection="1">
      <alignment horizontal="right"/>
      <protection locked="0"/>
    </xf>
    <xf numFmtId="3" fontId="3" fillId="2" borderId="1" xfId="24" applyNumberFormat="1" applyFont="1" applyFill="1" applyBorder="1" applyAlignment="1" applyProtection="1">
      <alignment horizontal="right"/>
      <protection locked="0"/>
    </xf>
    <xf numFmtId="168" fontId="3" fillId="2" borderId="1" xfId="16" applyNumberFormat="1" applyFont="1" applyFill="1" applyBorder="1" applyAlignment="1">
      <alignment horizontal="right"/>
    </xf>
    <xf numFmtId="168" fontId="19" fillId="2" borderId="4" xfId="16" applyNumberFormat="1" applyFont="1" applyFill="1" applyBorder="1" applyAlignment="1">
      <alignment horizontal="right"/>
    </xf>
    <xf numFmtId="0" fontId="18" fillId="2" borderId="1" xfId="15" applyFont="1" applyFill="1" applyBorder="1" applyAlignment="1">
      <alignment horizontal="left"/>
    </xf>
    <xf numFmtId="0" fontId="3" fillId="2" borderId="1" xfId="15" applyFont="1" applyFill="1" applyBorder="1" applyAlignment="1">
      <alignment horizontal="left"/>
    </xf>
    <xf numFmtId="0" fontId="0" fillId="0" borderId="0" xfId="0" applyAlignment="1">
      <alignment horizontal="right"/>
    </xf>
    <xf numFmtId="171" fontId="0" fillId="0" borderId="0" xfId="29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Protection="1">
      <protection locked="0"/>
    </xf>
    <xf numFmtId="168" fontId="29" fillId="0" borderId="0" xfId="0" applyNumberFormat="1" applyFont="1"/>
    <xf numFmtId="172" fontId="29" fillId="0" borderId="0" xfId="0" applyNumberFormat="1" applyFont="1"/>
    <xf numFmtId="4" fontId="19" fillId="2" borderId="0" xfId="16" applyNumberFormat="1" applyFont="1" applyFill="1" applyAlignment="1">
      <alignment horizontal="right"/>
    </xf>
    <xf numFmtId="172" fontId="0" fillId="0" borderId="0" xfId="0" applyNumberFormat="1"/>
    <xf numFmtId="166" fontId="0" fillId="0" borderId="0" xfId="0" applyNumberFormat="1" applyProtection="1">
      <protection locked="0"/>
    </xf>
    <xf numFmtId="4" fontId="19" fillId="2" borderId="0" xfId="29" applyNumberFormat="1" applyFont="1" applyFill="1" applyBorder="1" applyAlignment="1" applyProtection="1">
      <alignment horizontal="right"/>
    </xf>
    <xf numFmtId="4" fontId="0" fillId="0" borderId="0" xfId="0" applyNumberFormat="1" applyProtection="1">
      <protection locked="0"/>
    </xf>
    <xf numFmtId="166" fontId="0" fillId="0" borderId="0" xfId="29" applyNumberFormat="1" applyFont="1" applyBorder="1" applyProtection="1"/>
    <xf numFmtId="166" fontId="0" fillId="0" borderId="0" xfId="29" applyNumberFormat="1" applyFont="1" applyBorder="1" applyAlignment="1" applyProtection="1">
      <alignment horizontal="right"/>
    </xf>
    <xf numFmtId="166" fontId="34" fillId="0" borderId="0" xfId="29" applyNumberFormat="1" applyFont="1" applyBorder="1" applyProtection="1"/>
    <xf numFmtId="166" fontId="35" fillId="0" borderId="0" xfId="29" applyNumberFormat="1" applyFont="1" applyBorder="1" applyProtection="1"/>
    <xf numFmtId="166" fontId="13" fillId="0" borderId="0" xfId="29" applyNumberFormat="1" applyFont="1" applyBorder="1" applyProtection="1"/>
    <xf numFmtId="166" fontId="0" fillId="0" borderId="0" xfId="29" applyNumberFormat="1" applyFont="1" applyProtection="1">
      <protection locked="0"/>
    </xf>
    <xf numFmtId="168" fontId="19" fillId="2" borderId="0" xfId="29" applyNumberFormat="1" applyFont="1" applyFill="1" applyBorder="1" applyAlignment="1" applyProtection="1">
      <alignment horizontal="right"/>
    </xf>
    <xf numFmtId="172" fontId="19" fillId="2" borderId="0" xfId="29" applyNumberFormat="1" applyFont="1" applyFill="1" applyBorder="1" applyAlignment="1" applyProtection="1">
      <alignment horizontal="right"/>
    </xf>
    <xf numFmtId="169" fontId="19" fillId="2" borderId="6" xfId="29" applyNumberFormat="1" applyFont="1" applyFill="1" applyBorder="1" applyAlignment="1" applyProtection="1">
      <alignment horizontal="right"/>
    </xf>
    <xf numFmtId="166" fontId="30" fillId="0" borderId="0" xfId="29" applyNumberFormat="1" applyFont="1" applyBorder="1"/>
    <xf numFmtId="167" fontId="19" fillId="2" borderId="0" xfId="29" applyNumberFormat="1" applyFont="1" applyFill="1" applyBorder="1" applyAlignment="1" applyProtection="1">
      <alignment horizontal="right"/>
    </xf>
    <xf numFmtId="3" fontId="9" fillId="2" borderId="0" xfId="29" applyNumberFormat="1" applyFont="1" applyFill="1" applyBorder="1" applyAlignment="1" applyProtection="1">
      <alignment horizontal="right"/>
    </xf>
    <xf numFmtId="3" fontId="36" fillId="0" borderId="0" xfId="0" applyNumberFormat="1" applyFont="1" applyProtection="1">
      <protection locked="0"/>
    </xf>
    <xf numFmtId="166" fontId="19" fillId="2" borderId="6" xfId="29" applyNumberFormat="1" applyFont="1" applyFill="1" applyBorder="1" applyAlignment="1" applyProtection="1">
      <alignment horizontal="right"/>
    </xf>
    <xf numFmtId="168" fontId="19" fillId="2" borderId="6" xfId="29" applyNumberFormat="1" applyFont="1" applyFill="1" applyBorder="1" applyAlignment="1" applyProtection="1">
      <alignment horizontal="right"/>
    </xf>
    <xf numFmtId="169" fontId="19" fillId="2" borderId="0" xfId="29" applyNumberFormat="1" applyFont="1" applyFill="1" applyBorder="1" applyAlignment="1" applyProtection="1">
      <alignment horizontal="right"/>
    </xf>
    <xf numFmtId="0" fontId="3" fillId="2" borderId="9" xfId="16" applyFont="1" applyFill="1" applyBorder="1" applyAlignment="1" applyProtection="1">
      <alignment horizontal="left"/>
      <protection locked="0"/>
    </xf>
    <xf numFmtId="0" fontId="0" fillId="0" borderId="9" xfId="0" applyBorder="1" applyProtection="1">
      <protection locked="0"/>
    </xf>
    <xf numFmtId="174" fontId="3" fillId="4" borderId="1" xfId="19" applyNumberFormat="1" applyFont="1" applyFill="1" applyBorder="1" applyAlignment="1" applyProtection="1">
      <alignment horizontal="right"/>
      <protection locked="0"/>
    </xf>
    <xf numFmtId="4" fontId="3" fillId="4" borderId="1" xfId="19" applyNumberFormat="1" applyFont="1" applyFill="1" applyBorder="1" applyAlignment="1" applyProtection="1">
      <alignment horizontal="right"/>
      <protection locked="0"/>
    </xf>
    <xf numFmtId="167" fontId="3" fillId="4" borderId="1" xfId="29" applyNumberFormat="1" applyFont="1" applyFill="1" applyBorder="1" applyAlignment="1">
      <alignment horizontal="right"/>
    </xf>
    <xf numFmtId="165" fontId="3" fillId="4" borderId="1" xfId="20" applyNumberFormat="1" applyFont="1" applyFill="1" applyBorder="1" applyAlignment="1" applyProtection="1">
      <alignment horizontal="right"/>
      <protection locked="0"/>
    </xf>
    <xf numFmtId="171" fontId="19" fillId="2" borderId="0" xfId="29" applyNumberFormat="1" applyFont="1" applyFill="1" applyBorder="1" applyAlignment="1" applyProtection="1">
      <alignment horizontal="right"/>
    </xf>
    <xf numFmtId="173" fontId="12" fillId="0" borderId="0" xfId="0" applyNumberFormat="1" applyFont="1"/>
    <xf numFmtId="169" fontId="3" fillId="4" borderId="1" xfId="16" applyNumberFormat="1" applyFont="1" applyFill="1" applyBorder="1" applyAlignment="1">
      <alignment horizontal="right"/>
    </xf>
    <xf numFmtId="169" fontId="3" fillId="2" borderId="1" xfId="16" applyNumberFormat="1" applyFont="1" applyFill="1" applyBorder="1" applyAlignment="1" applyProtection="1">
      <alignment horizontal="right"/>
      <protection locked="0"/>
    </xf>
    <xf numFmtId="167" fontId="3" fillId="4" borderId="1" xfId="29" applyNumberFormat="1" applyFont="1" applyFill="1" applyBorder="1" applyAlignment="1">
      <alignment horizontal="right" vertical="center"/>
    </xf>
    <xf numFmtId="174" fontId="19" fillId="2" borderId="0" xfId="16" applyNumberFormat="1" applyFont="1" applyFill="1" applyAlignment="1">
      <alignment horizontal="right"/>
    </xf>
    <xf numFmtId="166" fontId="3" fillId="2" borderId="1" xfId="20" applyNumberFormat="1" applyFont="1" applyFill="1" applyBorder="1" applyAlignment="1" applyProtection="1">
      <alignment horizontal="right"/>
      <protection locked="0"/>
    </xf>
    <xf numFmtId="166" fontId="19" fillId="2" borderId="1" xfId="16" applyNumberFormat="1" applyFont="1" applyFill="1" applyBorder="1" applyAlignment="1">
      <alignment horizontal="right"/>
    </xf>
    <xf numFmtId="168" fontId="0" fillId="0" borderId="9" xfId="0" applyNumberFormat="1" applyBorder="1"/>
    <xf numFmtId="166" fontId="3" fillId="2" borderId="1" xfId="16" applyNumberFormat="1" applyFont="1" applyFill="1" applyBorder="1" applyAlignment="1" applyProtection="1">
      <alignment horizontal="right"/>
      <protection locked="0"/>
    </xf>
    <xf numFmtId="166" fontId="3" fillId="4" borderId="1" xfId="20" applyNumberFormat="1" applyFont="1" applyFill="1" applyBorder="1" applyAlignment="1" applyProtection="1">
      <alignment horizontal="right"/>
      <protection locked="0"/>
    </xf>
    <xf numFmtId="166" fontId="3" fillId="4" borderId="1" xfId="16" applyNumberFormat="1" applyFont="1" applyFill="1" applyBorder="1" applyAlignment="1">
      <alignment horizontal="right"/>
    </xf>
    <xf numFmtId="170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10" fontId="0" fillId="0" borderId="1" xfId="0" applyNumberFormat="1" applyBorder="1"/>
    <xf numFmtId="0" fontId="0" fillId="0" borderId="0" xfId="0" applyAlignment="1" applyProtection="1">
      <alignment horizontal="right"/>
      <protection locked="0"/>
    </xf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165" fontId="3" fillId="4" borderId="1" xfId="22" applyNumberFormat="1" applyFont="1" applyFill="1" applyBorder="1" applyAlignment="1" applyProtection="1">
      <alignment horizontal="right"/>
      <protection locked="0"/>
    </xf>
    <xf numFmtId="166" fontId="31" fillId="0" borderId="0" xfId="0" applyNumberFormat="1" applyFont="1" applyProtection="1">
      <protection locked="0"/>
    </xf>
    <xf numFmtId="167" fontId="0" fillId="0" borderId="0" xfId="29" applyNumberFormat="1" applyFont="1" applyBorder="1" applyProtection="1"/>
    <xf numFmtId="167" fontId="0" fillId="0" borderId="0" xfId="29" applyNumberFormat="1" applyFont="1"/>
    <xf numFmtId="3" fontId="0" fillId="0" borderId="0" xfId="0" applyNumberFormat="1" applyAlignment="1" applyProtection="1">
      <alignment horizontal="right"/>
      <protection locked="0"/>
    </xf>
    <xf numFmtId="167" fontId="0" fillId="0" borderId="0" xfId="29" applyNumberFormat="1" applyFont="1" applyProtection="1">
      <protection locked="0"/>
    </xf>
    <xf numFmtId="167" fontId="0" fillId="0" borderId="0" xfId="0" applyNumberFormat="1" applyProtection="1">
      <protection locked="0"/>
    </xf>
    <xf numFmtId="173" fontId="0" fillId="0" borderId="0" xfId="0" applyNumberFormat="1"/>
    <xf numFmtId="166" fontId="12" fillId="0" borderId="0" xfId="0" applyNumberFormat="1" applyFont="1" applyAlignment="1">
      <alignment horizontal="center"/>
    </xf>
    <xf numFmtId="170" fontId="30" fillId="0" borderId="0" xfId="0" applyNumberFormat="1" applyFont="1" applyProtection="1">
      <protection locked="0"/>
    </xf>
    <xf numFmtId="10" fontId="0" fillId="0" borderId="0" xfId="0" applyNumberFormat="1" applyAlignment="1">
      <alignment horizontal="right"/>
    </xf>
    <xf numFmtId="166" fontId="3" fillId="4" borderId="1" xfId="17" applyNumberFormat="1" applyFont="1" applyFill="1" applyBorder="1" applyAlignment="1" applyProtection="1">
      <alignment horizontal="right" vertical="center"/>
      <protection locked="0"/>
    </xf>
    <xf numFmtId="4" fontId="3" fillId="0" borderId="1" xfId="21" applyNumberFormat="1" applyFont="1" applyBorder="1" applyAlignment="1" applyProtection="1">
      <alignment horizontal="right"/>
      <protection locked="0"/>
    </xf>
    <xf numFmtId="175" fontId="12" fillId="0" borderId="0" xfId="0" applyNumberFormat="1" applyFont="1"/>
    <xf numFmtId="3" fontId="19" fillId="2" borderId="1" xfId="28" applyNumberFormat="1" applyFont="1" applyFill="1" applyBorder="1" applyAlignment="1">
      <alignment horizontal="right"/>
    </xf>
    <xf numFmtId="0" fontId="22" fillId="4" borderId="5" xfId="15" applyFont="1" applyFill="1" applyBorder="1" applyAlignment="1">
      <alignment horizontal="left"/>
    </xf>
    <xf numFmtId="3" fontId="3" fillId="4" borderId="5" xfId="16" applyNumberFormat="1" applyFont="1" applyFill="1" applyBorder="1" applyAlignment="1" applyProtection="1">
      <alignment horizontal="right"/>
      <protection locked="0"/>
    </xf>
    <xf numFmtId="10" fontId="3" fillId="4" borderId="5" xfId="16" applyNumberFormat="1" applyFont="1" applyFill="1" applyBorder="1" applyAlignment="1">
      <alignment horizontal="right"/>
    </xf>
    <xf numFmtId="3" fontId="3" fillId="4" borderId="5" xfId="17" applyNumberFormat="1" applyFont="1" applyFill="1" applyBorder="1" applyAlignment="1" applyProtection="1">
      <alignment horizontal="right"/>
      <protection locked="0"/>
    </xf>
    <xf numFmtId="3" fontId="3" fillId="4" borderId="5" xfId="18" applyNumberFormat="1" applyFont="1" applyFill="1" applyBorder="1" applyAlignment="1" applyProtection="1">
      <alignment horizontal="right"/>
      <protection locked="0"/>
    </xf>
    <xf numFmtId="3" fontId="3" fillId="4" borderId="5" xfId="19" applyNumberFormat="1" applyFont="1" applyFill="1" applyBorder="1" applyAlignment="1" applyProtection="1">
      <alignment horizontal="right"/>
      <protection locked="0"/>
    </xf>
    <xf numFmtId="3" fontId="3" fillId="4" borderId="5" xfId="20" applyNumberFormat="1" applyFont="1" applyFill="1" applyBorder="1" applyAlignment="1" applyProtection="1">
      <alignment horizontal="right"/>
      <protection locked="0"/>
    </xf>
    <xf numFmtId="167" fontId="3" fillId="4" borderId="5" xfId="29" applyNumberFormat="1" applyFont="1" applyFill="1" applyBorder="1" applyAlignment="1">
      <alignment horizontal="right"/>
    </xf>
    <xf numFmtId="3" fontId="3" fillId="4" borderId="5" xfId="21" applyNumberFormat="1" applyFont="1" applyFill="1" applyBorder="1" applyAlignment="1" applyProtection="1">
      <alignment horizontal="right"/>
      <protection locked="0"/>
    </xf>
    <xf numFmtId="3" fontId="3" fillId="4" borderId="5" xfId="22" applyNumberFormat="1" applyFont="1" applyFill="1" applyBorder="1" applyAlignment="1" applyProtection="1">
      <alignment horizontal="right"/>
      <protection locked="0"/>
    </xf>
    <xf numFmtId="3" fontId="3" fillId="4" borderId="5" xfId="23" applyNumberFormat="1" applyFont="1" applyFill="1" applyBorder="1" applyAlignment="1" applyProtection="1">
      <alignment horizontal="right"/>
      <protection locked="0"/>
    </xf>
    <xf numFmtId="3" fontId="3" fillId="4" borderId="5" xfId="24" applyNumberFormat="1" applyFont="1" applyFill="1" applyBorder="1" applyAlignment="1" applyProtection="1">
      <alignment horizontal="right"/>
      <protection locked="0"/>
    </xf>
    <xf numFmtId="3" fontId="3" fillId="4" borderId="5" xfId="25" applyNumberFormat="1" applyFont="1" applyFill="1" applyBorder="1" applyAlignment="1" applyProtection="1">
      <alignment horizontal="right"/>
      <protection locked="0"/>
    </xf>
    <xf numFmtId="3" fontId="3" fillId="4" borderId="5" xfId="26" applyNumberFormat="1" applyFont="1" applyFill="1" applyBorder="1" applyAlignment="1" applyProtection="1">
      <alignment horizontal="right"/>
      <protection locked="0"/>
    </xf>
    <xf numFmtId="3" fontId="3" fillId="4" borderId="5" xfId="27" applyNumberFormat="1" applyFont="1" applyFill="1" applyBorder="1" applyAlignment="1" applyProtection="1">
      <alignment horizontal="right"/>
      <protection locked="0"/>
    </xf>
    <xf numFmtId="3" fontId="3" fillId="4" borderId="5" xfId="28" applyNumberFormat="1" applyFont="1" applyFill="1" applyBorder="1" applyAlignment="1">
      <alignment horizontal="right"/>
    </xf>
    <xf numFmtId="166" fontId="19" fillId="2" borderId="0" xfId="16" applyNumberFormat="1" applyFont="1" applyFill="1" applyAlignment="1">
      <alignment horizontal="right"/>
    </xf>
    <xf numFmtId="168" fontId="19" fillId="2" borderId="0" xfId="16" applyNumberFormat="1" applyFont="1" applyFill="1" applyAlignment="1">
      <alignment horizontal="right"/>
    </xf>
    <xf numFmtId="3" fontId="19" fillId="2" borderId="0" xfId="28" applyNumberFormat="1" applyFont="1" applyFill="1" applyAlignment="1">
      <alignment horizontal="right"/>
    </xf>
    <xf numFmtId="0" fontId="0" fillId="2" borderId="9" xfId="0" applyFill="1" applyBorder="1" applyAlignment="1">
      <alignment shrinkToFit="1"/>
    </xf>
    <xf numFmtId="0" fontId="0" fillId="4" borderId="0" xfId="0" applyFill="1" applyAlignment="1">
      <alignment shrinkToFit="1"/>
    </xf>
    <xf numFmtId="0" fontId="0" fillId="2" borderId="0" xfId="0" applyFill="1"/>
    <xf numFmtId="10" fontId="0" fillId="2" borderId="0" xfId="0" applyNumberFormat="1" applyFill="1" applyAlignment="1">
      <alignment shrinkToFit="1"/>
    </xf>
    <xf numFmtId="10" fontId="0" fillId="2" borderId="9" xfId="0" applyNumberFormat="1" applyFill="1" applyBorder="1"/>
    <xf numFmtId="10" fontId="0" fillId="2" borderId="0" xfId="0" applyNumberFormat="1" applyFill="1"/>
    <xf numFmtId="10" fontId="13" fillId="2" borderId="0" xfId="0" applyNumberFormat="1" applyFont="1" applyFill="1"/>
    <xf numFmtId="0" fontId="0" fillId="2" borderId="0" xfId="0" applyFill="1" applyAlignment="1">
      <alignment horizontal="center"/>
    </xf>
    <xf numFmtId="0" fontId="18" fillId="6" borderId="1" xfId="16" applyFont="1" applyFill="1" applyBorder="1" applyAlignment="1" applyProtection="1">
      <alignment horizontal="center"/>
      <protection locked="0"/>
    </xf>
    <xf numFmtId="0" fontId="18" fillId="6" borderId="1" xfId="16" applyFont="1" applyFill="1" applyBorder="1" applyAlignment="1">
      <alignment horizontal="center"/>
    </xf>
    <xf numFmtId="3" fontId="19" fillId="2" borderId="1" xfId="16" applyNumberFormat="1" applyFont="1" applyFill="1" applyBorder="1" applyAlignment="1" applyProtection="1">
      <alignment horizontal="right"/>
      <protection locked="0"/>
    </xf>
    <xf numFmtId="164" fontId="19" fillId="2" borderId="1" xfId="29" applyNumberFormat="1" applyFont="1" applyFill="1" applyBorder="1" applyAlignment="1">
      <alignment horizontal="right"/>
    </xf>
    <xf numFmtId="166" fontId="19" fillId="2" borderId="1" xfId="16" applyNumberFormat="1" applyFont="1" applyFill="1" applyBorder="1" applyAlignment="1" applyProtection="1">
      <alignment horizontal="right"/>
      <protection locked="0"/>
    </xf>
    <xf numFmtId="165" fontId="12" fillId="0" borderId="0" xfId="0" applyNumberFormat="1" applyFont="1"/>
    <xf numFmtId="168" fontId="5" fillId="0" borderId="9" xfId="0" applyNumberFormat="1" applyFont="1" applyBorder="1"/>
    <xf numFmtId="166" fontId="5" fillId="0" borderId="9" xfId="29" applyNumberFormat="1" applyFont="1" applyBorder="1" applyProtection="1">
      <protection locked="0"/>
    </xf>
    <xf numFmtId="166" fontId="0" fillId="0" borderId="0" xfId="0" applyNumberFormat="1" applyAlignment="1">
      <alignment horizontal="right"/>
    </xf>
    <xf numFmtId="171" fontId="0" fillId="0" borderId="0" xfId="29" applyNumberFormat="1" applyFont="1"/>
    <xf numFmtId="165" fontId="0" fillId="0" borderId="0" xfId="0" applyNumberFormat="1" applyProtection="1">
      <protection locked="0"/>
    </xf>
    <xf numFmtId="171" fontId="17" fillId="0" borderId="0" xfId="29" applyNumberFormat="1" applyFont="1"/>
    <xf numFmtId="170" fontId="17" fillId="0" borderId="0" xfId="29" applyNumberFormat="1" applyFont="1"/>
    <xf numFmtId="43" fontId="29" fillId="0" borderId="0" xfId="29" applyFont="1"/>
    <xf numFmtId="170" fontId="0" fillId="0" borderId="0" xfId="29" applyNumberFormat="1" applyFont="1"/>
    <xf numFmtId="0" fontId="5" fillId="0" borderId="9" xfId="0" applyFont="1" applyBorder="1" applyProtection="1">
      <protection locked="0"/>
    </xf>
    <xf numFmtId="170" fontId="19" fillId="2" borderId="0" xfId="29" applyNumberFormat="1" applyFont="1" applyFill="1" applyBorder="1" applyAlignment="1" applyProtection="1">
      <alignment horizontal="right"/>
    </xf>
    <xf numFmtId="170" fontId="12" fillId="0" borderId="0" xfId="0" applyNumberFormat="1" applyFont="1"/>
    <xf numFmtId="165" fontId="3" fillId="4" borderId="1" xfId="16" applyNumberFormat="1" applyFont="1" applyFill="1" applyBorder="1" applyAlignment="1" applyProtection="1">
      <alignment horizontal="right"/>
      <protection locked="0"/>
    </xf>
    <xf numFmtId="170" fontId="3" fillId="2" borderId="1" xfId="29" applyNumberFormat="1" applyFont="1" applyFill="1" applyBorder="1" applyAlignment="1" applyProtection="1">
      <alignment horizontal="right"/>
      <protection locked="0"/>
    </xf>
    <xf numFmtId="2" fontId="5" fillId="0" borderId="9" xfId="0" applyNumberFormat="1" applyFont="1" applyBorder="1" applyProtection="1">
      <protection locked="0"/>
    </xf>
    <xf numFmtId="173" fontId="37" fillId="0" borderId="0" xfId="0" applyNumberFormat="1" applyFont="1" applyAlignment="1">
      <alignment horizontal="right"/>
    </xf>
    <xf numFmtId="166" fontId="37" fillId="0" borderId="0" xfId="29" applyNumberFormat="1" applyFont="1" applyBorder="1" applyProtection="1">
      <protection locked="0"/>
    </xf>
    <xf numFmtId="10" fontId="37" fillId="0" borderId="0" xfId="0" applyNumberFormat="1" applyFont="1"/>
    <xf numFmtId="2" fontId="37" fillId="0" borderId="0" xfId="0" applyNumberFormat="1" applyFont="1"/>
    <xf numFmtId="3" fontId="37" fillId="0" borderId="0" xfId="0" applyNumberFormat="1" applyFont="1" applyProtection="1">
      <protection locked="0"/>
    </xf>
    <xf numFmtId="0" fontId="37" fillId="0" borderId="0" xfId="0" applyFont="1" applyProtection="1">
      <protection locked="0"/>
    </xf>
    <xf numFmtId="0" fontId="38" fillId="2" borderId="0" xfId="0" applyFont="1" applyFill="1"/>
    <xf numFmtId="167" fontId="39" fillId="0" borderId="0" xfId="29" applyNumberFormat="1" applyFont="1" applyBorder="1" applyProtection="1">
      <protection locked="0"/>
    </xf>
    <xf numFmtId="167" fontId="37" fillId="0" borderId="0" xfId="29" applyNumberFormat="1" applyFont="1" applyBorder="1" applyProtection="1">
      <protection locked="0"/>
    </xf>
    <xf numFmtId="1" fontId="37" fillId="0" borderId="0" xfId="0" applyNumberFormat="1" applyFont="1"/>
    <xf numFmtId="167" fontId="37" fillId="0" borderId="0" xfId="0" applyNumberFormat="1" applyFont="1"/>
    <xf numFmtId="0" fontId="33" fillId="2" borderId="7" xfId="15" applyFont="1" applyFill="1" applyBorder="1" applyAlignment="1">
      <alignment horizontal="left"/>
    </xf>
    <xf numFmtId="0" fontId="12" fillId="0" borderId="7" xfId="0" applyFont="1" applyBorder="1"/>
    <xf numFmtId="0" fontId="12" fillId="2" borderId="7" xfId="0" applyFont="1" applyFill="1" applyBorder="1"/>
    <xf numFmtId="0" fontId="18" fillId="2" borderId="2" xfId="27" applyFont="1" applyFill="1" applyBorder="1" applyAlignment="1" applyProtection="1">
      <alignment horizontal="center"/>
      <protection locked="0"/>
    </xf>
    <xf numFmtId="0" fontId="18" fillId="2" borderId="3" xfId="27" applyFont="1" applyFill="1" applyBorder="1" applyAlignment="1" applyProtection="1">
      <alignment horizontal="center"/>
      <protection locked="0"/>
    </xf>
    <xf numFmtId="0" fontId="10" fillId="2" borderId="2" xfId="28" applyFont="1" applyFill="1" applyBorder="1" applyAlignment="1">
      <alignment horizontal="center" vertical="center"/>
    </xf>
    <xf numFmtId="0" fontId="10" fillId="2" borderId="3" xfId="28" applyFont="1" applyFill="1" applyBorder="1" applyAlignment="1">
      <alignment horizontal="center" vertical="center"/>
    </xf>
    <xf numFmtId="0" fontId="23" fillId="2" borderId="9" xfId="15" applyFont="1" applyFill="1" applyBorder="1" applyAlignment="1">
      <alignment horizontal="center" vertical="center"/>
    </xf>
    <xf numFmtId="0" fontId="23" fillId="2" borderId="5" xfId="15" applyFont="1" applyFill="1" applyBorder="1" applyAlignment="1">
      <alignment horizontal="center" vertical="center"/>
    </xf>
    <xf numFmtId="0" fontId="18" fillId="2" borderId="10" xfId="16" applyFont="1" applyFill="1" applyBorder="1" applyAlignment="1" applyProtection="1">
      <alignment horizontal="center"/>
      <protection locked="0"/>
    </xf>
    <xf numFmtId="0" fontId="18" fillId="2" borderId="11" xfId="16" applyFont="1" applyFill="1" applyBorder="1" applyAlignment="1" applyProtection="1">
      <alignment horizontal="center"/>
      <protection locked="0"/>
    </xf>
    <xf numFmtId="0" fontId="18" fillId="2" borderId="10" xfId="17" applyFont="1" applyFill="1" applyBorder="1" applyAlignment="1" applyProtection="1">
      <alignment horizontal="center"/>
      <protection locked="0"/>
    </xf>
    <xf numFmtId="0" fontId="18" fillId="2" borderId="11" xfId="17" applyFont="1" applyFill="1" applyBorder="1" applyAlignment="1" applyProtection="1">
      <alignment horizontal="center"/>
      <protection locked="0"/>
    </xf>
    <xf numFmtId="0" fontId="18" fillId="2" borderId="10" xfId="18" applyFont="1" applyFill="1" applyBorder="1" applyAlignment="1" applyProtection="1">
      <alignment horizontal="center"/>
      <protection locked="0"/>
    </xf>
    <xf numFmtId="0" fontId="18" fillId="2" borderId="11" xfId="18" applyFont="1" applyFill="1" applyBorder="1" applyAlignment="1" applyProtection="1">
      <alignment horizontal="center"/>
      <protection locked="0"/>
    </xf>
    <xf numFmtId="0" fontId="18" fillId="2" borderId="10" xfId="19" applyFont="1" applyFill="1" applyBorder="1" applyAlignment="1" applyProtection="1">
      <alignment horizontal="center"/>
      <protection locked="0"/>
    </xf>
    <xf numFmtId="0" fontId="18" fillId="2" borderId="11" xfId="19" applyFont="1" applyFill="1" applyBorder="1" applyAlignment="1" applyProtection="1">
      <alignment horizontal="center"/>
      <protection locked="0"/>
    </xf>
    <xf numFmtId="0" fontId="18" fillId="2" borderId="10" xfId="20" applyFont="1" applyFill="1" applyBorder="1" applyAlignment="1" applyProtection="1">
      <alignment horizontal="center"/>
      <protection locked="0"/>
    </xf>
    <xf numFmtId="0" fontId="18" fillId="2" borderId="11" xfId="20" applyFont="1" applyFill="1" applyBorder="1" applyAlignment="1" applyProtection="1">
      <alignment horizontal="center"/>
      <protection locked="0"/>
    </xf>
    <xf numFmtId="0" fontId="18" fillId="2" borderId="10" xfId="21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>
      <alignment horizontal="center" wrapText="1"/>
    </xf>
    <xf numFmtId="0" fontId="18" fillId="2" borderId="10" xfId="22" applyFont="1" applyFill="1" applyBorder="1" applyAlignment="1" applyProtection="1">
      <alignment horizontal="center"/>
      <protection locked="0"/>
    </xf>
    <xf numFmtId="0" fontId="18" fillId="2" borderId="11" xfId="22" applyFont="1" applyFill="1" applyBorder="1" applyAlignment="1" applyProtection="1">
      <alignment horizontal="center"/>
      <protection locked="0"/>
    </xf>
    <xf numFmtId="0" fontId="18" fillId="2" borderId="10" xfId="23" applyFont="1" applyFill="1" applyBorder="1" applyAlignment="1" applyProtection="1">
      <alignment horizontal="center"/>
      <protection locked="0"/>
    </xf>
    <xf numFmtId="0" fontId="18" fillId="2" borderId="11" xfId="23" applyFont="1" applyFill="1" applyBorder="1" applyAlignment="1" applyProtection="1">
      <alignment horizontal="center"/>
      <protection locked="0"/>
    </xf>
    <xf numFmtId="0" fontId="18" fillId="2" borderId="10" xfId="24" applyFont="1" applyFill="1" applyBorder="1" applyAlignment="1" applyProtection="1">
      <alignment horizontal="center"/>
      <protection locked="0"/>
    </xf>
    <xf numFmtId="0" fontId="18" fillId="2" borderId="11" xfId="24" applyFont="1" applyFill="1" applyBorder="1" applyAlignment="1" applyProtection="1">
      <alignment horizontal="center"/>
      <protection locked="0"/>
    </xf>
    <xf numFmtId="0" fontId="18" fillId="2" borderId="10" xfId="25" applyFont="1" applyFill="1" applyBorder="1" applyAlignment="1" applyProtection="1">
      <alignment horizontal="center"/>
      <protection locked="0"/>
    </xf>
    <xf numFmtId="0" fontId="18" fillId="2" borderId="11" xfId="25" applyFont="1" applyFill="1" applyBorder="1" applyAlignment="1" applyProtection="1">
      <alignment horizontal="center"/>
      <protection locked="0"/>
    </xf>
    <xf numFmtId="0" fontId="18" fillId="2" borderId="10" xfId="26" applyFont="1" applyFill="1" applyBorder="1" applyAlignment="1" applyProtection="1">
      <alignment horizontal="center"/>
      <protection locked="0"/>
    </xf>
    <xf numFmtId="0" fontId="18" fillId="2" borderId="11" xfId="26" applyFont="1" applyFill="1" applyBorder="1" applyAlignment="1" applyProtection="1">
      <alignment horizontal="center"/>
      <protection locked="0"/>
    </xf>
    <xf numFmtId="0" fontId="18" fillId="2" borderId="10" xfId="27" applyFont="1" applyFill="1" applyBorder="1" applyAlignment="1" applyProtection="1">
      <alignment horizontal="center"/>
      <protection locked="0"/>
    </xf>
    <xf numFmtId="0" fontId="18" fillId="2" borderId="11" xfId="27" applyFont="1" applyFill="1" applyBorder="1" applyAlignment="1" applyProtection="1">
      <alignment horizontal="center"/>
      <protection locked="0"/>
    </xf>
    <xf numFmtId="0" fontId="10" fillId="2" borderId="10" xfId="28" applyFont="1" applyFill="1" applyBorder="1" applyAlignment="1">
      <alignment horizontal="center" vertical="center"/>
    </xf>
    <xf numFmtId="0" fontId="10" fillId="2" borderId="11" xfId="28" applyFont="1" applyFill="1" applyBorder="1" applyAlignment="1">
      <alignment horizontal="center" vertical="center"/>
    </xf>
    <xf numFmtId="0" fontId="18" fillId="2" borderId="2" xfId="25" applyFont="1" applyFill="1" applyBorder="1" applyAlignment="1" applyProtection="1">
      <alignment horizontal="center"/>
      <protection locked="0"/>
    </xf>
    <xf numFmtId="0" fontId="18" fillId="2" borderId="3" xfId="25" applyFont="1" applyFill="1" applyBorder="1" applyAlignment="1" applyProtection="1">
      <alignment horizontal="center"/>
      <protection locked="0"/>
    </xf>
    <xf numFmtId="0" fontId="18" fillId="2" borderId="2" xfId="26" applyFont="1" applyFill="1" applyBorder="1" applyAlignment="1" applyProtection="1">
      <alignment horizontal="center"/>
      <protection locked="0"/>
    </xf>
    <xf numFmtId="0" fontId="18" fillId="2" borderId="3" xfId="26" applyFont="1" applyFill="1" applyBorder="1" applyAlignment="1" applyProtection="1">
      <alignment horizontal="center"/>
      <protection locked="0"/>
    </xf>
    <xf numFmtId="0" fontId="23" fillId="2" borderId="4" xfId="15" applyFont="1" applyFill="1" applyBorder="1" applyAlignment="1">
      <alignment horizontal="center" vertical="center"/>
    </xf>
    <xf numFmtId="0" fontId="18" fillId="2" borderId="2" xfId="16" applyFont="1" applyFill="1" applyBorder="1" applyAlignment="1" applyProtection="1">
      <alignment horizontal="center"/>
      <protection locked="0"/>
    </xf>
    <xf numFmtId="0" fontId="18" fillId="2" borderId="3" xfId="16" applyFont="1" applyFill="1" applyBorder="1" applyAlignment="1" applyProtection="1">
      <alignment horizontal="center"/>
      <protection locked="0"/>
    </xf>
    <xf numFmtId="0" fontId="18" fillId="2" borderId="2" xfId="17" applyFont="1" applyFill="1" applyBorder="1" applyAlignment="1" applyProtection="1">
      <alignment horizontal="center"/>
      <protection locked="0"/>
    </xf>
    <xf numFmtId="0" fontId="18" fillId="2" borderId="3" xfId="17" applyFont="1" applyFill="1" applyBorder="1" applyAlignment="1" applyProtection="1">
      <alignment horizontal="center"/>
      <protection locked="0"/>
    </xf>
    <xf numFmtId="0" fontId="18" fillId="2" borderId="2" xfId="18" applyFont="1" applyFill="1" applyBorder="1" applyAlignment="1" applyProtection="1">
      <alignment horizontal="center"/>
      <protection locked="0"/>
    </xf>
    <xf numFmtId="0" fontId="18" fillId="2" borderId="3" xfId="18" applyFont="1" applyFill="1" applyBorder="1" applyAlignment="1" applyProtection="1">
      <alignment horizontal="center"/>
      <protection locked="0"/>
    </xf>
    <xf numFmtId="0" fontId="18" fillId="2" borderId="2" xfId="19" applyFont="1" applyFill="1" applyBorder="1" applyAlignment="1" applyProtection="1">
      <alignment horizontal="center"/>
      <protection locked="0"/>
    </xf>
    <xf numFmtId="0" fontId="18" fillId="2" borderId="3" xfId="19" applyFont="1" applyFill="1" applyBorder="1" applyAlignment="1" applyProtection="1">
      <alignment horizontal="center"/>
      <protection locked="0"/>
    </xf>
    <xf numFmtId="0" fontId="18" fillId="2" borderId="2" xfId="20" applyFont="1" applyFill="1" applyBorder="1" applyAlignment="1" applyProtection="1">
      <alignment horizontal="center"/>
      <protection locked="0"/>
    </xf>
    <xf numFmtId="0" fontId="18" fillId="2" borderId="3" xfId="20" applyFont="1" applyFill="1" applyBorder="1" applyAlignment="1" applyProtection="1">
      <alignment horizontal="center"/>
      <protection locked="0"/>
    </xf>
    <xf numFmtId="0" fontId="18" fillId="2" borderId="2" xfId="21" applyFont="1" applyFill="1" applyBorder="1" applyAlignment="1" applyProtection="1">
      <alignment horizontal="center" wrapText="1"/>
      <protection locked="0"/>
    </xf>
    <xf numFmtId="0" fontId="11" fillId="2" borderId="3" xfId="0" applyFont="1" applyFill="1" applyBorder="1" applyAlignment="1">
      <alignment horizontal="center" wrapText="1"/>
    </xf>
    <xf numFmtId="0" fontId="18" fillId="2" borderId="2" xfId="22" applyFont="1" applyFill="1" applyBorder="1" applyAlignment="1" applyProtection="1">
      <alignment horizontal="center"/>
      <protection locked="0"/>
    </xf>
    <xf numFmtId="0" fontId="18" fillId="2" borderId="3" xfId="22" applyFont="1" applyFill="1" applyBorder="1" applyAlignment="1" applyProtection="1">
      <alignment horizontal="center"/>
      <protection locked="0"/>
    </xf>
    <xf numFmtId="0" fontId="18" fillId="2" borderId="2" xfId="23" applyFont="1" applyFill="1" applyBorder="1" applyAlignment="1" applyProtection="1">
      <alignment horizontal="center"/>
      <protection locked="0"/>
    </xf>
    <xf numFmtId="0" fontId="18" fillId="2" borderId="3" xfId="23" applyFont="1" applyFill="1" applyBorder="1" applyAlignment="1" applyProtection="1">
      <alignment horizontal="center"/>
      <protection locked="0"/>
    </xf>
    <xf numFmtId="0" fontId="18" fillId="2" borderId="2" xfId="24" applyFont="1" applyFill="1" applyBorder="1" applyAlignment="1" applyProtection="1">
      <alignment horizontal="center"/>
      <protection locked="0"/>
    </xf>
    <xf numFmtId="0" fontId="18" fillId="2" borderId="3" xfId="24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30">
    <cellStyle name="Comma" xfId="29" builtinId="3"/>
    <cellStyle name="Normal" xfId="0" builtinId="0"/>
    <cellStyle name="Normal 12" xfId="1" xr:uid="{00000000-0005-0000-0000-000002000000}"/>
    <cellStyle name="Normal 14" xfId="2" xr:uid="{00000000-0005-0000-0000-000003000000}"/>
    <cellStyle name="Normal 15" xfId="3" xr:uid="{00000000-0005-0000-0000-000004000000}"/>
    <cellStyle name="Normal 17" xfId="4" xr:uid="{00000000-0005-0000-0000-000005000000}"/>
    <cellStyle name="Normal 18" xfId="5" xr:uid="{00000000-0005-0000-0000-000006000000}"/>
    <cellStyle name="Normal 27" xfId="6" xr:uid="{00000000-0005-0000-0000-000007000000}"/>
    <cellStyle name="Normal 28" xfId="7" xr:uid="{00000000-0005-0000-0000-000008000000}"/>
    <cellStyle name="Normal 29" xfId="8" xr:uid="{00000000-0005-0000-0000-000009000000}"/>
    <cellStyle name="Normal 30" xfId="9" xr:uid="{00000000-0005-0000-0000-00000A000000}"/>
    <cellStyle name="Normal 31" xfId="10" xr:uid="{00000000-0005-0000-0000-00000B000000}"/>
    <cellStyle name="Normal 32" xfId="11" xr:uid="{00000000-0005-0000-0000-00000C000000}"/>
    <cellStyle name="Normal 33" xfId="12" xr:uid="{00000000-0005-0000-0000-00000D000000}"/>
    <cellStyle name="Normal 34" xfId="13" xr:uid="{00000000-0005-0000-0000-00000E000000}"/>
    <cellStyle name="Normal 35" xfId="14" xr:uid="{00000000-0005-0000-0000-00000F000000}"/>
    <cellStyle name="Normal 38" xfId="15" xr:uid="{00000000-0005-0000-0000-000010000000}"/>
    <cellStyle name="Normal 39" xfId="16" xr:uid="{00000000-0005-0000-0000-000011000000}"/>
    <cellStyle name="Normal 40" xfId="17" xr:uid="{00000000-0005-0000-0000-000012000000}"/>
    <cellStyle name="Normal 41" xfId="18" xr:uid="{00000000-0005-0000-0000-000013000000}"/>
    <cellStyle name="Normal 42" xfId="19" xr:uid="{00000000-0005-0000-0000-000014000000}"/>
    <cellStyle name="Normal 43" xfId="20" xr:uid="{00000000-0005-0000-0000-000015000000}"/>
    <cellStyle name="Normal 44" xfId="21" xr:uid="{00000000-0005-0000-0000-000016000000}"/>
    <cellStyle name="Normal 45" xfId="22" xr:uid="{00000000-0005-0000-0000-000017000000}"/>
    <cellStyle name="Normal 46" xfId="23" xr:uid="{00000000-0005-0000-0000-000018000000}"/>
    <cellStyle name="Normal 47" xfId="24" xr:uid="{00000000-0005-0000-0000-000019000000}"/>
    <cellStyle name="Normal 48" xfId="25" xr:uid="{00000000-0005-0000-0000-00001A000000}"/>
    <cellStyle name="Normal 49" xfId="26" xr:uid="{00000000-0005-0000-0000-00001B000000}"/>
    <cellStyle name="Normal 50" xfId="27" xr:uid="{00000000-0005-0000-0000-00001C000000}"/>
    <cellStyle name="Normal 51" xfId="28" xr:uid="{00000000-0005-0000-0000-00001D000000}"/>
  </cellStyles>
  <dxfs count="0"/>
  <tableStyles count="0" defaultTableStyle="TableStyleMedium9" defaultPivotStyle="PivotStyleLight16"/>
  <colors>
    <mruColors>
      <color rgb="FF66FF33"/>
      <color rgb="FF30DDF4"/>
      <color rgb="FF000000"/>
      <color rgb="FF0CCAE4"/>
      <color rgb="FFFFFF66"/>
      <color rgb="FF61349C"/>
      <color rgb="FFFFFF99"/>
      <color rgb="FF6249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workbookViewId="0">
      <selection activeCell="C28" sqref="C28"/>
    </sheetView>
  </sheetViews>
  <sheetFormatPr defaultRowHeight="15" x14ac:dyDescent="0.25"/>
  <cols>
    <col min="1" max="1" width="4.28515625" customWidth="1"/>
    <col min="2" max="2" width="30.140625" customWidth="1"/>
    <col min="3" max="3" width="12.42578125" customWidth="1"/>
    <col min="4" max="4" width="14.5703125" customWidth="1"/>
    <col min="5" max="5" width="13.28515625" customWidth="1"/>
    <col min="6" max="6" width="15" customWidth="1"/>
    <col min="7" max="7" width="13.7109375" customWidth="1"/>
    <col min="8" max="8" width="12.140625" customWidth="1"/>
    <col min="9" max="9" width="11.7109375" customWidth="1"/>
    <col min="10" max="10" width="11.42578125" customWidth="1"/>
    <col min="11" max="11" width="12" customWidth="1"/>
    <col min="12" max="12" width="11.28515625" customWidth="1"/>
    <col min="13" max="13" width="12.42578125" customWidth="1"/>
    <col min="14" max="14" width="12.85546875" customWidth="1"/>
    <col min="15" max="15" width="14" customWidth="1"/>
  </cols>
  <sheetData>
    <row r="1" spans="2:15" x14ac:dyDescent="0.25">
      <c r="C1" s="38"/>
    </row>
    <row r="2" spans="2:15" ht="26.25" x14ac:dyDescent="0.4">
      <c r="C2" s="38"/>
      <c r="E2" s="50" t="s">
        <v>0</v>
      </c>
      <c r="F2" s="49"/>
      <c r="G2" s="49"/>
      <c r="H2" s="49"/>
      <c r="I2" s="49"/>
    </row>
    <row r="3" spans="2:15" x14ac:dyDescent="0.25">
      <c r="E3" s="49"/>
      <c r="F3" s="49"/>
      <c r="G3" s="49"/>
      <c r="H3" s="49"/>
      <c r="I3" s="49"/>
    </row>
    <row r="5" spans="2:15" ht="20.25" x14ac:dyDescent="0.3">
      <c r="B5" s="19" t="s">
        <v>1</v>
      </c>
      <c r="C5" s="20" t="s">
        <v>21</v>
      </c>
      <c r="D5" s="20" t="s">
        <v>22</v>
      </c>
      <c r="E5" s="20" t="s">
        <v>23</v>
      </c>
      <c r="F5" s="20" t="s">
        <v>24</v>
      </c>
      <c r="G5" s="20" t="s">
        <v>25</v>
      </c>
      <c r="H5" s="20" t="s">
        <v>26</v>
      </c>
      <c r="I5" s="20" t="s">
        <v>27</v>
      </c>
      <c r="J5" s="20" t="s">
        <v>37</v>
      </c>
      <c r="K5" s="20" t="s">
        <v>28</v>
      </c>
      <c r="L5" s="20" t="s">
        <v>29</v>
      </c>
      <c r="M5" s="20" t="s">
        <v>30</v>
      </c>
      <c r="N5" s="20" t="s">
        <v>31</v>
      </c>
      <c r="O5" s="35" t="s">
        <v>20</v>
      </c>
    </row>
    <row r="6" spans="2:15" x14ac:dyDescent="0.25">
      <c r="B6" s="17" t="s">
        <v>2</v>
      </c>
      <c r="C6" s="2">
        <v>121</v>
      </c>
      <c r="D6" s="3">
        <v>132</v>
      </c>
      <c r="E6" s="3">
        <v>74</v>
      </c>
      <c r="F6" s="3">
        <v>69</v>
      </c>
      <c r="G6" s="3">
        <v>15</v>
      </c>
      <c r="H6" s="1"/>
      <c r="I6" s="1"/>
      <c r="J6" s="1"/>
      <c r="K6" s="1"/>
      <c r="L6" s="1"/>
      <c r="M6" s="1"/>
      <c r="N6" s="1"/>
      <c r="O6" s="1"/>
    </row>
    <row r="7" spans="2:15" x14ac:dyDescent="0.25">
      <c r="B7" s="18" t="s">
        <v>3</v>
      </c>
      <c r="C7" s="2">
        <v>238</v>
      </c>
      <c r="D7" s="3">
        <v>377</v>
      </c>
      <c r="E7" s="3">
        <v>218</v>
      </c>
      <c r="F7" s="3">
        <v>167</v>
      </c>
      <c r="G7" s="3">
        <v>148</v>
      </c>
      <c r="H7" s="1"/>
      <c r="I7" s="1"/>
      <c r="J7" s="1"/>
      <c r="K7" s="1"/>
      <c r="L7" s="1"/>
      <c r="M7" s="1"/>
      <c r="N7" s="1"/>
      <c r="O7" s="1"/>
    </row>
    <row r="8" spans="2:15" x14ac:dyDescent="0.25">
      <c r="B8" s="18" t="s">
        <v>4</v>
      </c>
      <c r="C8" s="2">
        <v>7</v>
      </c>
      <c r="D8" s="3">
        <v>8</v>
      </c>
      <c r="E8" s="3">
        <v>4</v>
      </c>
      <c r="F8" s="3">
        <v>7</v>
      </c>
      <c r="G8" s="3">
        <v>12</v>
      </c>
      <c r="H8" s="1"/>
      <c r="I8" s="1"/>
      <c r="J8" s="1"/>
      <c r="K8" s="1"/>
      <c r="L8" s="1"/>
      <c r="M8" s="1"/>
      <c r="N8" s="1"/>
      <c r="O8" s="1"/>
    </row>
    <row r="9" spans="2:15" x14ac:dyDescent="0.25">
      <c r="B9" s="18" t="s">
        <v>5</v>
      </c>
      <c r="C9" s="2">
        <v>9</v>
      </c>
      <c r="D9" s="3">
        <v>12</v>
      </c>
      <c r="E9" s="3">
        <v>9</v>
      </c>
      <c r="F9" s="3">
        <v>10</v>
      </c>
      <c r="G9" s="3">
        <v>19</v>
      </c>
      <c r="H9" s="1"/>
      <c r="I9" s="1"/>
      <c r="J9" s="1"/>
      <c r="K9" s="1"/>
      <c r="L9" s="1"/>
      <c r="M9" s="1"/>
      <c r="N9" s="1"/>
      <c r="O9" s="1"/>
    </row>
    <row r="10" spans="2:15" x14ac:dyDescent="0.25">
      <c r="B10" s="18" t="s">
        <v>6</v>
      </c>
      <c r="C10" s="2">
        <v>67</v>
      </c>
      <c r="D10" s="3">
        <v>54</v>
      </c>
      <c r="E10" s="3">
        <v>81</v>
      </c>
      <c r="F10" s="3">
        <v>91</v>
      </c>
      <c r="G10" s="3">
        <v>64</v>
      </c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8" t="s">
        <v>7</v>
      </c>
      <c r="C11" s="2">
        <v>10</v>
      </c>
      <c r="D11" s="3">
        <v>3</v>
      </c>
      <c r="E11" s="3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8" t="s">
        <v>8</v>
      </c>
      <c r="C12" s="2">
        <v>1</v>
      </c>
      <c r="D12" s="3">
        <v>2</v>
      </c>
      <c r="E12" s="3">
        <v>2</v>
      </c>
      <c r="F12" s="3">
        <v>1</v>
      </c>
      <c r="G12" s="3">
        <v>1</v>
      </c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8" t="s">
        <v>9</v>
      </c>
      <c r="C13" s="2">
        <v>2</v>
      </c>
      <c r="D13" s="3">
        <v>8</v>
      </c>
      <c r="E13" s="3">
        <v>2</v>
      </c>
      <c r="F13" s="3">
        <v>3</v>
      </c>
      <c r="G13" s="3">
        <v>2</v>
      </c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8" t="s">
        <v>10</v>
      </c>
      <c r="C14" s="2">
        <v>471</v>
      </c>
      <c r="D14" s="3">
        <v>985</v>
      </c>
      <c r="E14" s="3">
        <v>785</v>
      </c>
      <c r="F14" s="3">
        <v>783</v>
      </c>
      <c r="G14" s="3">
        <v>637</v>
      </c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8" t="s">
        <v>11</v>
      </c>
      <c r="C15" s="2">
        <v>64</v>
      </c>
      <c r="D15" s="3">
        <v>123</v>
      </c>
      <c r="E15" s="3">
        <v>104</v>
      </c>
      <c r="F15" s="3">
        <v>94</v>
      </c>
      <c r="G15" s="3">
        <v>71</v>
      </c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8" t="s">
        <v>12</v>
      </c>
      <c r="C16" s="2">
        <v>158</v>
      </c>
      <c r="D16" s="3">
        <v>184</v>
      </c>
      <c r="E16" s="3">
        <v>206</v>
      </c>
      <c r="F16" s="3">
        <v>267</v>
      </c>
      <c r="G16" s="3">
        <v>227</v>
      </c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8" t="s">
        <v>13</v>
      </c>
      <c r="C17" s="2">
        <v>129</v>
      </c>
      <c r="D17" s="3">
        <v>112</v>
      </c>
      <c r="E17" s="3">
        <v>129</v>
      </c>
      <c r="F17" s="3">
        <v>126</v>
      </c>
      <c r="G17" s="3">
        <v>90</v>
      </c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8" t="s">
        <v>14</v>
      </c>
      <c r="C18" s="2">
        <v>76</v>
      </c>
      <c r="D18" s="3">
        <v>61</v>
      </c>
      <c r="E18" s="3">
        <v>50</v>
      </c>
      <c r="F18" s="3">
        <v>49</v>
      </c>
      <c r="G18" s="3">
        <v>80</v>
      </c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8" t="s">
        <v>15</v>
      </c>
      <c r="C19" s="2">
        <v>433</v>
      </c>
      <c r="D19" s="3">
        <v>761</v>
      </c>
      <c r="E19" s="3">
        <v>783</v>
      </c>
      <c r="F19" s="3">
        <v>649</v>
      </c>
      <c r="G19" s="3">
        <v>720</v>
      </c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8" t="s">
        <v>16</v>
      </c>
      <c r="C20" s="2">
        <v>59</v>
      </c>
      <c r="D20" s="3">
        <v>105</v>
      </c>
      <c r="E20" s="3">
        <v>116</v>
      </c>
      <c r="F20" s="3">
        <v>100</v>
      </c>
      <c r="G20" s="3">
        <v>86</v>
      </c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18" t="s">
        <v>17</v>
      </c>
      <c r="C21" s="2">
        <v>72</v>
      </c>
      <c r="D21" s="3">
        <v>47</v>
      </c>
      <c r="E21" s="3">
        <v>55</v>
      </c>
      <c r="F21" s="3">
        <v>62</v>
      </c>
      <c r="G21" s="3">
        <v>58</v>
      </c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18" t="s">
        <v>53</v>
      </c>
      <c r="C22" s="2">
        <v>50</v>
      </c>
      <c r="D22" s="3">
        <v>40</v>
      </c>
      <c r="E22" s="3">
        <v>74</v>
      </c>
      <c r="F22" s="3">
        <v>49</v>
      </c>
      <c r="G22" s="3">
        <v>62</v>
      </c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18" t="s">
        <v>18</v>
      </c>
      <c r="C23" s="2">
        <v>69</v>
      </c>
      <c r="D23" s="3">
        <v>137</v>
      </c>
      <c r="E23" s="3">
        <v>50</v>
      </c>
      <c r="F23" s="3">
        <v>46</v>
      </c>
      <c r="G23" s="3">
        <v>29</v>
      </c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18" t="s">
        <v>19</v>
      </c>
      <c r="C24" s="2">
        <v>27</v>
      </c>
      <c r="D24" s="3">
        <v>60</v>
      </c>
      <c r="E24" s="3">
        <v>52</v>
      </c>
      <c r="F24" s="3">
        <v>40</v>
      </c>
      <c r="G24" s="3">
        <v>46</v>
      </c>
      <c r="H24" s="1"/>
      <c r="I24" s="1"/>
      <c r="J24" s="1"/>
      <c r="K24" s="1"/>
      <c r="L24" s="1"/>
      <c r="M24" s="1"/>
      <c r="N24" s="1"/>
      <c r="O24" s="1"/>
    </row>
    <row r="25" spans="2:15" ht="15.75" x14ac:dyDescent="0.25">
      <c r="B25" s="35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9" spans="2:15" x14ac:dyDescent="0.25">
      <c r="B29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O15"/>
  <sheetViews>
    <sheetView topLeftCell="A4" workbookViewId="0">
      <selection activeCell="F37" sqref="F37"/>
    </sheetView>
  </sheetViews>
  <sheetFormatPr defaultRowHeight="15" x14ac:dyDescent="0.25"/>
  <cols>
    <col min="2" max="2" width="27.5703125" customWidth="1"/>
    <col min="3" max="3" width="11.85546875" customWidth="1"/>
    <col min="4" max="4" width="13.5703125" customWidth="1"/>
    <col min="5" max="5" width="10.28515625" customWidth="1"/>
    <col min="6" max="6" width="11.42578125" customWidth="1"/>
    <col min="7" max="7" width="11" customWidth="1"/>
    <col min="8" max="8" width="12.5703125" customWidth="1"/>
    <col min="9" max="9" width="13" customWidth="1"/>
    <col min="10" max="10" width="11.42578125" customWidth="1"/>
    <col min="11" max="11" width="13.28515625" customWidth="1"/>
    <col min="12" max="12" width="12.140625" customWidth="1"/>
    <col min="13" max="13" width="11.85546875" customWidth="1"/>
    <col min="14" max="14" width="11.5703125" customWidth="1"/>
  </cols>
  <sheetData>
    <row r="4" spans="2:15" ht="26.25" x14ac:dyDescent="0.4">
      <c r="D4" s="49"/>
      <c r="E4" s="50" t="s">
        <v>54</v>
      </c>
      <c r="F4" s="49"/>
      <c r="G4" s="50"/>
      <c r="H4" s="49"/>
      <c r="I4" s="49"/>
      <c r="J4" s="49"/>
      <c r="K4" s="49"/>
    </row>
    <row r="5" spans="2:15" ht="15.75" x14ac:dyDescent="0.25">
      <c r="D5" s="49"/>
      <c r="E5" s="49"/>
      <c r="F5" s="51" t="s">
        <v>32</v>
      </c>
      <c r="G5" s="49"/>
      <c r="H5" s="49"/>
      <c r="I5" s="49"/>
      <c r="J5" s="49"/>
      <c r="K5" s="49"/>
    </row>
    <row r="10" spans="2:15" ht="20.25" x14ac:dyDescent="0.3">
      <c r="B10" s="21" t="s">
        <v>33</v>
      </c>
      <c r="C10" s="22" t="s">
        <v>21</v>
      </c>
      <c r="D10" s="23" t="s">
        <v>22</v>
      </c>
      <c r="E10" s="24" t="s">
        <v>23</v>
      </c>
      <c r="F10" s="25" t="s">
        <v>24</v>
      </c>
      <c r="G10" s="26" t="s">
        <v>25</v>
      </c>
      <c r="H10" s="27" t="s">
        <v>26</v>
      </c>
      <c r="I10" s="28" t="s">
        <v>27</v>
      </c>
      <c r="J10" s="29" t="s">
        <v>37</v>
      </c>
      <c r="K10" s="30" t="s">
        <v>28</v>
      </c>
      <c r="L10" s="31" t="s">
        <v>29</v>
      </c>
      <c r="M10" s="32" t="s">
        <v>30</v>
      </c>
      <c r="N10" s="33" t="s">
        <v>38</v>
      </c>
      <c r="O10" s="36" t="s">
        <v>20</v>
      </c>
    </row>
    <row r="11" spans="2:15" x14ac:dyDescent="0.25">
      <c r="B11" s="16" t="s">
        <v>34</v>
      </c>
      <c r="C11" s="39">
        <v>1294</v>
      </c>
      <c r="D11" s="42">
        <v>2413</v>
      </c>
      <c r="E11" s="44">
        <v>1605</v>
      </c>
      <c r="F11" s="46">
        <v>1517</v>
      </c>
      <c r="G11" s="48">
        <v>1480</v>
      </c>
      <c r="H11" s="9"/>
      <c r="I11" s="10"/>
      <c r="J11" s="11"/>
      <c r="K11" s="12"/>
      <c r="L11" s="13"/>
      <c r="M11" s="14"/>
      <c r="N11" s="15"/>
      <c r="O11" s="15"/>
    </row>
    <row r="12" spans="2:15" x14ac:dyDescent="0.25">
      <c r="B12" s="16" t="s">
        <v>35</v>
      </c>
      <c r="C12" s="40">
        <v>115</v>
      </c>
      <c r="D12" s="41">
        <v>147</v>
      </c>
      <c r="E12" s="44">
        <v>375</v>
      </c>
      <c r="F12" s="45">
        <v>270</v>
      </c>
      <c r="G12" s="47">
        <v>80</v>
      </c>
      <c r="H12" s="9"/>
      <c r="I12" s="10"/>
      <c r="J12" s="11"/>
      <c r="K12" s="12"/>
      <c r="L12" s="13"/>
      <c r="M12" s="14"/>
      <c r="N12" s="15"/>
      <c r="O12" s="15"/>
    </row>
    <row r="13" spans="2:15" x14ac:dyDescent="0.25">
      <c r="B13" s="16" t="s">
        <v>68</v>
      </c>
      <c r="C13" s="40"/>
      <c r="D13" s="41"/>
      <c r="E13" s="43">
        <v>2</v>
      </c>
      <c r="F13" s="45"/>
      <c r="G13" s="8"/>
      <c r="H13" s="9"/>
      <c r="I13" s="10"/>
      <c r="J13" s="11"/>
      <c r="K13" s="12"/>
      <c r="L13" s="13"/>
      <c r="M13" s="14"/>
      <c r="N13" s="15"/>
      <c r="O13" s="15"/>
    </row>
    <row r="14" spans="2:15" x14ac:dyDescent="0.25">
      <c r="B14" s="16" t="s">
        <v>36</v>
      </c>
      <c r="C14" s="40">
        <v>17</v>
      </c>
      <c r="D14" s="41">
        <v>63</v>
      </c>
      <c r="E14" s="44">
        <v>26</v>
      </c>
      <c r="F14" s="45">
        <v>63</v>
      </c>
      <c r="G14" s="47">
        <v>54</v>
      </c>
      <c r="H14" s="9"/>
      <c r="I14" s="10"/>
      <c r="J14" s="11"/>
      <c r="K14" s="12"/>
      <c r="L14" s="13"/>
      <c r="M14" s="14"/>
      <c r="N14" s="15"/>
      <c r="O14" s="15"/>
    </row>
    <row r="15" spans="2:15" ht="15.75" x14ac:dyDescent="0.25">
      <c r="B15" s="37" t="s">
        <v>20</v>
      </c>
      <c r="C15" s="4"/>
      <c r="D15" s="5"/>
      <c r="E15" s="6"/>
      <c r="F15" s="7"/>
      <c r="G15" s="8"/>
      <c r="H15" s="9"/>
      <c r="I15" s="10"/>
      <c r="J15" s="11"/>
      <c r="K15" s="12"/>
      <c r="L15" s="13"/>
      <c r="M15" s="14"/>
      <c r="N15" s="15"/>
      <c r="O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99"/>
  <sheetViews>
    <sheetView tabSelected="1" workbookViewId="0">
      <selection activeCell="O183" sqref="O183:P183"/>
    </sheetView>
  </sheetViews>
  <sheetFormatPr defaultRowHeight="15" x14ac:dyDescent="0.25"/>
  <cols>
    <col min="1" max="1" width="24.85546875" customWidth="1"/>
    <col min="2" max="2" width="8.85546875" style="55" customWidth="1"/>
    <col min="3" max="3" width="8.85546875" style="54" customWidth="1"/>
    <col min="4" max="4" width="8.85546875" style="55" customWidth="1"/>
    <col min="5" max="5" width="8.85546875" style="54" customWidth="1"/>
    <col min="6" max="6" width="8.85546875" style="55" customWidth="1"/>
    <col min="7" max="7" width="8.85546875" style="54" customWidth="1"/>
    <col min="8" max="8" width="8.85546875" style="55" customWidth="1"/>
    <col min="9" max="9" width="8.85546875" style="54" customWidth="1"/>
    <col min="10" max="10" width="8.85546875" style="55" customWidth="1"/>
    <col min="11" max="11" width="8.85546875" style="54" customWidth="1"/>
    <col min="12" max="13" width="8.85546875" style="55" customWidth="1"/>
    <col min="14" max="14" width="2.28515625" style="291" customWidth="1"/>
    <col min="15" max="15" width="8.85546875" style="55" customWidth="1"/>
    <col min="16" max="16" width="8.85546875" style="54" customWidth="1"/>
    <col min="17" max="17" width="8.85546875" style="55" customWidth="1"/>
    <col min="18" max="18" width="8.85546875" style="54" customWidth="1"/>
    <col min="19" max="19" width="8.85546875" style="55" customWidth="1"/>
    <col min="20" max="20" width="8.85546875" style="54" customWidth="1"/>
    <col min="21" max="21" width="8.85546875" style="55" customWidth="1"/>
    <col min="22" max="22" width="8.85546875" style="54" customWidth="1"/>
    <col min="23" max="23" width="8.85546875" style="55" customWidth="1"/>
    <col min="24" max="24" width="8.85546875" style="54" customWidth="1"/>
    <col min="25" max="25" width="8.85546875" style="55" customWidth="1"/>
    <col min="26" max="26" width="8.85546875" style="54" customWidth="1"/>
    <col min="27" max="27" width="9.5703125" customWidth="1"/>
    <col min="28" max="28" width="8.85546875" style="54" customWidth="1"/>
    <col min="30" max="30" width="12.5703125" bestFit="1" customWidth="1"/>
  </cols>
  <sheetData>
    <row r="1" spans="1:28" ht="16.5" customHeight="1" x14ac:dyDescent="0.25">
      <c r="A1" s="189" t="s">
        <v>133</v>
      </c>
      <c r="B1" s="111"/>
      <c r="C1" s="112"/>
      <c r="D1" s="113"/>
      <c r="E1" s="114"/>
      <c r="F1" s="115"/>
      <c r="G1" s="116"/>
      <c r="H1" s="61"/>
      <c r="J1" s="60"/>
      <c r="L1" s="60"/>
      <c r="M1" s="60"/>
      <c r="N1" s="289"/>
      <c r="O1" s="59"/>
      <c r="Q1" s="59"/>
      <c r="S1" s="59"/>
    </row>
    <row r="2" spans="1:28" ht="9.75" customHeight="1" x14ac:dyDescent="0.25">
      <c r="D2" s="59"/>
      <c r="F2" s="59"/>
      <c r="H2" s="59"/>
      <c r="J2" s="59"/>
      <c r="L2" s="59"/>
      <c r="M2" s="59"/>
      <c r="N2" s="142"/>
      <c r="O2" s="59"/>
      <c r="Q2" s="59"/>
      <c r="S2" s="59"/>
    </row>
    <row r="3" spans="1:28" s="288" customFormat="1" ht="15" customHeight="1" x14ac:dyDescent="0.25">
      <c r="A3" s="365" t="s">
        <v>39</v>
      </c>
      <c r="B3" s="366" t="s">
        <v>21</v>
      </c>
      <c r="C3" s="367"/>
      <c r="D3" s="368" t="s">
        <v>22</v>
      </c>
      <c r="E3" s="369"/>
      <c r="F3" s="370" t="s">
        <v>23</v>
      </c>
      <c r="G3" s="371"/>
      <c r="H3" s="372" t="s">
        <v>24</v>
      </c>
      <c r="I3" s="373"/>
      <c r="J3" s="374" t="s">
        <v>25</v>
      </c>
      <c r="K3" s="375"/>
      <c r="L3" s="376" t="s">
        <v>40</v>
      </c>
      <c r="M3" s="377"/>
      <c r="N3" s="142"/>
      <c r="O3" s="378" t="s">
        <v>27</v>
      </c>
      <c r="P3" s="379"/>
      <c r="Q3" s="380" t="s">
        <v>37</v>
      </c>
      <c r="R3" s="381"/>
      <c r="S3" s="382" t="s">
        <v>28</v>
      </c>
      <c r="T3" s="383"/>
      <c r="U3" s="361" t="s">
        <v>29</v>
      </c>
      <c r="V3" s="362"/>
      <c r="W3" s="363" t="s">
        <v>30</v>
      </c>
      <c r="X3" s="364"/>
      <c r="Y3" s="329" t="s">
        <v>38</v>
      </c>
      <c r="Z3" s="330"/>
      <c r="AA3" s="331" t="s">
        <v>20</v>
      </c>
      <c r="AB3" s="332"/>
    </row>
    <row r="4" spans="1:28" ht="13.5" customHeight="1" x14ac:dyDescent="0.25">
      <c r="A4" s="334"/>
      <c r="B4" s="294" t="s">
        <v>72</v>
      </c>
      <c r="C4" s="141" t="s">
        <v>78</v>
      </c>
      <c r="D4" s="294" t="s">
        <v>72</v>
      </c>
      <c r="E4" s="141" t="s">
        <v>78</v>
      </c>
      <c r="F4" s="294" t="s">
        <v>72</v>
      </c>
      <c r="G4" s="141" t="s">
        <v>78</v>
      </c>
      <c r="H4" s="294" t="s">
        <v>72</v>
      </c>
      <c r="I4" s="141" t="s">
        <v>78</v>
      </c>
      <c r="J4" s="294" t="s">
        <v>72</v>
      </c>
      <c r="K4" s="141" t="s">
        <v>78</v>
      </c>
      <c r="L4" s="294" t="s">
        <v>72</v>
      </c>
      <c r="M4" s="141" t="s">
        <v>78</v>
      </c>
      <c r="N4" s="142"/>
      <c r="O4" s="294" t="s">
        <v>72</v>
      </c>
      <c r="P4" s="141" t="s">
        <v>78</v>
      </c>
      <c r="Q4" s="294" t="s">
        <v>72</v>
      </c>
      <c r="R4" s="141" t="s">
        <v>78</v>
      </c>
      <c r="S4" s="294" t="s">
        <v>72</v>
      </c>
      <c r="T4" s="141" t="s">
        <v>78</v>
      </c>
      <c r="U4" s="294" t="s">
        <v>72</v>
      </c>
      <c r="V4" s="141" t="s">
        <v>78</v>
      </c>
      <c r="W4" s="294" t="s">
        <v>72</v>
      </c>
      <c r="X4" s="141" t="s">
        <v>78</v>
      </c>
      <c r="Y4" s="294" t="s">
        <v>72</v>
      </c>
      <c r="Z4" s="141" t="s">
        <v>78</v>
      </c>
      <c r="AA4" s="295" t="s">
        <v>72</v>
      </c>
      <c r="AB4" s="141" t="s">
        <v>78</v>
      </c>
    </row>
    <row r="5" spans="1:28" s="288" customFormat="1" ht="15" customHeight="1" x14ac:dyDescent="0.25">
      <c r="A5" s="143" t="s">
        <v>73</v>
      </c>
      <c r="B5" s="118"/>
      <c r="C5" s="119"/>
      <c r="D5" s="120"/>
      <c r="E5" s="119"/>
      <c r="F5" s="121"/>
      <c r="G5" s="119"/>
      <c r="H5" s="122"/>
      <c r="I5" s="119"/>
      <c r="J5" s="123"/>
      <c r="K5" s="119"/>
      <c r="L5" s="124"/>
      <c r="M5" s="124"/>
      <c r="N5" s="287"/>
      <c r="O5" s="125"/>
      <c r="P5" s="119"/>
      <c r="Q5" s="126"/>
      <c r="R5" s="119"/>
      <c r="S5" s="127"/>
      <c r="T5" s="119"/>
      <c r="U5" s="128"/>
      <c r="V5" s="119"/>
      <c r="W5" s="129"/>
      <c r="X5" s="119"/>
      <c r="Y5" s="130"/>
      <c r="Z5" s="119"/>
      <c r="AA5" s="131"/>
      <c r="AB5" s="119"/>
    </row>
    <row r="6" spans="1:28" ht="15" customHeight="1" x14ac:dyDescent="0.25">
      <c r="A6" s="73" t="s">
        <v>79</v>
      </c>
      <c r="B6" s="148">
        <v>1800</v>
      </c>
      <c r="C6" s="185">
        <f>B6/B31*100</f>
        <v>0.74170220656406449</v>
      </c>
      <c r="D6" s="56">
        <v>7290</v>
      </c>
      <c r="E6" s="146">
        <f>D6/D31*100</f>
        <v>2.3729310092280653</v>
      </c>
      <c r="F6" s="155">
        <v>450</v>
      </c>
      <c r="G6" s="185">
        <f>F6/F31*100</f>
        <v>0.18960940462646947</v>
      </c>
      <c r="H6" s="155">
        <v>3960</v>
      </c>
      <c r="I6" s="90">
        <f>H6/H31*100</f>
        <v>2.004099294010476</v>
      </c>
      <c r="J6" s="56">
        <v>8325</v>
      </c>
      <c r="K6" s="146">
        <f>J6/J31*100</f>
        <v>3.3926279112415183</v>
      </c>
      <c r="L6" s="56">
        <v>720</v>
      </c>
      <c r="M6" s="185">
        <f>L6/L31*100</f>
        <v>0.25192883010549522</v>
      </c>
      <c r="N6" s="142"/>
      <c r="O6" s="63">
        <v>6705</v>
      </c>
      <c r="P6" s="146">
        <f>O6/O31*100</f>
        <v>1.5694122603749736</v>
      </c>
      <c r="Q6" s="148">
        <v>7380</v>
      </c>
      <c r="R6" s="146">
        <f>Q6/Q31*100</f>
        <v>1.7974572555896537</v>
      </c>
      <c r="S6" s="148">
        <v>11745</v>
      </c>
      <c r="T6" s="146">
        <f>S6/S31*100</f>
        <v>2.8262046561992422</v>
      </c>
      <c r="U6" s="64">
        <v>4500</v>
      </c>
      <c r="V6" s="146">
        <f>U6/U31*100</f>
        <v>1.1735711770918906</v>
      </c>
      <c r="W6" s="65">
        <v>6840</v>
      </c>
      <c r="X6" s="146">
        <f>W6/W31*100</f>
        <v>2.0121789780248873</v>
      </c>
      <c r="Y6" s="110">
        <v>14490</v>
      </c>
      <c r="Z6" s="146">
        <f>Y6/Y31*100</f>
        <v>3.9163220627584532</v>
      </c>
      <c r="AA6" s="52">
        <f>B6+D6+F6+H6+J6+L6+O6+Q6+S6+U6+W6+Y6</f>
        <v>74205</v>
      </c>
      <c r="AB6" s="90">
        <f>AA6/AA31*100</f>
        <v>1.9210382227192766</v>
      </c>
    </row>
    <row r="7" spans="1:28" ht="15" customHeight="1" x14ac:dyDescent="0.25">
      <c r="A7" s="74" t="s">
        <v>55</v>
      </c>
      <c r="B7" s="148">
        <v>9630</v>
      </c>
      <c r="C7" s="185">
        <f>B7/B31*100</f>
        <v>3.9681068051177451</v>
      </c>
      <c r="D7" s="56">
        <v>15840</v>
      </c>
      <c r="E7" s="146">
        <f>D7/D31*100</f>
        <v>5.1559982422733261</v>
      </c>
      <c r="F7" s="155">
        <v>14625</v>
      </c>
      <c r="G7" s="185">
        <f>F7/F31*100</f>
        <v>6.162305650360258</v>
      </c>
      <c r="H7" s="148">
        <v>18270</v>
      </c>
      <c r="I7" s="146">
        <f>H7/H31*100</f>
        <v>9.2461853791846966</v>
      </c>
      <c r="J7" s="56">
        <v>26595</v>
      </c>
      <c r="K7" s="146">
        <f>J7/J31*100</f>
        <v>10.838070786722904</v>
      </c>
      <c r="L7" s="62">
        <v>28845</v>
      </c>
      <c r="M7" s="185">
        <f>L7/L31*100</f>
        <v>10.092898756101402</v>
      </c>
      <c r="N7" s="142"/>
      <c r="O7" s="63">
        <v>32265</v>
      </c>
      <c r="P7" s="146">
        <f>O7/O31*100</f>
        <v>7.5521381925426585</v>
      </c>
      <c r="Q7" s="148">
        <v>40905</v>
      </c>
      <c r="R7" s="146">
        <f>Q7/Q31*100</f>
        <v>9.9627356422621656</v>
      </c>
      <c r="S7" s="148">
        <v>27630</v>
      </c>
      <c r="T7" s="146">
        <f>S7/S31*100</f>
        <v>6.6486193827828917</v>
      </c>
      <c r="U7" s="64">
        <v>18360</v>
      </c>
      <c r="V7" s="146">
        <f>U7/U31*100</f>
        <v>4.7881704025349139</v>
      </c>
      <c r="W7" s="65">
        <v>17685</v>
      </c>
      <c r="X7" s="146">
        <f>W7/W31*100</f>
        <v>5.2025416997617153</v>
      </c>
      <c r="Y7" s="110">
        <v>12555</v>
      </c>
      <c r="Z7" s="146">
        <f>Y7/Y31*100</f>
        <v>3.3933349549987835</v>
      </c>
      <c r="AA7" s="52">
        <f t="shared" ref="AA7:AA30" si="0">B7+D7+F7+H7+J7+L7+O7+Q7+S7+U7+W7+Y7</f>
        <v>263205</v>
      </c>
      <c r="AB7" s="90">
        <f>AA7/AA31*100</f>
        <v>6.8139190810703756</v>
      </c>
    </row>
    <row r="8" spans="1:28" ht="15" customHeight="1" x14ac:dyDescent="0.25">
      <c r="A8" s="74" t="s">
        <v>41</v>
      </c>
      <c r="B8" s="149">
        <v>17460</v>
      </c>
      <c r="C8" s="185">
        <f>B8/B31*100</f>
        <v>7.1945114036714264</v>
      </c>
      <c r="D8" s="56">
        <v>35370</v>
      </c>
      <c r="E8" s="146">
        <f>D8/D31*100</f>
        <v>11.513109711439871</v>
      </c>
      <c r="F8" s="155">
        <v>34830</v>
      </c>
      <c r="G8" s="185">
        <f>F8/F31*100</f>
        <v>14.675767918088736</v>
      </c>
      <c r="H8" s="155">
        <v>23715</v>
      </c>
      <c r="I8" s="146">
        <f>H8/H31*100</f>
        <v>12.0018219084491</v>
      </c>
      <c r="J8" s="56">
        <v>20430</v>
      </c>
      <c r="K8" s="146">
        <f>J8/J31*100</f>
        <v>8.3256922794791848</v>
      </c>
      <c r="L8" s="62">
        <v>35370</v>
      </c>
      <c r="M8" s="185">
        <f>L8/L31*100</f>
        <v>12.376003778932452</v>
      </c>
      <c r="N8" s="142"/>
      <c r="O8" s="63">
        <v>82575</v>
      </c>
      <c r="P8" s="146">
        <f>O8/O31*100</f>
        <v>19.32799662945018</v>
      </c>
      <c r="Q8" s="148">
        <v>67950</v>
      </c>
      <c r="R8" s="146">
        <f>Q8/Q31*100</f>
        <v>16.549758877685225</v>
      </c>
      <c r="S8" s="148">
        <v>23310</v>
      </c>
      <c r="T8" s="146">
        <f>S8/S31*100</f>
        <v>5.6090958310774228</v>
      </c>
      <c r="U8" s="63">
        <v>61515</v>
      </c>
      <c r="V8" s="146">
        <f>U8/U31*100</f>
        <v>16.042717990846146</v>
      </c>
      <c r="W8" s="63">
        <v>39690</v>
      </c>
      <c r="X8" s="146">
        <f>W8/W31*100</f>
        <v>11.675933280381255</v>
      </c>
      <c r="Y8" s="63">
        <v>62235</v>
      </c>
      <c r="Z8" s="146">
        <f>Y8/Y31*100</f>
        <v>16.820724884456336</v>
      </c>
      <c r="AA8" s="52">
        <f t="shared" si="0"/>
        <v>504450</v>
      </c>
      <c r="AB8" s="90">
        <f>AA8/AA31*100</f>
        <v>13.059332005265672</v>
      </c>
    </row>
    <row r="9" spans="1:28" ht="15" customHeight="1" x14ac:dyDescent="0.25">
      <c r="A9" s="74" t="s">
        <v>70</v>
      </c>
      <c r="B9" s="149"/>
      <c r="C9" s="185"/>
      <c r="D9" s="56">
        <v>225</v>
      </c>
      <c r="E9" s="146">
        <f>D9/D31*100</f>
        <v>7.3238611395927938E-2</v>
      </c>
      <c r="F9" s="155"/>
      <c r="G9" s="185"/>
      <c r="H9" s="148">
        <v>360</v>
      </c>
      <c r="I9" s="91">
        <f>H9/H31*100</f>
        <v>0.18219084491004328</v>
      </c>
      <c r="J9" s="56"/>
      <c r="K9" s="146"/>
      <c r="L9" s="62"/>
      <c r="M9" s="185"/>
      <c r="N9" s="142"/>
      <c r="O9" s="63"/>
      <c r="P9" s="146"/>
      <c r="Q9" s="148">
        <v>1125</v>
      </c>
      <c r="R9" s="146">
        <f>Q9/Q31*100</f>
        <v>0.27400263042525208</v>
      </c>
      <c r="S9" s="148">
        <v>3060</v>
      </c>
      <c r="T9" s="146">
        <f>S9/S31*100</f>
        <v>0.73632918245804002</v>
      </c>
      <c r="U9" s="63">
        <v>6705</v>
      </c>
      <c r="V9" s="146">
        <f>U9/U31*100</f>
        <v>1.7486210538669171</v>
      </c>
      <c r="W9" s="63">
        <v>855</v>
      </c>
      <c r="X9" s="146">
        <f>W9/W31*100</f>
        <v>0.25152237225311092</v>
      </c>
      <c r="Y9" s="63">
        <v>675</v>
      </c>
      <c r="Z9" s="146">
        <f>Y9/Y31*100</f>
        <v>0.18243736317197762</v>
      </c>
      <c r="AA9" s="52">
        <f t="shared" si="0"/>
        <v>13005</v>
      </c>
      <c r="AB9" s="90">
        <f>AA9/AA31*100</f>
        <v>0.33667680191987326</v>
      </c>
    </row>
    <row r="10" spans="1:28" ht="15" customHeight="1" x14ac:dyDescent="0.25">
      <c r="A10" s="74" t="s">
        <v>42</v>
      </c>
      <c r="B10" s="148">
        <v>4050</v>
      </c>
      <c r="C10" s="185">
        <f>B10/B31*100</f>
        <v>1.6688299647691454</v>
      </c>
      <c r="D10" s="56">
        <v>7200</v>
      </c>
      <c r="E10" s="146">
        <f>D10/D31*100</f>
        <v>2.343635564669694</v>
      </c>
      <c r="F10" s="155">
        <v>900</v>
      </c>
      <c r="G10" s="185">
        <f>F10/F31*100</f>
        <v>0.37921880925293894</v>
      </c>
      <c r="H10" s="155">
        <v>1845</v>
      </c>
      <c r="I10" s="146">
        <f>H10/H31*100</f>
        <v>0.9337280801639718</v>
      </c>
      <c r="J10" s="56">
        <v>3240</v>
      </c>
      <c r="K10" s="146">
        <f>J10/J31*100</f>
        <v>1.3203741059966991</v>
      </c>
      <c r="L10" s="62">
        <v>270</v>
      </c>
      <c r="M10" s="185">
        <f>L10/L31*100</f>
        <v>9.4473311289560699E-2</v>
      </c>
      <c r="N10" s="142"/>
      <c r="O10" s="63">
        <v>3240</v>
      </c>
      <c r="P10" s="146">
        <f>O10/O31*100</f>
        <v>0.75837370971139662</v>
      </c>
      <c r="Q10" s="148">
        <v>450</v>
      </c>
      <c r="R10" s="146">
        <f>Q10/Q31*100</f>
        <v>0.10960105217010083</v>
      </c>
      <c r="S10" s="148"/>
      <c r="T10" s="146"/>
      <c r="U10" s="63">
        <v>270</v>
      </c>
      <c r="V10" s="146">
        <f>U10/U31*100</f>
        <v>7.0414270625513434E-2</v>
      </c>
      <c r="W10" s="63">
        <v>2610</v>
      </c>
      <c r="X10" s="146">
        <f>W10/W31*100</f>
        <v>0.76780513635160175</v>
      </c>
      <c r="Y10" s="63"/>
      <c r="Z10" s="146"/>
      <c r="AA10" s="52">
        <f t="shared" si="0"/>
        <v>24075</v>
      </c>
      <c r="AB10" s="90">
        <f>AA10/AA31*100</f>
        <v>0.6232598236232948</v>
      </c>
    </row>
    <row r="11" spans="1:28" ht="15" customHeight="1" x14ac:dyDescent="0.25">
      <c r="A11" s="74" t="s">
        <v>116</v>
      </c>
      <c r="B11" s="148"/>
      <c r="C11" s="185"/>
      <c r="D11" s="56"/>
      <c r="E11" s="146"/>
      <c r="F11" s="155"/>
      <c r="G11" s="185"/>
      <c r="H11" s="155"/>
      <c r="I11" s="146"/>
      <c r="J11" s="56"/>
      <c r="K11" s="146"/>
      <c r="L11" s="62"/>
      <c r="M11" s="185"/>
      <c r="N11" s="142"/>
      <c r="O11" s="63"/>
      <c r="P11" s="146"/>
      <c r="Q11" s="148"/>
      <c r="R11" s="146"/>
      <c r="S11" s="148">
        <v>1350</v>
      </c>
      <c r="T11" s="146">
        <f>S11/S31*100</f>
        <v>0.32485110990795885</v>
      </c>
      <c r="U11" s="63"/>
      <c r="V11" s="146"/>
      <c r="W11" s="63"/>
      <c r="X11" s="146"/>
      <c r="Y11" s="63"/>
      <c r="Z11" s="146"/>
      <c r="AA11" s="52">
        <f t="shared" si="0"/>
        <v>1350</v>
      </c>
      <c r="AB11" s="90">
        <f>AA11/AA31*100</f>
        <v>3.4949148988222135E-2</v>
      </c>
    </row>
    <row r="12" spans="1:28" ht="15" customHeight="1" x14ac:dyDescent="0.25">
      <c r="A12" s="74" t="s">
        <v>43</v>
      </c>
      <c r="B12" s="148">
        <v>11880</v>
      </c>
      <c r="C12" s="185">
        <f>B12/B31*100</f>
        <v>4.8952345633228251</v>
      </c>
      <c r="D12" s="56">
        <v>8865</v>
      </c>
      <c r="E12" s="146">
        <f>D12/D31*100</f>
        <v>2.8856012889995606</v>
      </c>
      <c r="F12" s="155"/>
      <c r="G12" s="185"/>
      <c r="H12" s="155"/>
      <c r="I12" s="146"/>
      <c r="J12" s="56"/>
      <c r="K12" s="146"/>
      <c r="L12" s="62"/>
      <c r="M12" s="185"/>
      <c r="N12" s="142"/>
      <c r="O12" s="63">
        <v>225</v>
      </c>
      <c r="P12" s="146">
        <f>O12/O31*100</f>
        <v>5.2664840952180318E-2</v>
      </c>
      <c r="Q12" s="148">
        <v>1710</v>
      </c>
      <c r="R12" s="146">
        <f>Q12/Q31*100</f>
        <v>0.41648399824638316</v>
      </c>
      <c r="S12" s="148"/>
      <c r="T12" s="146"/>
      <c r="U12" s="63"/>
      <c r="V12" s="146"/>
      <c r="W12" s="63">
        <v>540</v>
      </c>
      <c r="X12" s="146">
        <f>W12/W31*100</f>
        <v>0.15885623510722796</v>
      </c>
      <c r="Y12" s="63">
        <v>5085</v>
      </c>
      <c r="Z12" s="146">
        <f>Y12/Y31*100</f>
        <v>1.3743614692288981</v>
      </c>
      <c r="AA12" s="52">
        <f t="shared" si="0"/>
        <v>28305</v>
      </c>
      <c r="AB12" s="90">
        <f>AA12/AA31*100</f>
        <v>0.73276715711972418</v>
      </c>
    </row>
    <row r="13" spans="1:28" ht="15" customHeight="1" x14ac:dyDescent="0.25">
      <c r="A13" s="74" t="s">
        <v>44</v>
      </c>
      <c r="B13" s="148">
        <v>15390</v>
      </c>
      <c r="C13" s="185">
        <f>B13/B31*100</f>
        <v>6.3415538661227515</v>
      </c>
      <c r="D13" s="56">
        <v>11565</v>
      </c>
      <c r="E13" s="146">
        <f>D13/D31*100</f>
        <v>3.7644646257506955</v>
      </c>
      <c r="F13" s="155">
        <v>36765</v>
      </c>
      <c r="G13" s="185">
        <f>F13/F31*100</f>
        <v>15.491088357982555</v>
      </c>
      <c r="H13" s="155">
        <v>26325</v>
      </c>
      <c r="I13" s="146">
        <f>H13/H31*100</f>
        <v>13.322705534046914</v>
      </c>
      <c r="J13" s="56">
        <v>23850</v>
      </c>
      <c r="K13" s="146">
        <f>J13/J31*100</f>
        <v>9.7194205024757014</v>
      </c>
      <c r="L13" s="62">
        <v>27090</v>
      </c>
      <c r="M13" s="185">
        <f>L13/L31*100</f>
        <v>9.4788222327192564</v>
      </c>
      <c r="N13" s="142"/>
      <c r="O13" s="63">
        <v>40815</v>
      </c>
      <c r="P13" s="146">
        <f>O13/O31*100</f>
        <v>9.5534021487255103</v>
      </c>
      <c r="Q13" s="148">
        <v>64350</v>
      </c>
      <c r="R13" s="146">
        <f>Q13/Q31*100</f>
        <v>15.672950460324419</v>
      </c>
      <c r="S13" s="148">
        <v>85050</v>
      </c>
      <c r="T13" s="146">
        <f>S13/S31*100</f>
        <v>20.465619924201409</v>
      </c>
      <c r="U13" s="63">
        <v>55530</v>
      </c>
      <c r="V13" s="146">
        <f>U13/U31*100</f>
        <v>14.481868325313929</v>
      </c>
      <c r="W13" s="63">
        <v>16650</v>
      </c>
      <c r="X13" s="146">
        <f>W13/W31*100</f>
        <v>4.8980672491395287</v>
      </c>
      <c r="Y13" s="63">
        <v>10170</v>
      </c>
      <c r="Z13" s="146">
        <f>Y13/Y31*100</f>
        <v>2.7487229384577962</v>
      </c>
      <c r="AA13" s="52">
        <f t="shared" si="0"/>
        <v>413550</v>
      </c>
      <c r="AB13" s="90">
        <f>AA13/AA31*100</f>
        <v>10.706089306725382</v>
      </c>
    </row>
    <row r="14" spans="1:28" ht="15" customHeight="1" x14ac:dyDescent="0.25">
      <c r="A14" s="74" t="s">
        <v>121</v>
      </c>
      <c r="B14" s="148">
        <v>3645</v>
      </c>
      <c r="C14" s="185">
        <f>B14/B31*100</f>
        <v>1.5019469682922306</v>
      </c>
      <c r="D14" s="56">
        <f>900+4365</f>
        <v>5265</v>
      </c>
      <c r="E14" s="146">
        <f>D14/D31*100</f>
        <v>1.7137835066647136</v>
      </c>
      <c r="F14" s="155">
        <f>6840+225</f>
        <v>7065</v>
      </c>
      <c r="G14" s="185">
        <f>F14/F31*100</f>
        <v>2.9768676526355708</v>
      </c>
      <c r="H14" s="155">
        <v>4410</v>
      </c>
      <c r="I14" s="146">
        <f>H14/H31*100</f>
        <v>2.2318378501480303</v>
      </c>
      <c r="J14" s="56">
        <v>7875</v>
      </c>
      <c r="K14" s="146">
        <f>J14/J31*100</f>
        <v>3.2092426187419769</v>
      </c>
      <c r="L14" s="62">
        <f>11070+540</f>
        <v>11610</v>
      </c>
      <c r="M14" s="185">
        <f>L14/L31*100</f>
        <v>4.0623523854511099</v>
      </c>
      <c r="N14" s="142"/>
      <c r="O14" s="63">
        <f>15300+1800</f>
        <v>17100</v>
      </c>
      <c r="P14" s="146">
        <f>O14/O31*100</f>
        <v>4.0025279123657045</v>
      </c>
      <c r="Q14" s="148">
        <f>5715+14625</f>
        <v>20340</v>
      </c>
      <c r="R14" s="146">
        <f>Q14/Q31*100</f>
        <v>4.9539675580885572</v>
      </c>
      <c r="S14" s="148">
        <f>5310+18045</f>
        <v>23355</v>
      </c>
      <c r="T14" s="146">
        <f>S14/S31*100</f>
        <v>5.619924201407688</v>
      </c>
      <c r="U14" s="63">
        <v>20250</v>
      </c>
      <c r="V14" s="146">
        <f>U14/U31*100</f>
        <v>5.2810702969135077</v>
      </c>
      <c r="W14" s="63">
        <f>810+19620</f>
        <v>20430</v>
      </c>
      <c r="X14" s="146">
        <f>W14/W31*100</f>
        <v>6.010060894890124</v>
      </c>
      <c r="Y14" s="63">
        <f>765+6120</f>
        <v>6885</v>
      </c>
      <c r="Z14" s="146">
        <f>Y14/Y31*100</f>
        <v>1.8608611043541716</v>
      </c>
      <c r="AA14" s="52">
        <f t="shared" si="0"/>
        <v>148230</v>
      </c>
      <c r="AB14" s="90">
        <f>AA14/AA31*100</f>
        <v>3.8374165589067908</v>
      </c>
    </row>
    <row r="15" spans="1:28" ht="15" customHeight="1" x14ac:dyDescent="0.25">
      <c r="A15" s="74" t="s">
        <v>45</v>
      </c>
      <c r="B15" s="313"/>
      <c r="C15" s="185"/>
      <c r="D15" s="56">
        <f>1305</f>
        <v>1305</v>
      </c>
      <c r="E15" s="146">
        <f>D15/D31*100</f>
        <v>0.42478394609638198</v>
      </c>
      <c r="F15" s="56">
        <v>5760</v>
      </c>
      <c r="G15" s="185">
        <f>F15/F31*100</f>
        <v>2.4270003792188093</v>
      </c>
      <c r="H15" s="159">
        <v>3780</v>
      </c>
      <c r="I15" s="146">
        <f>H15/H31*100</f>
        <v>1.9130038715554545</v>
      </c>
      <c r="J15" s="56">
        <v>3150</v>
      </c>
      <c r="K15" s="146">
        <f>J15/J31*100</f>
        <v>1.2836970474967908</v>
      </c>
      <c r="L15" s="62">
        <v>5490</v>
      </c>
      <c r="M15" s="185">
        <f>L15/L31*100</f>
        <v>1.9209573295544009</v>
      </c>
      <c r="N15" s="142"/>
      <c r="O15" s="63">
        <v>2745</v>
      </c>
      <c r="P15" s="146">
        <f>O15/O31*100</f>
        <v>0.64251105961659993</v>
      </c>
      <c r="Q15" s="148">
        <v>1710</v>
      </c>
      <c r="R15" s="146">
        <f>Q15/Q31*100</f>
        <v>0.41648399824638316</v>
      </c>
      <c r="S15" s="148">
        <v>1215</v>
      </c>
      <c r="T15" s="146">
        <f>S15/S31*100</f>
        <v>0.29236599891716297</v>
      </c>
      <c r="U15" s="63">
        <v>315</v>
      </c>
      <c r="V15" s="146">
        <f>U15/U31*100</f>
        <v>8.2149982396432342E-2</v>
      </c>
      <c r="W15" s="63">
        <v>360</v>
      </c>
      <c r="X15" s="146">
        <f>W15/W31*100</f>
        <v>0.10590415673815197</v>
      </c>
      <c r="Y15" s="63">
        <v>360</v>
      </c>
      <c r="Z15" s="146">
        <f>Y15/Y31*100</f>
        <v>9.729992702505473E-2</v>
      </c>
      <c r="AA15" s="52">
        <f t="shared" si="0"/>
        <v>26190</v>
      </c>
      <c r="AB15" s="90">
        <f>AA15/AA31*100</f>
        <v>0.67801349037150938</v>
      </c>
    </row>
    <row r="16" spans="1:28" ht="15" customHeight="1" x14ac:dyDescent="0.25">
      <c r="A16" s="74" t="s">
        <v>46</v>
      </c>
      <c r="B16" s="148">
        <v>112770</v>
      </c>
      <c r="C16" s="185">
        <f>B16/B31*100</f>
        <v>46.46764324123864</v>
      </c>
      <c r="D16" s="56">
        <f>166230</f>
        <v>166230</v>
      </c>
      <c r="E16" s="146">
        <f>D16/D31*100</f>
        <v>54.108686099311555</v>
      </c>
      <c r="F16" s="56">
        <v>84150</v>
      </c>
      <c r="G16" s="185">
        <f>F16/F31*100</f>
        <v>35.456958665149791</v>
      </c>
      <c r="H16" s="155">
        <v>35820</v>
      </c>
      <c r="I16" s="146">
        <f>H16/H31*100</f>
        <v>18.127989068549304</v>
      </c>
      <c r="J16" s="56">
        <v>31635</v>
      </c>
      <c r="K16" s="146">
        <f>J16/J31*100</f>
        <v>12.89198606271777</v>
      </c>
      <c r="L16" s="62">
        <v>58905</v>
      </c>
      <c r="M16" s="185">
        <f>L16/L31*100</f>
        <v>20.610927413005825</v>
      </c>
      <c r="N16" s="142"/>
      <c r="O16" s="63">
        <v>151020</v>
      </c>
      <c r="P16" s="146">
        <f>O16/O31*100</f>
        <v>35.348641247103437</v>
      </c>
      <c r="Q16" s="148">
        <v>131715</v>
      </c>
      <c r="R16" s="146">
        <f>Q16/Q31*100</f>
        <v>32.08022797018851</v>
      </c>
      <c r="S16" s="148">
        <v>146385</v>
      </c>
      <c r="T16" s="146">
        <f>S16/S31*100</f>
        <v>35.224688684353005</v>
      </c>
      <c r="U16" s="63">
        <v>140220</v>
      </c>
      <c r="V16" s="146">
        <f>U16/U31*100</f>
        <v>36.568477878183316</v>
      </c>
      <c r="W16" s="63">
        <v>191565</v>
      </c>
      <c r="X16" s="146">
        <f>W16/W31*100</f>
        <v>56.354249404289114</v>
      </c>
      <c r="Y16" s="63">
        <v>203535</v>
      </c>
      <c r="Z16" s="146">
        <f>Y16/Y31*100</f>
        <v>55.010946241790315</v>
      </c>
      <c r="AA16" s="52">
        <f t="shared" si="0"/>
        <v>1453950</v>
      </c>
      <c r="AB16" s="90">
        <f>AA16/AA31*100</f>
        <v>37.640233460315244</v>
      </c>
    </row>
    <row r="17" spans="1:30" ht="15" customHeight="1" x14ac:dyDescent="0.25">
      <c r="A17" s="74" t="s">
        <v>47</v>
      </c>
      <c r="B17" s="313"/>
      <c r="C17" s="185"/>
      <c r="D17" s="56">
        <v>990</v>
      </c>
      <c r="E17" s="146">
        <f>D17/D31*100</f>
        <v>0.32224989014208288</v>
      </c>
      <c r="F17" s="155"/>
      <c r="G17" s="185"/>
      <c r="H17" s="155">
        <v>900</v>
      </c>
      <c r="I17" s="146">
        <f>H17/H31*100</f>
        <v>0.45547711227510818</v>
      </c>
      <c r="J17" s="56"/>
      <c r="K17" s="146"/>
      <c r="L17" s="62">
        <v>450</v>
      </c>
      <c r="M17" s="185">
        <f>L17/L31*100</f>
        <v>0.1574555188159345</v>
      </c>
      <c r="N17" s="142"/>
      <c r="O17" s="63"/>
      <c r="P17" s="146"/>
      <c r="Q17" s="148"/>
      <c r="R17" s="146"/>
      <c r="S17" s="148"/>
      <c r="T17" s="146"/>
      <c r="U17" s="63"/>
      <c r="V17" s="146"/>
      <c r="W17" s="63"/>
      <c r="X17" s="146"/>
      <c r="Y17" s="63"/>
      <c r="Z17" s="146"/>
      <c r="AA17" s="52">
        <f t="shared" si="0"/>
        <v>2340</v>
      </c>
      <c r="AB17" s="90">
        <f>AA17/AA31*100</f>
        <v>6.0578524912918374E-2</v>
      </c>
    </row>
    <row r="18" spans="1:30" ht="15" customHeight="1" x14ac:dyDescent="0.25">
      <c r="A18" s="74" t="s">
        <v>48</v>
      </c>
      <c r="B18" s="148">
        <f>3465+2430</f>
        <v>5895</v>
      </c>
      <c r="C18" s="185">
        <f>B18/B31*100</f>
        <v>2.4290747264973116</v>
      </c>
      <c r="D18" s="56">
        <v>4140</v>
      </c>
      <c r="E18" s="146">
        <f>D18/D31*100</f>
        <v>1.3475904496850739</v>
      </c>
      <c r="F18" s="155">
        <v>5715</v>
      </c>
      <c r="G18" s="185">
        <f>F18/F31*100</f>
        <v>2.4080394387561621</v>
      </c>
      <c r="H18" s="155">
        <v>7065</v>
      </c>
      <c r="I18" s="146">
        <f>H18/H31*100</f>
        <v>3.575495331359599</v>
      </c>
      <c r="J18" s="56">
        <f>1125+9135</f>
        <v>10260</v>
      </c>
      <c r="K18" s="146">
        <f>J18/J31*100</f>
        <v>4.1811846689895473</v>
      </c>
      <c r="L18" s="62">
        <v>9000</v>
      </c>
      <c r="M18" s="185">
        <f>L18/L31*100</f>
        <v>3.1491103763186903</v>
      </c>
      <c r="N18" s="142"/>
      <c r="O18" s="63">
        <v>22005</v>
      </c>
      <c r="P18" s="146">
        <f>O18/O31*100</f>
        <v>5.1506214451232362</v>
      </c>
      <c r="Q18" s="148">
        <v>5670</v>
      </c>
      <c r="R18" s="146">
        <f>Q18/Q31*100</f>
        <v>1.3809732573432705</v>
      </c>
      <c r="S18" s="148">
        <v>4050</v>
      </c>
      <c r="T18" s="146">
        <f>S18/S31*100</f>
        <v>0.97455332972387654</v>
      </c>
      <c r="U18" s="63">
        <v>8280</v>
      </c>
      <c r="V18" s="146">
        <f>U18/U31*100</f>
        <v>2.1593709658490789</v>
      </c>
      <c r="W18" s="63">
        <v>2295</v>
      </c>
      <c r="X18" s="146">
        <f>W18/W31*100</f>
        <v>0.67513899920571885</v>
      </c>
      <c r="Y18" s="63">
        <f>1305+5400</f>
        <v>6705</v>
      </c>
      <c r="Z18" s="146">
        <f>Y18/Y31*100</f>
        <v>1.8122111408416444</v>
      </c>
      <c r="AA18" s="52">
        <f t="shared" si="0"/>
        <v>91080</v>
      </c>
      <c r="AB18" s="90">
        <f>AA18/AA31*100</f>
        <v>2.3579025850720536</v>
      </c>
    </row>
    <row r="19" spans="1:30" ht="15" customHeight="1" x14ac:dyDescent="0.25">
      <c r="A19" s="74" t="s">
        <v>49</v>
      </c>
      <c r="B19" s="148">
        <v>4905</v>
      </c>
      <c r="C19" s="185">
        <f>B19/B31*100</f>
        <v>2.021138512887076</v>
      </c>
      <c r="D19" s="56">
        <v>630</v>
      </c>
      <c r="E19" s="146">
        <f>D19/D31*100</f>
        <v>0.20506811190859822</v>
      </c>
      <c r="F19" s="155">
        <v>900</v>
      </c>
      <c r="G19" s="185">
        <f>F19/F31*100</f>
        <v>0.37921880925293894</v>
      </c>
      <c r="H19" s="155"/>
      <c r="I19" s="146"/>
      <c r="J19" s="56">
        <v>900</v>
      </c>
      <c r="K19" s="146">
        <f>J19/J31*100</f>
        <v>0.36677058499908305</v>
      </c>
      <c r="L19" s="62">
        <v>2700</v>
      </c>
      <c r="M19" s="185">
        <f>L19/L31*100</f>
        <v>0.94473311289560691</v>
      </c>
      <c r="N19" s="142"/>
      <c r="O19" s="63">
        <v>6840</v>
      </c>
      <c r="P19" s="146">
        <f>O19/O31*100</f>
        <v>1.6010111649462817</v>
      </c>
      <c r="Q19" s="148">
        <v>1260</v>
      </c>
      <c r="R19" s="146">
        <f>Q19/Q31*100</f>
        <v>0.3068829460762823</v>
      </c>
      <c r="S19" s="148">
        <v>2070</v>
      </c>
      <c r="T19" s="146">
        <f>S19/S31*100</f>
        <v>0.49810503519220356</v>
      </c>
      <c r="U19" s="63">
        <v>405</v>
      </c>
      <c r="V19" s="146">
        <f>U19/U31*100</f>
        <v>0.10562140593827016</v>
      </c>
      <c r="W19" s="63">
        <v>2250</v>
      </c>
      <c r="X19" s="146">
        <f>W19/W31*100</f>
        <v>0.66190097961344985</v>
      </c>
      <c r="Y19" s="63">
        <v>360</v>
      </c>
      <c r="Z19" s="146">
        <f>Y19/Y31*100</f>
        <v>9.729992702505473E-2</v>
      </c>
      <c r="AA19" s="52">
        <f t="shared" si="0"/>
        <v>23220</v>
      </c>
      <c r="AB19" s="90">
        <f>AA19/AA31*100</f>
        <v>0.60112536259742078</v>
      </c>
    </row>
    <row r="20" spans="1:30" ht="15" customHeight="1" x14ac:dyDescent="0.25">
      <c r="A20" s="74" t="s">
        <v>129</v>
      </c>
      <c r="B20" s="313"/>
      <c r="C20" s="185"/>
      <c r="D20" s="56"/>
      <c r="E20" s="146"/>
      <c r="F20" s="155"/>
      <c r="G20" s="185"/>
      <c r="H20" s="155"/>
      <c r="I20" s="146"/>
      <c r="J20" s="56"/>
      <c r="K20" s="146"/>
      <c r="L20" s="62"/>
      <c r="M20" s="185"/>
      <c r="N20" s="142"/>
      <c r="O20" s="63"/>
      <c r="P20" s="146"/>
      <c r="Q20" s="148"/>
      <c r="R20" s="146"/>
      <c r="S20" s="148"/>
      <c r="T20" s="146"/>
      <c r="U20" s="63">
        <v>1710</v>
      </c>
      <c r="V20" s="146">
        <f>U20/U31*100</f>
        <v>0.44595704729491847</v>
      </c>
      <c r="W20" s="63"/>
      <c r="X20" s="146"/>
      <c r="Y20" s="63"/>
      <c r="Z20" s="146"/>
      <c r="AA20" s="52">
        <f t="shared" si="0"/>
        <v>1710</v>
      </c>
      <c r="AB20" s="90">
        <f>AA20/AA31*100</f>
        <v>4.4268922051748039E-2</v>
      </c>
    </row>
    <row r="21" spans="1:30" ht="15" customHeight="1" x14ac:dyDescent="0.25">
      <c r="A21" s="74" t="s">
        <v>50</v>
      </c>
      <c r="B21" s="148">
        <v>5625</v>
      </c>
      <c r="C21" s="185">
        <f>B21/B31*100</f>
        <v>2.3178193955127013</v>
      </c>
      <c r="D21" s="56">
        <v>5355</v>
      </c>
      <c r="E21" s="146">
        <f>D21/D31*100</f>
        <v>1.7430789512230846</v>
      </c>
      <c r="F21" s="56">
        <v>540</v>
      </c>
      <c r="G21" s="185">
        <f>F21/F31*100</f>
        <v>0.22753128555176336</v>
      </c>
      <c r="H21" s="148">
        <v>8775</v>
      </c>
      <c r="I21" s="146">
        <f>H21/H31*100</f>
        <v>4.4409018446823048</v>
      </c>
      <c r="J21" s="56">
        <f>2700+18945</f>
        <v>21645</v>
      </c>
      <c r="K21" s="146">
        <f>J21/J31*100</f>
        <v>8.8208325692279477</v>
      </c>
      <c r="L21" s="62">
        <f>9765+9585</f>
        <v>19350</v>
      </c>
      <c r="M21" s="185">
        <f>L21/L31*100</f>
        <v>6.770587309085184</v>
      </c>
      <c r="N21" s="142"/>
      <c r="O21" s="63">
        <v>5940</v>
      </c>
      <c r="P21" s="146">
        <f>O21/O31*100</f>
        <v>1.3903518011375606</v>
      </c>
      <c r="Q21" s="148">
        <v>14580</v>
      </c>
      <c r="R21" s="146">
        <f>Q21/Q31*100</f>
        <v>3.5510740903112668</v>
      </c>
      <c r="S21" s="148">
        <v>11565</v>
      </c>
      <c r="T21" s="146">
        <f>S21/S31*100</f>
        <v>2.7828911748781811</v>
      </c>
      <c r="U21" s="63">
        <f>3150+1845</f>
        <v>4995</v>
      </c>
      <c r="V21" s="146">
        <f>U21/U31*100</f>
        <v>1.3026640065719985</v>
      </c>
      <c r="W21" s="63">
        <v>1845</v>
      </c>
      <c r="X21" s="146">
        <f>W21/W31*100</f>
        <v>0.54275880328302883</v>
      </c>
      <c r="Y21" s="63"/>
      <c r="Z21" s="146"/>
      <c r="AA21" s="52">
        <f t="shared" si="0"/>
        <v>100215</v>
      </c>
      <c r="AB21" s="90">
        <f>AA21/AA31*100</f>
        <v>2.5943918265590233</v>
      </c>
      <c r="AD21" s="101"/>
    </row>
    <row r="22" spans="1:30" ht="15" customHeight="1" x14ac:dyDescent="0.25">
      <c r="A22" s="74" t="s">
        <v>108</v>
      </c>
      <c r="B22" s="313"/>
      <c r="C22" s="185"/>
      <c r="D22" s="56"/>
      <c r="E22" s="146"/>
      <c r="F22" s="56">
        <v>540</v>
      </c>
      <c r="G22" s="185">
        <f>F22/F31*100</f>
        <v>0.22753128555176336</v>
      </c>
      <c r="H22" s="148">
        <v>405</v>
      </c>
      <c r="I22" s="146">
        <f>H22/H31*100</f>
        <v>0.20496470052379867</v>
      </c>
      <c r="J22" s="56"/>
      <c r="K22" s="91"/>
      <c r="L22" s="62"/>
      <c r="M22" s="185"/>
      <c r="N22" s="142"/>
      <c r="O22" s="63"/>
      <c r="P22" s="146"/>
      <c r="Q22" s="148"/>
      <c r="R22" s="146"/>
      <c r="S22" s="148"/>
      <c r="T22" s="146"/>
      <c r="U22" s="63"/>
      <c r="V22" s="146"/>
      <c r="W22" s="63"/>
      <c r="X22" s="146"/>
      <c r="Y22" s="63"/>
      <c r="Z22" s="146"/>
      <c r="AA22" s="52">
        <f t="shared" si="0"/>
        <v>945</v>
      </c>
      <c r="AB22" s="90">
        <f>AA22/AA31*100</f>
        <v>2.4464404291755497E-2</v>
      </c>
    </row>
    <row r="23" spans="1:30" ht="15" customHeight="1" x14ac:dyDescent="0.25">
      <c r="A23" s="74" t="s">
        <v>51</v>
      </c>
      <c r="B23" s="148">
        <v>5265</v>
      </c>
      <c r="C23" s="185">
        <f>B23/B31*100</f>
        <v>2.1694789541998887</v>
      </c>
      <c r="D23" s="56">
        <v>2880</v>
      </c>
      <c r="E23" s="146">
        <f>D23/D31*100</f>
        <v>0.93745422586787763</v>
      </c>
      <c r="F23" s="155">
        <v>20565</v>
      </c>
      <c r="G23" s="185">
        <f>F23/F31*100</f>
        <v>8.6651497914296556</v>
      </c>
      <c r="H23" s="155">
        <v>11970</v>
      </c>
      <c r="I23" s="146">
        <f>H23/H31*100</f>
        <v>6.0578455932589383</v>
      </c>
      <c r="J23" s="56">
        <v>7065</v>
      </c>
      <c r="K23" s="146">
        <f>J23/J31*100</f>
        <v>2.8791490922428022</v>
      </c>
      <c r="L23" s="62">
        <v>26865</v>
      </c>
      <c r="M23" s="185">
        <f>L23/L31*100</f>
        <v>9.4000944733112899</v>
      </c>
      <c r="N23" s="142"/>
      <c r="O23" s="63">
        <v>14040</v>
      </c>
      <c r="P23" s="146">
        <f>O23/O31*100</f>
        <v>3.2862860754160521</v>
      </c>
      <c r="Q23" s="148">
        <v>9945</v>
      </c>
      <c r="R23" s="146">
        <f>Q23/Q31*100</f>
        <v>2.4221832529592286</v>
      </c>
      <c r="S23" s="148">
        <v>11655</v>
      </c>
      <c r="T23" s="146">
        <f>S23/S31*100</f>
        <v>2.8045479155387114</v>
      </c>
      <c r="U23" s="63">
        <v>6390</v>
      </c>
      <c r="V23" s="146">
        <f>U23/U31*100</f>
        <v>1.6664710714704847</v>
      </c>
      <c r="W23" s="63">
        <v>3690</v>
      </c>
      <c r="X23" s="146">
        <f>W23/W31*100</f>
        <v>1.0855176065660577</v>
      </c>
      <c r="Y23" s="63">
        <v>5805</v>
      </c>
      <c r="Z23" s="146">
        <f>Y23/Y31*100</f>
        <v>1.5689613232790076</v>
      </c>
      <c r="AA23" s="52">
        <f t="shared" si="0"/>
        <v>126135</v>
      </c>
      <c r="AB23" s="90">
        <f>AA23/AA31*100</f>
        <v>3.2654154871328882</v>
      </c>
    </row>
    <row r="24" spans="1:30" ht="15" customHeight="1" x14ac:dyDescent="0.25">
      <c r="A24" s="74" t="s">
        <v>93</v>
      </c>
      <c r="B24" s="148">
        <v>28980</v>
      </c>
      <c r="C24" s="185">
        <f>B24/B31*100</f>
        <v>11.941405525681439</v>
      </c>
      <c r="D24" s="56">
        <f>17415</f>
        <v>17415</v>
      </c>
      <c r="E24" s="146">
        <f>D24/D31*100</f>
        <v>5.6686685220448219</v>
      </c>
      <c r="F24" s="155">
        <v>17370</v>
      </c>
      <c r="G24" s="185">
        <f>F24/F31*100</f>
        <v>7.3189230185817218</v>
      </c>
      <c r="H24" s="155">
        <f>1710+25785</f>
        <v>27495</v>
      </c>
      <c r="I24" s="146">
        <f>H24/H31*100</f>
        <v>13.914825780004556</v>
      </c>
      <c r="J24" s="56">
        <f>1665+34830</f>
        <v>36495</v>
      </c>
      <c r="K24" s="146">
        <f>J24/J31*100</f>
        <v>14.872547221712818</v>
      </c>
      <c r="L24" s="62">
        <v>22815</v>
      </c>
      <c r="M24" s="185">
        <f>L24/L31*100</f>
        <v>7.9829948039678786</v>
      </c>
      <c r="N24" s="142"/>
      <c r="O24" s="63">
        <v>17055</v>
      </c>
      <c r="P24" s="146">
        <f>O24/O31*100</f>
        <v>3.9919949441752687</v>
      </c>
      <c r="Q24" s="148">
        <v>18405</v>
      </c>
      <c r="R24" s="146">
        <f>Q24/Q31*100</f>
        <v>4.482683033757124</v>
      </c>
      <c r="S24" s="148">
        <v>28395</v>
      </c>
      <c r="T24" s="146">
        <f>S24/S31*100</f>
        <v>6.8327016783974015</v>
      </c>
      <c r="U24" s="63">
        <v>21285</v>
      </c>
      <c r="V24" s="146">
        <f>U24/U31*100</f>
        <v>5.5509916676446425</v>
      </c>
      <c r="W24" s="63">
        <v>16830</v>
      </c>
      <c r="X24" s="146">
        <f>W24/W31*100</f>
        <v>4.9510193275086047</v>
      </c>
      <c r="Y24" s="63">
        <v>29250</v>
      </c>
      <c r="Z24" s="146">
        <f>Y24/Y31*100</f>
        <v>7.905619070785697</v>
      </c>
      <c r="AA24" s="52">
        <f t="shared" si="0"/>
        <v>281790</v>
      </c>
      <c r="AB24" s="90">
        <f>AA24/AA31*100</f>
        <v>7.2950523654749011</v>
      </c>
    </row>
    <row r="25" spans="1:30" ht="15" customHeight="1" x14ac:dyDescent="0.25">
      <c r="A25" s="74" t="s">
        <v>62</v>
      </c>
      <c r="B25" s="148">
        <v>2385</v>
      </c>
      <c r="C25" s="185">
        <f>B25/B31*100</f>
        <v>0.98275542369738544</v>
      </c>
      <c r="D25" s="56"/>
      <c r="E25" s="146"/>
      <c r="F25" s="155"/>
      <c r="G25" s="185"/>
      <c r="H25" s="148"/>
      <c r="I25" s="146"/>
      <c r="J25" s="56"/>
      <c r="K25" s="146"/>
      <c r="L25" s="62"/>
      <c r="M25" s="185"/>
      <c r="N25" s="142"/>
      <c r="O25" s="63"/>
      <c r="P25" s="146"/>
      <c r="Q25" s="148"/>
      <c r="R25" s="146"/>
      <c r="S25" s="148"/>
      <c r="T25" s="146"/>
      <c r="U25" s="63"/>
      <c r="V25" s="146"/>
      <c r="W25" s="63"/>
      <c r="X25" s="146"/>
      <c r="Y25" s="63"/>
      <c r="Z25" s="146"/>
      <c r="AA25" s="52">
        <f t="shared" si="0"/>
        <v>2385</v>
      </c>
      <c r="AB25" s="90">
        <f>AA25/AA31*100</f>
        <v>6.1743496545859103E-2</v>
      </c>
    </row>
    <row r="26" spans="1:30" ht="15" customHeight="1" x14ac:dyDescent="0.25">
      <c r="A26" s="74" t="s">
        <v>130</v>
      </c>
      <c r="B26" s="313"/>
      <c r="C26" s="185"/>
      <c r="D26" s="56"/>
      <c r="E26" s="146"/>
      <c r="F26" s="155"/>
      <c r="G26" s="185"/>
      <c r="H26" s="148"/>
      <c r="I26" s="146"/>
      <c r="J26" s="56"/>
      <c r="K26" s="146"/>
      <c r="L26" s="62"/>
      <c r="M26" s="185"/>
      <c r="N26" s="142"/>
      <c r="O26" s="63"/>
      <c r="P26" s="146"/>
      <c r="Q26" s="148"/>
      <c r="R26" s="146"/>
      <c r="S26" s="148"/>
      <c r="T26" s="146"/>
      <c r="U26" s="63">
        <v>855</v>
      </c>
      <c r="V26" s="146">
        <f>U26/U31*100</f>
        <v>0.22297852364745924</v>
      </c>
      <c r="W26" s="63">
        <v>540</v>
      </c>
      <c r="X26" s="146">
        <f>W26/W31*100</f>
        <v>0.15885623510722796</v>
      </c>
      <c r="Y26" s="63"/>
      <c r="Z26" s="146"/>
      <c r="AA26" s="52">
        <f t="shared" si="0"/>
        <v>1395</v>
      </c>
      <c r="AB26" s="90">
        <f>AA26/AA31*100</f>
        <v>3.6114120621162878E-2</v>
      </c>
    </row>
    <row r="27" spans="1:30" ht="15" customHeight="1" x14ac:dyDescent="0.25">
      <c r="A27" s="74" t="s">
        <v>52</v>
      </c>
      <c r="B27" s="148">
        <v>6615</v>
      </c>
      <c r="C27" s="185">
        <f>B27/B31*100</f>
        <v>2.7257556091229369</v>
      </c>
      <c r="D27" s="56">
        <v>14850</v>
      </c>
      <c r="E27" s="146">
        <f>D27/D31*100</f>
        <v>4.8337483521312441</v>
      </c>
      <c r="F27" s="155">
        <v>6480</v>
      </c>
      <c r="G27" s="185">
        <f>F27/F31*100</f>
        <v>2.7303754266211606</v>
      </c>
      <c r="H27" s="155">
        <v>11970</v>
      </c>
      <c r="I27" s="146">
        <f>H27/H31*100</f>
        <v>6.0578455932589383</v>
      </c>
      <c r="J27" s="56">
        <v>22815</v>
      </c>
      <c r="K27" s="146">
        <f>J27/J31*100</f>
        <v>9.2976343297267565</v>
      </c>
      <c r="L27" s="62">
        <v>30510</v>
      </c>
      <c r="M27" s="185">
        <f>L27/L31*100</f>
        <v>10.67548417572036</v>
      </c>
      <c r="N27" s="142"/>
      <c r="O27" s="63">
        <v>18270</v>
      </c>
      <c r="P27" s="146">
        <f>O27/O31*100</f>
        <v>4.2763850853170426</v>
      </c>
      <c r="Q27" s="148">
        <v>20745</v>
      </c>
      <c r="R27" s="146">
        <f>Q27/Q31*100</f>
        <v>5.0526085050416478</v>
      </c>
      <c r="S27" s="148">
        <v>25830</v>
      </c>
      <c r="T27" s="146">
        <f>S27/S31*100</f>
        <v>6.2154845695722791</v>
      </c>
      <c r="U27" s="63">
        <v>24435</v>
      </c>
      <c r="V27" s="146">
        <f>U27/U31*100</f>
        <v>6.3724914916089652</v>
      </c>
      <c r="W27" s="63">
        <v>6930</v>
      </c>
      <c r="X27" s="146">
        <f>W27/W31*100</f>
        <v>2.0386550172094253</v>
      </c>
      <c r="Y27" s="63">
        <v>5670</v>
      </c>
      <c r="Z27" s="146">
        <f>Y27/Y31*100</f>
        <v>1.5324738506446121</v>
      </c>
      <c r="AA27" s="52">
        <f t="shared" si="0"/>
        <v>195120</v>
      </c>
      <c r="AB27" s="90">
        <f>AA27/AA31*100</f>
        <v>5.0513170004310393</v>
      </c>
    </row>
    <row r="28" spans="1:30" ht="15" customHeight="1" x14ac:dyDescent="0.25">
      <c r="A28" s="74" t="s">
        <v>106</v>
      </c>
      <c r="B28" s="148">
        <v>1800</v>
      </c>
      <c r="C28" s="185">
        <f>B28/B31*100</f>
        <v>0.74170220656406449</v>
      </c>
      <c r="D28" s="56"/>
      <c r="E28" s="146"/>
      <c r="F28" s="155"/>
      <c r="G28" s="185"/>
      <c r="H28" s="155">
        <v>900</v>
      </c>
      <c r="I28" s="146">
        <f>H28/H31*100</f>
        <v>0.45547711227510818</v>
      </c>
      <c r="J28" s="56"/>
      <c r="K28" s="146"/>
      <c r="L28" s="62">
        <v>1125</v>
      </c>
      <c r="M28" s="185">
        <f>L28/L31*100</f>
        <v>0.39363879703983629</v>
      </c>
      <c r="N28" s="142"/>
      <c r="O28" s="63">
        <v>630</v>
      </c>
      <c r="P28" s="146">
        <f>O28/O31*100</f>
        <v>0.14746155466610489</v>
      </c>
      <c r="Q28" s="148">
        <v>675</v>
      </c>
      <c r="R28" s="146">
        <f>Q28/Q31*100</f>
        <v>0.16440157825515125</v>
      </c>
      <c r="S28" s="148">
        <v>180</v>
      </c>
      <c r="T28" s="146">
        <f>S28/S31*100</f>
        <v>4.3313481321061179E-2</v>
      </c>
      <c r="U28" s="63">
        <v>450</v>
      </c>
      <c r="V28" s="146">
        <f>U28/U31*100</f>
        <v>0.11735711770918907</v>
      </c>
      <c r="W28" s="63">
        <v>540</v>
      </c>
      <c r="X28" s="146">
        <f>W28/W31*100</f>
        <v>0.15885623510722796</v>
      </c>
      <c r="Y28" s="63"/>
      <c r="Z28" s="146"/>
      <c r="AA28" s="52">
        <f t="shared" si="0"/>
        <v>6300</v>
      </c>
      <c r="AB28" s="90">
        <f>AA28/AA31*100</f>
        <v>0.1630960286117033</v>
      </c>
    </row>
    <row r="29" spans="1:30" ht="15" customHeight="1" x14ac:dyDescent="0.25">
      <c r="A29" s="74" t="s">
        <v>119</v>
      </c>
      <c r="B29" s="148">
        <v>945</v>
      </c>
      <c r="C29" s="185">
        <f>B29/B31*100</f>
        <v>0.38939365844613388</v>
      </c>
      <c r="D29" s="56"/>
      <c r="E29" s="146"/>
      <c r="F29" s="155"/>
      <c r="G29" s="185"/>
      <c r="H29" s="155"/>
      <c r="I29" s="146"/>
      <c r="J29" s="56"/>
      <c r="K29" s="146"/>
      <c r="L29" s="62"/>
      <c r="M29" s="185"/>
      <c r="N29" s="142"/>
      <c r="O29" s="63"/>
      <c r="P29" s="146"/>
      <c r="Q29" s="148"/>
      <c r="R29" s="146"/>
      <c r="S29" s="148"/>
      <c r="T29" s="146"/>
      <c r="U29" s="63"/>
      <c r="V29" s="146"/>
      <c r="W29" s="63"/>
      <c r="X29" s="146"/>
      <c r="Y29" s="63"/>
      <c r="Z29" s="146"/>
      <c r="AA29" s="52">
        <f t="shared" si="0"/>
        <v>945</v>
      </c>
      <c r="AB29" s="90">
        <f>AA29/AA31*100</f>
        <v>2.4464404291755497E-2</v>
      </c>
    </row>
    <row r="30" spans="1:30" ht="15" customHeight="1" x14ac:dyDescent="0.25">
      <c r="A30" s="74" t="s">
        <v>91</v>
      </c>
      <c r="B30" s="148">
        <v>3645</v>
      </c>
      <c r="C30" s="185">
        <f>B30/B31*100</f>
        <v>1.5019469682922306</v>
      </c>
      <c r="D30" s="56">
        <v>1800</v>
      </c>
      <c r="E30" s="146">
        <f>D30/D31*100</f>
        <v>0.58590889116742351</v>
      </c>
      <c r="F30" s="155">
        <v>675</v>
      </c>
      <c r="G30" s="185">
        <f>F30/F31*100</f>
        <v>0.2844141069397042</v>
      </c>
      <c r="H30" s="158">
        <v>9630</v>
      </c>
      <c r="I30" s="146">
        <f>H30/H31*100</f>
        <v>4.8736051013436574</v>
      </c>
      <c r="J30" s="56">
        <v>21105</v>
      </c>
      <c r="K30" s="146">
        <f>J30/J31*100</f>
        <v>8.6007702182284991</v>
      </c>
      <c r="L30" s="62">
        <f>3870+810</f>
        <v>4680</v>
      </c>
      <c r="M30" s="185">
        <f>L30/L31*100</f>
        <v>1.6375373956857189</v>
      </c>
      <c r="N30" s="142"/>
      <c r="O30" s="63">
        <f>5265+495</f>
        <v>5760</v>
      </c>
      <c r="P30" s="146">
        <f>O30/O31*100</f>
        <v>1.3482199283758163</v>
      </c>
      <c r="Q30" s="148">
        <v>1665</v>
      </c>
      <c r="R30" s="146">
        <f>Q30/Q31*100</f>
        <v>0.40552389302937308</v>
      </c>
      <c r="S30" s="148">
        <v>8730</v>
      </c>
      <c r="T30" s="146">
        <f>S30/S31*100</f>
        <v>2.1007038440714672</v>
      </c>
      <c r="U30" s="63">
        <v>6975</v>
      </c>
      <c r="V30" s="146">
        <f>U30/U31*100</f>
        <v>1.8190353244924307</v>
      </c>
      <c r="W30" s="63">
        <v>7785</v>
      </c>
      <c r="X30" s="146">
        <f>W30/W31*100</f>
        <v>2.2901773894625364</v>
      </c>
      <c r="Y30" s="63">
        <v>6210</v>
      </c>
      <c r="Z30" s="146">
        <f>Y30/Y31*100</f>
        <v>1.6784237411821941</v>
      </c>
      <c r="AA30" s="52">
        <f t="shared" si="0"/>
        <v>78660</v>
      </c>
      <c r="AB30" s="90">
        <f>AA30/AA31*100</f>
        <v>2.0363704143804098</v>
      </c>
    </row>
    <row r="31" spans="1:30" s="68" customFormat="1" ht="15" customHeight="1" x14ac:dyDescent="0.25">
      <c r="A31" s="66" t="s">
        <v>71</v>
      </c>
      <c r="B31" s="153">
        <f>SUM(B6:B30)</f>
        <v>242685</v>
      </c>
      <c r="C31" s="180">
        <f t="shared" ref="C31:H31" si="1">SUM(C6:C30)</f>
        <v>100.00000000000001</v>
      </c>
      <c r="D31" s="153">
        <f t="shared" si="1"/>
        <v>307215</v>
      </c>
      <c r="E31" s="180">
        <f t="shared" si="1"/>
        <v>100</v>
      </c>
      <c r="F31" s="153">
        <f t="shared" si="1"/>
        <v>237330</v>
      </c>
      <c r="G31" s="180">
        <f t="shared" si="1"/>
        <v>100</v>
      </c>
      <c r="H31" s="67">
        <f t="shared" si="1"/>
        <v>197595</v>
      </c>
      <c r="I31" s="180">
        <f>SUM(I7:I30)</f>
        <v>97.995900705989513</v>
      </c>
      <c r="J31" s="67">
        <f>SUM(J6:J30)</f>
        <v>245385</v>
      </c>
      <c r="K31" s="180">
        <f>SUM(K6:K30)</f>
        <v>100</v>
      </c>
      <c r="L31" s="67">
        <f>SUM(L6:L30)</f>
        <v>285795</v>
      </c>
      <c r="M31" s="99">
        <f>SUM(M6:M30)</f>
        <v>100</v>
      </c>
      <c r="N31" s="142"/>
      <c r="O31" s="67">
        <f t="shared" ref="O31:AB31" si="2">SUM(O6:O30)</f>
        <v>427230</v>
      </c>
      <c r="P31" s="180">
        <f t="shared" si="2"/>
        <v>100.00000000000001</v>
      </c>
      <c r="Q31" s="67">
        <f t="shared" si="2"/>
        <v>410580</v>
      </c>
      <c r="R31" s="180">
        <f t="shared" si="2"/>
        <v>100</v>
      </c>
      <c r="S31" s="67">
        <f t="shared" si="2"/>
        <v>415575</v>
      </c>
      <c r="T31" s="180">
        <f t="shared" si="2"/>
        <v>100</v>
      </c>
      <c r="U31" s="67">
        <f t="shared" si="2"/>
        <v>383445</v>
      </c>
      <c r="V31" s="180">
        <f t="shared" si="2"/>
        <v>100</v>
      </c>
      <c r="W31" s="67">
        <f t="shared" si="2"/>
        <v>339930</v>
      </c>
      <c r="X31" s="180">
        <f t="shared" si="2"/>
        <v>99.999999999999986</v>
      </c>
      <c r="Y31" s="67">
        <f t="shared" si="2"/>
        <v>369990</v>
      </c>
      <c r="Z31" s="180">
        <f t="shared" si="2"/>
        <v>100</v>
      </c>
      <c r="AA31" s="67">
        <f>SUM(AA6:AA30)</f>
        <v>3862755</v>
      </c>
      <c r="AB31" s="180">
        <f t="shared" si="2"/>
        <v>99.999999999999972</v>
      </c>
      <c r="AC31" s="89"/>
      <c r="AD31" s="88"/>
    </row>
    <row r="32" spans="1:30" s="68" customFormat="1" ht="15" customHeight="1" x14ac:dyDescent="0.25">
      <c r="A32" s="80"/>
      <c r="B32" s="152"/>
      <c r="C32" s="81"/>
      <c r="D32" s="87"/>
      <c r="E32" s="220"/>
      <c r="F32" s="87"/>
      <c r="G32" s="81"/>
      <c r="H32" s="225"/>
      <c r="I32" s="226"/>
      <c r="J32" s="87"/>
      <c r="K32" s="81"/>
      <c r="L32" s="87"/>
      <c r="M32" s="87"/>
      <c r="N32" s="142"/>
      <c r="O32" s="87"/>
      <c r="P32" s="81"/>
      <c r="Q32" s="156"/>
      <c r="R32" s="81"/>
      <c r="S32" s="87"/>
      <c r="T32" s="81"/>
      <c r="U32" s="87"/>
      <c r="V32" s="81"/>
      <c r="W32" s="87"/>
      <c r="X32" s="81"/>
      <c r="Y32" s="87"/>
      <c r="Z32" s="81"/>
      <c r="AB32" s="81"/>
    </row>
    <row r="33" spans="1:30" s="68" customFormat="1" ht="15" customHeight="1" x14ac:dyDescent="0.25">
      <c r="A33" s="83"/>
      <c r="B33" s="310"/>
      <c r="C33" s="82"/>
      <c r="D33" s="210"/>
      <c r="E33" s="219"/>
      <c r="F33" s="222"/>
      <c r="H33" s="151"/>
      <c r="I33" s="219"/>
      <c r="J33" s="88"/>
      <c r="K33" s="222"/>
      <c r="M33" s="88"/>
      <c r="N33" s="142"/>
      <c r="O33" s="88"/>
      <c r="P33" s="82"/>
      <c r="Q33" s="88"/>
      <c r="R33" s="82"/>
      <c r="S33" s="88"/>
      <c r="T33" s="82"/>
      <c r="U33" s="150"/>
      <c r="V33" s="82"/>
      <c r="W33" s="88"/>
      <c r="X33" s="82"/>
      <c r="Y33" s="88"/>
      <c r="Z33" s="82"/>
      <c r="AA33" s="88"/>
      <c r="AB33" s="82"/>
    </row>
    <row r="34" spans="1:30" s="68" customFormat="1" ht="15" customHeight="1" x14ac:dyDescent="0.25">
      <c r="A34" s="83"/>
      <c r="B34" s="311"/>
      <c r="C34" s="82"/>
      <c r="D34" s="210"/>
      <c r="E34" s="218"/>
      <c r="F34" s="222"/>
      <c r="H34" s="88"/>
      <c r="I34" s="218"/>
      <c r="J34" s="88"/>
      <c r="K34" s="234"/>
      <c r="L34" s="235"/>
      <c r="M34" s="88"/>
      <c r="N34" s="142"/>
      <c r="O34" s="88"/>
      <c r="P34" s="82"/>
      <c r="Q34" s="88"/>
      <c r="R34" s="82"/>
      <c r="S34" s="88"/>
      <c r="T34" s="82"/>
      <c r="U34" s="88"/>
      <c r="V34" s="82"/>
      <c r="W34" s="88"/>
      <c r="X34" s="82"/>
      <c r="Y34" s="88"/>
      <c r="Z34" s="82"/>
      <c r="AA34" s="88"/>
      <c r="AB34" s="82"/>
    </row>
    <row r="35" spans="1:30" s="68" customFormat="1" ht="15" customHeight="1" x14ac:dyDescent="0.25">
      <c r="A35" s="83"/>
      <c r="B35" s="88"/>
      <c r="C35" s="82"/>
      <c r="D35" s="150"/>
      <c r="E35" s="218"/>
      <c r="F35" s="88"/>
      <c r="G35" s="82"/>
      <c r="H35" s="88"/>
      <c r="I35" s="227"/>
      <c r="J35" s="88"/>
      <c r="K35" s="218"/>
      <c r="L35" s="88"/>
      <c r="M35" s="88"/>
      <c r="N35" s="142"/>
      <c r="O35" s="88"/>
      <c r="P35" s="82"/>
      <c r="Q35" s="88"/>
      <c r="R35" s="82"/>
      <c r="S35" s="88"/>
      <c r="T35" s="82"/>
      <c r="U35" s="88"/>
      <c r="V35" s="82"/>
      <c r="W35" s="88"/>
      <c r="X35" s="82"/>
      <c r="Y35" s="88"/>
      <c r="Z35" s="82"/>
      <c r="AA35" s="88"/>
      <c r="AB35" s="82"/>
    </row>
    <row r="36" spans="1:30" s="68" customFormat="1" ht="15" customHeight="1" x14ac:dyDescent="0.25">
      <c r="A36" s="83"/>
      <c r="B36" s="88"/>
      <c r="C36" s="82"/>
      <c r="D36" s="150"/>
      <c r="E36" s="218"/>
      <c r="F36" s="88"/>
      <c r="G36" s="82"/>
      <c r="H36" s="88"/>
      <c r="I36" s="227"/>
      <c r="J36" s="88"/>
      <c r="K36" s="218"/>
      <c r="L36" s="88"/>
      <c r="M36" s="88"/>
      <c r="N36" s="142"/>
      <c r="O36" s="88"/>
      <c r="P36" s="82"/>
      <c r="Q36" s="88"/>
      <c r="R36" s="82"/>
      <c r="S36" s="88"/>
      <c r="T36" s="82"/>
      <c r="U36" s="88"/>
      <c r="V36" s="82"/>
      <c r="W36" s="88"/>
      <c r="X36" s="82"/>
      <c r="Y36" s="88"/>
      <c r="Z36" s="82"/>
      <c r="AA36" s="88"/>
      <c r="AB36" s="82"/>
    </row>
    <row r="37" spans="1:30" s="68" customFormat="1" ht="15" customHeight="1" x14ac:dyDescent="0.25">
      <c r="A37" s="83"/>
      <c r="B37" s="88"/>
      <c r="C37" s="82"/>
      <c r="D37" s="150"/>
      <c r="E37" s="218"/>
      <c r="F37" s="88"/>
      <c r="G37" s="82"/>
      <c r="H37" s="88"/>
      <c r="I37" s="227"/>
      <c r="J37" s="88"/>
      <c r="K37" s="218"/>
      <c r="L37" s="88"/>
      <c r="M37" s="88"/>
      <c r="N37" s="142"/>
      <c r="O37" s="88"/>
      <c r="P37" s="82"/>
      <c r="Q37" s="88"/>
      <c r="R37" s="82"/>
      <c r="S37" s="88"/>
      <c r="T37" s="82"/>
      <c r="U37" s="88"/>
      <c r="V37" s="82"/>
      <c r="W37" s="88"/>
      <c r="X37" s="82"/>
      <c r="Y37" s="88"/>
      <c r="Z37" s="82"/>
      <c r="AA37" s="88"/>
      <c r="AB37" s="82"/>
    </row>
    <row r="38" spans="1:30" s="68" customFormat="1" ht="15" customHeight="1" x14ac:dyDescent="0.25">
      <c r="A38" s="190" t="s">
        <v>118</v>
      </c>
      <c r="B38" s="88"/>
      <c r="C38" s="82"/>
      <c r="D38" s="88"/>
      <c r="E38" s="82"/>
      <c r="F38" s="88"/>
      <c r="G38" s="82"/>
      <c r="H38" s="88"/>
      <c r="I38" s="222"/>
      <c r="J38" s="88"/>
      <c r="K38" s="82"/>
      <c r="L38" s="88"/>
      <c r="M38" s="88"/>
      <c r="N38" s="142"/>
      <c r="O38" s="88"/>
      <c r="P38" s="82"/>
      <c r="Q38" s="88"/>
      <c r="R38" s="82"/>
      <c r="S38" s="88"/>
      <c r="T38" s="82"/>
      <c r="U38" s="88"/>
      <c r="V38" s="82"/>
      <c r="W38" s="88"/>
      <c r="X38" s="82"/>
      <c r="Y38" s="88"/>
      <c r="Z38" s="82"/>
      <c r="AA38" s="88"/>
      <c r="AB38" s="82"/>
    </row>
    <row r="39" spans="1:30" s="68" customFormat="1" ht="15" customHeight="1" x14ac:dyDescent="0.25">
      <c r="A39" s="365" t="s">
        <v>39</v>
      </c>
      <c r="B39" s="366" t="s">
        <v>21</v>
      </c>
      <c r="C39" s="367"/>
      <c r="D39" s="368" t="s">
        <v>22</v>
      </c>
      <c r="E39" s="369"/>
      <c r="F39" s="370" t="s">
        <v>23</v>
      </c>
      <c r="G39" s="371"/>
      <c r="H39" s="372" t="s">
        <v>24</v>
      </c>
      <c r="I39" s="373"/>
      <c r="J39" s="374" t="s">
        <v>25</v>
      </c>
      <c r="K39" s="375"/>
      <c r="L39" s="376" t="s">
        <v>40</v>
      </c>
      <c r="M39" s="377"/>
      <c r="N39" s="142"/>
      <c r="O39" s="378" t="s">
        <v>27</v>
      </c>
      <c r="P39" s="379"/>
      <c r="Q39" s="380" t="s">
        <v>37</v>
      </c>
      <c r="R39" s="381"/>
      <c r="S39" s="382" t="s">
        <v>28</v>
      </c>
      <c r="T39" s="383"/>
      <c r="U39" s="361" t="s">
        <v>29</v>
      </c>
      <c r="V39" s="362"/>
      <c r="W39" s="363" t="s">
        <v>30</v>
      </c>
      <c r="X39" s="364"/>
      <c r="Y39" s="329" t="s">
        <v>38</v>
      </c>
      <c r="Z39" s="330"/>
      <c r="AA39" s="331" t="s">
        <v>20</v>
      </c>
      <c r="AB39" s="332"/>
    </row>
    <row r="40" spans="1:30" s="68" customFormat="1" ht="15" customHeight="1" x14ac:dyDescent="0.25">
      <c r="A40" s="334"/>
      <c r="B40" s="294" t="s">
        <v>72</v>
      </c>
      <c r="C40" s="141" t="s">
        <v>78</v>
      </c>
      <c r="D40" s="294" t="s">
        <v>72</v>
      </c>
      <c r="E40" s="141" t="s">
        <v>78</v>
      </c>
      <c r="F40" s="294" t="s">
        <v>72</v>
      </c>
      <c r="G40" s="141" t="s">
        <v>78</v>
      </c>
      <c r="H40" s="294" t="s">
        <v>72</v>
      </c>
      <c r="I40" s="141" t="s">
        <v>78</v>
      </c>
      <c r="J40" s="294" t="s">
        <v>72</v>
      </c>
      <c r="K40" s="141" t="s">
        <v>78</v>
      </c>
      <c r="L40" s="294" t="s">
        <v>72</v>
      </c>
      <c r="M40" s="141" t="s">
        <v>78</v>
      </c>
      <c r="N40" s="142"/>
      <c r="O40" s="294" t="s">
        <v>72</v>
      </c>
      <c r="P40" s="141" t="s">
        <v>78</v>
      </c>
      <c r="Q40" s="294" t="s">
        <v>72</v>
      </c>
      <c r="R40" s="141" t="s">
        <v>78</v>
      </c>
      <c r="S40" s="294" t="s">
        <v>72</v>
      </c>
      <c r="T40" s="141" t="s">
        <v>78</v>
      </c>
      <c r="U40" s="294" t="s">
        <v>72</v>
      </c>
      <c r="V40" s="141" t="s">
        <v>78</v>
      </c>
      <c r="W40" s="294" t="s">
        <v>72</v>
      </c>
      <c r="X40" s="141" t="s">
        <v>78</v>
      </c>
      <c r="Y40" s="294" t="s">
        <v>72</v>
      </c>
      <c r="Z40" s="141" t="s">
        <v>78</v>
      </c>
      <c r="AA40" s="295" t="s">
        <v>72</v>
      </c>
      <c r="AB40" s="141" t="s">
        <v>78</v>
      </c>
    </row>
    <row r="41" spans="1:30" ht="14.1" customHeight="1" x14ac:dyDescent="0.25">
      <c r="A41" s="132" t="s">
        <v>74</v>
      </c>
      <c r="B41" s="118"/>
      <c r="C41" s="119" t="s">
        <v>97</v>
      </c>
      <c r="D41" s="120"/>
      <c r="E41" s="119"/>
      <c r="F41" s="121"/>
      <c r="G41" s="119"/>
      <c r="H41" s="122"/>
      <c r="I41" s="119"/>
      <c r="J41" s="123"/>
      <c r="K41" s="232"/>
      <c r="L41" s="124"/>
      <c r="M41" s="124"/>
      <c r="N41" s="142"/>
      <c r="O41" s="125"/>
      <c r="P41" s="119"/>
      <c r="Q41" s="126"/>
      <c r="R41" s="119"/>
      <c r="S41" s="127"/>
      <c r="T41" s="119"/>
      <c r="U41" s="128"/>
      <c r="V41" s="119"/>
      <c r="W41" s="129"/>
      <c r="X41" s="119"/>
      <c r="Y41" s="130"/>
      <c r="Z41" s="119"/>
      <c r="AA41" s="131"/>
      <c r="AB41" s="119"/>
    </row>
    <row r="42" spans="1:30" s="288" customFormat="1" ht="14.1" customHeight="1" x14ac:dyDescent="0.25">
      <c r="A42" s="75" t="s">
        <v>127</v>
      </c>
      <c r="B42" s="57"/>
      <c r="C42" s="146"/>
      <c r="D42" s="57"/>
      <c r="E42" s="146"/>
      <c r="F42" s="57"/>
      <c r="G42" s="146"/>
      <c r="H42" s="57"/>
      <c r="I42" s="146"/>
      <c r="J42" s="57"/>
      <c r="K42" s="146"/>
      <c r="L42" s="57"/>
      <c r="M42" s="185"/>
      <c r="N42" s="142"/>
      <c r="O42" s="57"/>
      <c r="P42" s="185"/>
      <c r="Q42" s="57">
        <v>1125</v>
      </c>
      <c r="R42" s="146">
        <f>Q42/Q53*100</f>
        <v>0.24445096313679476</v>
      </c>
      <c r="S42" s="57">
        <v>675</v>
      </c>
      <c r="T42" s="146">
        <f>S42/S53*100</f>
        <v>0.15016518169986987</v>
      </c>
      <c r="U42" s="57">
        <v>24750</v>
      </c>
      <c r="V42" s="185">
        <f>U42/U53*100</f>
        <v>5.6730273336771528</v>
      </c>
      <c r="W42" s="57">
        <v>8550</v>
      </c>
      <c r="X42" s="185">
        <f>W42/W53*100</f>
        <v>2.1759047182775997</v>
      </c>
      <c r="Y42" s="57">
        <v>1215</v>
      </c>
      <c r="Z42" s="185">
        <f>Y42/Y53*100</f>
        <v>0.34557788301548703</v>
      </c>
      <c r="AA42" s="52">
        <f t="shared" ref="AA42:AA52" si="3">B42+D42+F42+H42+J42+L42+O42+Q42+S42+U42+W42+Y42</f>
        <v>36315</v>
      </c>
      <c r="AB42" s="90">
        <f>AA42/AA53*100</f>
        <v>0.80815566259751448</v>
      </c>
      <c r="AC42"/>
    </row>
    <row r="43" spans="1:30" ht="14.1" customHeight="1" x14ac:dyDescent="0.25">
      <c r="A43" s="75" t="s">
        <v>102</v>
      </c>
      <c r="B43" s="56"/>
      <c r="C43" s="146"/>
      <c r="D43" s="57"/>
      <c r="E43" s="90"/>
      <c r="F43" s="57">
        <v>2970</v>
      </c>
      <c r="G43" s="146">
        <f>F43/F53*100</f>
        <v>1.0867775399308415</v>
      </c>
      <c r="H43" s="57">
        <v>13095</v>
      </c>
      <c r="I43" s="90">
        <f>H43/H53*100</f>
        <v>5.2755620014503259</v>
      </c>
      <c r="J43" s="57">
        <v>17145</v>
      </c>
      <c r="K43" s="146">
        <f>J43/J53*100</f>
        <v>3.4460926193921853</v>
      </c>
      <c r="L43" s="57">
        <v>42660</v>
      </c>
      <c r="M43" s="185">
        <f>L43/L53*100</f>
        <v>8.6409625375991261</v>
      </c>
      <c r="N43" s="142"/>
      <c r="O43" s="57">
        <v>24210</v>
      </c>
      <c r="P43" s="185">
        <f>O43/O53*100</f>
        <v>5.4503089859183467</v>
      </c>
      <c r="Q43" s="57">
        <v>16155</v>
      </c>
      <c r="R43" s="146">
        <f>Q43/Q53*100</f>
        <v>3.5103158306443727</v>
      </c>
      <c r="S43" s="57">
        <v>28530</v>
      </c>
      <c r="T43" s="146">
        <f>S43/S53*100</f>
        <v>6.3469816798478327</v>
      </c>
      <c r="U43" s="57">
        <v>13365</v>
      </c>
      <c r="V43" s="185">
        <f>U43/U53*100</f>
        <v>3.0634347601856629</v>
      </c>
      <c r="W43" s="57">
        <v>16695</v>
      </c>
      <c r="X43" s="185">
        <f>W43/W53*100</f>
        <v>4.2487402656894186</v>
      </c>
      <c r="Y43" s="57">
        <f>5445</f>
        <v>5445</v>
      </c>
      <c r="Z43" s="185">
        <f>Y43/Y53*100</f>
        <v>1.5487008831434788</v>
      </c>
      <c r="AA43" s="52">
        <f t="shared" si="3"/>
        <v>180270</v>
      </c>
      <c r="AB43" s="90">
        <f>AA43/AA53*100</f>
        <v>4.0117367836005489</v>
      </c>
    </row>
    <row r="44" spans="1:30" ht="14.1" customHeight="1" x14ac:dyDescent="0.25">
      <c r="A44" s="75" t="s">
        <v>103</v>
      </c>
      <c r="B44" s="57">
        <v>183060</v>
      </c>
      <c r="C44" s="146">
        <f>B44/B53*100</f>
        <v>86.719249626945214</v>
      </c>
      <c r="D44" s="57">
        <v>209700</v>
      </c>
      <c r="E44" s="146">
        <f>D44/D53*100</f>
        <v>89.220754355734258</v>
      </c>
      <c r="F44" s="57">
        <v>235620</v>
      </c>
      <c r="G44" s="146">
        <f>F44/F53*100</f>
        <v>86.21768483451342</v>
      </c>
      <c r="H44" s="57">
        <v>184365</v>
      </c>
      <c r="I44" s="146">
        <f>H44/H53*100</f>
        <v>74.274836838288621</v>
      </c>
      <c r="J44" s="57">
        <v>344745</v>
      </c>
      <c r="K44" s="146">
        <f>J44/J53*100</f>
        <v>69.292691751085385</v>
      </c>
      <c r="L44" s="57">
        <v>310725</v>
      </c>
      <c r="M44" s="185">
        <f>L44/L53*100</f>
        <v>62.938656457934549</v>
      </c>
      <c r="N44" s="142"/>
      <c r="O44" s="57">
        <v>307215</v>
      </c>
      <c r="P44" s="185">
        <f>O44/O53*100</f>
        <v>69.162192280417386</v>
      </c>
      <c r="Q44" s="57">
        <v>346815</v>
      </c>
      <c r="R44" s="146">
        <f>Q44/Q53*100</f>
        <v>75.359342915811084</v>
      </c>
      <c r="S44" s="57">
        <v>327960</v>
      </c>
      <c r="T44" s="146">
        <f>S44/S53*100</f>
        <v>72.960256281910091</v>
      </c>
      <c r="U44" s="57">
        <v>344070</v>
      </c>
      <c r="V44" s="185">
        <f>U44/U53*100</f>
        <v>78.865394533264563</v>
      </c>
      <c r="W44" s="57">
        <v>262350</v>
      </c>
      <c r="X44" s="185">
        <f>W44/W53*100</f>
        <v>66.765918460833717</v>
      </c>
      <c r="Y44" s="57">
        <v>278370</v>
      </c>
      <c r="Z44" s="185">
        <f>Y44/Y53*100</f>
        <v>79.175732753103802</v>
      </c>
      <c r="AA44" s="52">
        <f t="shared" si="3"/>
        <v>3334995</v>
      </c>
      <c r="AB44" s="90">
        <f>AA44/AA53*100</f>
        <v>74.217130496610153</v>
      </c>
      <c r="AD44" s="255"/>
    </row>
    <row r="45" spans="1:30" ht="14.1" customHeight="1" x14ac:dyDescent="0.25">
      <c r="A45" s="75" t="s">
        <v>113</v>
      </c>
      <c r="B45" s="57"/>
      <c r="C45" s="155"/>
      <c r="D45" s="57"/>
      <c r="E45" s="91"/>
      <c r="F45" s="57">
        <v>3375</v>
      </c>
      <c r="G45" s="146">
        <f>F45/F53*100</f>
        <v>1.234974477194138</v>
      </c>
      <c r="H45" s="57">
        <v>2160</v>
      </c>
      <c r="I45" s="146">
        <f>H45/H53*100</f>
        <v>0.8701957940536621</v>
      </c>
      <c r="J45" s="57">
        <v>5265</v>
      </c>
      <c r="K45" s="146">
        <f>J45/J53*100</f>
        <v>1.0582489146164977</v>
      </c>
      <c r="L45" s="57">
        <v>32580</v>
      </c>
      <c r="M45" s="185">
        <f>L45/L53*100</f>
        <v>6.5992161152128341</v>
      </c>
      <c r="N45" s="142"/>
      <c r="O45" s="57">
        <v>16065</v>
      </c>
      <c r="P45" s="185">
        <f>O45/O53*100</f>
        <v>3.6166548475331779</v>
      </c>
      <c r="Q45" s="57">
        <v>14085</v>
      </c>
      <c r="R45" s="146">
        <f>Q45/Q53*100</f>
        <v>3.0605260584726701</v>
      </c>
      <c r="S45" s="57">
        <v>2430</v>
      </c>
      <c r="T45" s="146">
        <f>S45/S53*100</f>
        <v>0.54059465411953156</v>
      </c>
      <c r="U45" s="57"/>
      <c r="V45" s="185"/>
      <c r="W45" s="57"/>
      <c r="X45" s="185"/>
      <c r="Y45" s="57"/>
      <c r="Z45" s="185"/>
      <c r="AA45" s="52">
        <f t="shared" si="3"/>
        <v>75960</v>
      </c>
      <c r="AB45" s="90">
        <f>AA45/AA53*100</f>
        <v>1.6904172967343301</v>
      </c>
    </row>
    <row r="46" spans="1:30" ht="14.1" customHeight="1" x14ac:dyDescent="0.25">
      <c r="A46" s="75" t="s">
        <v>88</v>
      </c>
      <c r="B46" s="57">
        <v>1800</v>
      </c>
      <c r="C46" s="146">
        <f>B46/B53*100</f>
        <v>0.85269665316563636</v>
      </c>
      <c r="D46" s="57">
        <v>1575</v>
      </c>
      <c r="E46" s="146">
        <f>D46/D53*100</f>
        <v>0.67011296189929159</v>
      </c>
      <c r="F46" s="57"/>
      <c r="G46" s="146"/>
      <c r="H46" s="57">
        <v>4275</v>
      </c>
      <c r="I46" s="146">
        <f>H46/H53*100</f>
        <v>1.7222625090645396</v>
      </c>
      <c r="J46" s="57">
        <v>675</v>
      </c>
      <c r="K46" s="146">
        <f>J46/J53*100</f>
        <v>0.13567293777134587</v>
      </c>
      <c r="L46" s="57">
        <v>4950</v>
      </c>
      <c r="M46" s="185">
        <f>L46/L53*100</f>
        <v>1.0026433324218396</v>
      </c>
      <c r="N46" s="142"/>
      <c r="O46" s="57"/>
      <c r="P46" s="185"/>
      <c r="Q46" s="57"/>
      <c r="R46" s="146"/>
      <c r="S46" s="57">
        <v>1215</v>
      </c>
      <c r="T46" s="146">
        <f>S46/S53*100</f>
        <v>0.27029732705976578</v>
      </c>
      <c r="U46" s="57"/>
      <c r="V46" s="185"/>
      <c r="W46" s="57">
        <v>405</v>
      </c>
      <c r="X46" s="185">
        <f>W46/W53*100</f>
        <v>0.10306917086578105</v>
      </c>
      <c r="Y46" s="57">
        <v>1575</v>
      </c>
      <c r="Z46" s="185">
        <f>Y46/Y53*100</f>
        <v>0.44797132983489063</v>
      </c>
      <c r="AA46" s="52">
        <f t="shared" si="3"/>
        <v>16470</v>
      </c>
      <c r="AB46" s="90">
        <f>AA46/AA53*100</f>
        <v>0.36652412950519242</v>
      </c>
    </row>
    <row r="47" spans="1:30" ht="14.1" customHeight="1" x14ac:dyDescent="0.25">
      <c r="A47" s="75" t="s">
        <v>98</v>
      </c>
      <c r="B47" s="57">
        <v>1755</v>
      </c>
      <c r="C47" s="146">
        <f>B47/B53*100</f>
        <v>0.83137923683649539</v>
      </c>
      <c r="D47" s="57"/>
      <c r="E47" s="146"/>
      <c r="F47" s="57">
        <v>7200</v>
      </c>
      <c r="G47" s="146">
        <f>F47/F53*100</f>
        <v>2.6346122180141611</v>
      </c>
      <c r="H47" s="57">
        <v>34335</v>
      </c>
      <c r="I47" s="146">
        <f>H47/H53*100</f>
        <v>13.832487309644669</v>
      </c>
      <c r="J47" s="57">
        <v>115065</v>
      </c>
      <c r="K47" s="146">
        <f>J47/J53*100</f>
        <v>23.127713458755427</v>
      </c>
      <c r="L47" s="57">
        <v>73665</v>
      </c>
      <c r="M47" s="185">
        <f>L47/L53*100</f>
        <v>14.921155774314101</v>
      </c>
      <c r="N47" s="142"/>
      <c r="O47" s="57">
        <v>55710</v>
      </c>
      <c r="P47" s="185">
        <f>O47/O53*100</f>
        <v>12.541789079120658</v>
      </c>
      <c r="Q47" s="57">
        <v>34920</v>
      </c>
      <c r="R47" s="146">
        <f>Q47/Q53*100</f>
        <v>7.5877578957661092</v>
      </c>
      <c r="S47" s="57">
        <v>55890</v>
      </c>
      <c r="T47" s="146">
        <f>S47/S53*100</f>
        <v>12.433677044749224</v>
      </c>
      <c r="U47" s="57">
        <v>27720</v>
      </c>
      <c r="V47" s="185">
        <f>U47/U53*100</f>
        <v>6.3537906137184113</v>
      </c>
      <c r="W47" s="57">
        <v>49005</v>
      </c>
      <c r="X47" s="185">
        <f>W47/W53*100</f>
        <v>12.471369674759506</v>
      </c>
      <c r="Y47" s="57">
        <v>2250</v>
      </c>
      <c r="Z47" s="185">
        <f>Y47/Y53*100</f>
        <v>0.63995904262127223</v>
      </c>
      <c r="AA47" s="52">
        <f t="shared" si="3"/>
        <v>457515</v>
      </c>
      <c r="AB47" s="90">
        <f>AA47/AA53*100</f>
        <v>10.181559630271288</v>
      </c>
    </row>
    <row r="48" spans="1:30" ht="14.1" customHeight="1" x14ac:dyDescent="0.25">
      <c r="A48" s="75" t="s">
        <v>104</v>
      </c>
      <c r="B48" s="57"/>
      <c r="C48" s="146"/>
      <c r="D48" s="57">
        <v>720</v>
      </c>
      <c r="E48" s="146">
        <f>D48/D53*100</f>
        <v>0.30633735401110473</v>
      </c>
      <c r="F48" s="57"/>
      <c r="G48" s="146"/>
      <c r="H48" s="57"/>
      <c r="I48" s="91"/>
      <c r="J48" s="57"/>
      <c r="K48" s="146"/>
      <c r="L48" s="57"/>
      <c r="M48" s="185"/>
      <c r="N48" s="142"/>
      <c r="O48" s="57"/>
      <c r="P48" s="185"/>
      <c r="Q48" s="57"/>
      <c r="R48" s="146"/>
      <c r="S48" s="57"/>
      <c r="T48" s="146"/>
      <c r="U48" s="57">
        <v>675</v>
      </c>
      <c r="V48" s="185">
        <f>U48/U53*100</f>
        <v>0.15471892728210418</v>
      </c>
      <c r="W48" s="57"/>
      <c r="X48" s="185"/>
      <c r="Y48" s="57"/>
      <c r="Z48" s="185"/>
      <c r="AA48" s="52">
        <f t="shared" si="3"/>
        <v>1395</v>
      </c>
      <c r="AB48" s="90">
        <f>AA48/AA53*100</f>
        <v>3.1044393482680233E-2</v>
      </c>
    </row>
    <row r="49" spans="1:30" ht="14.1" customHeight="1" x14ac:dyDescent="0.25">
      <c r="A49" s="75" t="s">
        <v>90</v>
      </c>
      <c r="B49" s="57">
        <v>4365</v>
      </c>
      <c r="C49" s="146">
        <f>B49/B53*100</f>
        <v>2.0677893839266681</v>
      </c>
      <c r="D49" s="57">
        <v>13500</v>
      </c>
      <c r="E49" s="146">
        <f>D49/D53*100</f>
        <v>5.7438253877082142</v>
      </c>
      <c r="F49" s="57">
        <v>6660</v>
      </c>
      <c r="G49" s="91">
        <f>F49/F53*100</f>
        <v>2.4370163016630988</v>
      </c>
      <c r="H49" s="57">
        <v>810</v>
      </c>
      <c r="I49" s="146">
        <f>H49/H53*100</f>
        <v>0.32632342277012327</v>
      </c>
      <c r="J49" s="57">
        <f>540+360</f>
        <v>900</v>
      </c>
      <c r="K49" s="146">
        <f>J49/J53*100</f>
        <v>0.18089725036179449</v>
      </c>
      <c r="L49" s="57"/>
      <c r="M49" s="185"/>
      <c r="N49" s="142"/>
      <c r="O49" s="57">
        <v>360</v>
      </c>
      <c r="P49" s="185">
        <f>O49/O53*100</f>
        <v>8.1045486779454973E-2</v>
      </c>
      <c r="Q49" s="57"/>
      <c r="R49" s="146"/>
      <c r="S49" s="57"/>
      <c r="T49" s="146"/>
      <c r="U49" s="57">
        <v>5985</v>
      </c>
      <c r="V49" s="185">
        <f>U49/U53*100</f>
        <v>1.371841155234657</v>
      </c>
      <c r="W49" s="57">
        <v>1575</v>
      </c>
      <c r="X49" s="185">
        <f>W49/W53*100</f>
        <v>0.40082455336692624</v>
      </c>
      <c r="Y49" s="57"/>
      <c r="Z49" s="185"/>
      <c r="AA49" s="52">
        <f t="shared" si="3"/>
        <v>34155</v>
      </c>
      <c r="AB49" s="90">
        <f>AA49/AA53*100</f>
        <v>0.76008692430175151</v>
      </c>
    </row>
    <row r="50" spans="1:30" ht="14.1" customHeight="1" x14ac:dyDescent="0.25">
      <c r="A50" s="75" t="s">
        <v>94</v>
      </c>
      <c r="B50" s="57"/>
      <c r="C50" s="146"/>
      <c r="D50" s="57"/>
      <c r="E50" s="146"/>
      <c r="F50" s="57"/>
      <c r="G50" s="91"/>
      <c r="H50" s="57"/>
      <c r="I50" s="91"/>
      <c r="J50" s="57">
        <v>1125</v>
      </c>
      <c r="K50" s="146">
        <f>J50/J53*100</f>
        <v>0.22612156295224312</v>
      </c>
      <c r="L50" s="57">
        <v>5760</v>
      </c>
      <c r="M50" s="185">
        <f>L50/L53*100</f>
        <v>1.1667122413635949</v>
      </c>
      <c r="N50" s="142"/>
      <c r="O50" s="57">
        <v>4095</v>
      </c>
      <c r="P50" s="185">
        <f>O50/O53*100</f>
        <v>0.92189241211630035</v>
      </c>
      <c r="Q50" s="57">
        <v>225</v>
      </c>
      <c r="R50" s="146">
        <f>Q50/Q53*100</f>
        <v>4.8890192627358955E-2</v>
      </c>
      <c r="S50" s="57"/>
      <c r="T50" s="146"/>
      <c r="U50" s="57"/>
      <c r="V50" s="185"/>
      <c r="W50" s="57"/>
      <c r="X50" s="185"/>
      <c r="Y50" s="57"/>
      <c r="Z50" s="185"/>
      <c r="AA50" s="52">
        <f t="shared" si="3"/>
        <v>11205</v>
      </c>
      <c r="AB50" s="90">
        <f>AA50/AA53*100</f>
        <v>0.24935657990927027</v>
      </c>
    </row>
    <row r="51" spans="1:30" ht="14.1" customHeight="1" x14ac:dyDescent="0.25">
      <c r="A51" s="75" t="s">
        <v>114</v>
      </c>
      <c r="B51" s="57">
        <v>9900</v>
      </c>
      <c r="C51" s="146">
        <f>B51/B53*100</f>
        <v>4.6898315924110001</v>
      </c>
      <c r="D51" s="57">
        <v>1125</v>
      </c>
      <c r="E51" s="146">
        <f>D51/D53*100</f>
        <v>0.47865211564235116</v>
      </c>
      <c r="F51" s="57"/>
      <c r="G51" s="146"/>
      <c r="H51" s="57"/>
      <c r="I51" s="146"/>
      <c r="J51" s="57"/>
      <c r="K51" s="146"/>
      <c r="L51" s="57">
        <v>6030</v>
      </c>
      <c r="M51" s="185">
        <f>L51/L53*100</f>
        <v>1.2214018776775133</v>
      </c>
      <c r="N51" s="142"/>
      <c r="O51" s="57">
        <v>450</v>
      </c>
      <c r="P51" s="185">
        <f>O51/O53*100</f>
        <v>0.10130685847431871</v>
      </c>
      <c r="Q51" s="57">
        <v>900</v>
      </c>
      <c r="R51" s="146">
        <f>Q51/Q53*100</f>
        <v>0.19556077050943582</v>
      </c>
      <c r="S51" s="57"/>
      <c r="T51" s="146"/>
      <c r="U51" s="57"/>
      <c r="V51" s="185"/>
      <c r="W51" s="57"/>
      <c r="X51" s="185"/>
      <c r="Y51" s="57"/>
      <c r="Z51" s="185"/>
      <c r="AA51" s="52">
        <f t="shared" si="3"/>
        <v>18405</v>
      </c>
      <c r="AB51" s="90">
        <f>AA51/AA53*100</f>
        <v>0.40958570756181339</v>
      </c>
    </row>
    <row r="52" spans="1:30" ht="14.1" customHeight="1" x14ac:dyDescent="0.25">
      <c r="A52" s="75" t="s">
        <v>56</v>
      </c>
      <c r="B52" s="57">
        <v>10215</v>
      </c>
      <c r="C52" s="146">
        <f>B52/B53*100</f>
        <v>4.8390535067149862</v>
      </c>
      <c r="D52" s="57">
        <v>8415</v>
      </c>
      <c r="E52" s="146">
        <f>D52/D53*100</f>
        <v>3.5803178250047862</v>
      </c>
      <c r="F52" s="57">
        <v>17460</v>
      </c>
      <c r="G52" s="146">
        <f>F52/F53*100</f>
        <v>6.3889346286843409</v>
      </c>
      <c r="H52" s="57">
        <v>9180</v>
      </c>
      <c r="I52" s="146">
        <f>H52/H53*100</f>
        <v>3.6983321247280641</v>
      </c>
      <c r="J52" s="57">
        <v>12600</v>
      </c>
      <c r="K52" s="146">
        <f>J52/J53*100</f>
        <v>2.5325615050651229</v>
      </c>
      <c r="L52" s="57">
        <v>17325</v>
      </c>
      <c r="M52" s="185">
        <f>L52/L53*100</f>
        <v>3.5092516634764377</v>
      </c>
      <c r="N52" s="142"/>
      <c r="O52" s="57">
        <v>36090</v>
      </c>
      <c r="P52" s="185">
        <f>O52/O53*100</f>
        <v>8.1248100496403595</v>
      </c>
      <c r="Q52" s="57">
        <v>45990</v>
      </c>
      <c r="R52" s="146">
        <f>Q52/Q53*100</f>
        <v>9.9931553730321703</v>
      </c>
      <c r="S52" s="57">
        <v>32805</v>
      </c>
      <c r="T52" s="146">
        <f>S52/S53*100</f>
        <v>7.298027830613675</v>
      </c>
      <c r="U52" s="57">
        <v>19710</v>
      </c>
      <c r="V52" s="185">
        <f>U52/U53*100</f>
        <v>4.5177926766374421</v>
      </c>
      <c r="W52" s="57">
        <v>54360</v>
      </c>
      <c r="X52" s="185">
        <f>W52/W53*100</f>
        <v>13.834173156207056</v>
      </c>
      <c r="Y52" s="57">
        <v>62730</v>
      </c>
      <c r="Z52" s="185">
        <f>Y52/Y53*100</f>
        <v>17.842058108281069</v>
      </c>
      <c r="AA52" s="52">
        <f t="shared" si="3"/>
        <v>326880</v>
      </c>
      <c r="AB52" s="90">
        <f>AA52/AA53*100</f>
        <v>7.274402395425458</v>
      </c>
    </row>
    <row r="53" spans="1:30" s="68" customFormat="1" ht="14.1" customHeight="1" x14ac:dyDescent="0.25">
      <c r="A53" s="66" t="s">
        <v>71</v>
      </c>
      <c r="B53" s="69">
        <f>SUM(B42:B52)</f>
        <v>211095</v>
      </c>
      <c r="C53" s="92" t="s">
        <v>120</v>
      </c>
      <c r="D53" s="69">
        <f t="shared" ref="D53:M53" si="4">SUM(D43:D52)</f>
        <v>235035</v>
      </c>
      <c r="E53" s="92">
        <f t="shared" si="4"/>
        <v>100</v>
      </c>
      <c r="F53" s="69">
        <f t="shared" si="4"/>
        <v>273285</v>
      </c>
      <c r="G53" s="188">
        <f t="shared" si="4"/>
        <v>99.999999999999986</v>
      </c>
      <c r="H53" s="69">
        <f t="shared" si="4"/>
        <v>248220</v>
      </c>
      <c r="I53" s="92">
        <f t="shared" si="4"/>
        <v>100</v>
      </c>
      <c r="J53" s="69">
        <f t="shared" si="4"/>
        <v>497520</v>
      </c>
      <c r="K53" s="92">
        <f t="shared" si="4"/>
        <v>100</v>
      </c>
      <c r="L53" s="69">
        <f>SUM(L42:L52)</f>
        <v>493695</v>
      </c>
      <c r="M53" s="187">
        <f t="shared" si="4"/>
        <v>100</v>
      </c>
      <c r="N53" s="142"/>
      <c r="O53" s="69">
        <f>SUM(O43:O52)</f>
        <v>444195</v>
      </c>
      <c r="P53" s="187">
        <f>SUM(P43:P52)</f>
        <v>100.00000000000001</v>
      </c>
      <c r="Q53" s="69">
        <f t="shared" ref="Q53:W53" si="5">SUM(Q42:Q52)</f>
        <v>460215</v>
      </c>
      <c r="R53" s="92">
        <f t="shared" si="5"/>
        <v>99.999999999999986</v>
      </c>
      <c r="S53" s="69">
        <f t="shared" si="5"/>
        <v>449505</v>
      </c>
      <c r="T53" s="92">
        <f t="shared" si="5"/>
        <v>100</v>
      </c>
      <c r="U53" s="69">
        <f t="shared" si="5"/>
        <v>436275</v>
      </c>
      <c r="V53" s="187">
        <f t="shared" si="5"/>
        <v>100</v>
      </c>
      <c r="W53" s="69">
        <f t="shared" si="5"/>
        <v>392940</v>
      </c>
      <c r="X53" s="187">
        <f>SUM(X43:X52)</f>
        <v>97.824095281722407</v>
      </c>
      <c r="Y53" s="69">
        <f>SUM(Y42:Y52)</f>
        <v>351585</v>
      </c>
      <c r="Z53" s="187">
        <f>SUM(Z43:Z52)</f>
        <v>99.654422116984506</v>
      </c>
      <c r="AA53" s="69">
        <f>SUM(AA42:AA52)</f>
        <v>4493565</v>
      </c>
      <c r="AB53" s="92">
        <f>SUM(AB43:AB52)</f>
        <v>99.191844337402472</v>
      </c>
      <c r="AD53" s="88">
        <f>B53+D53+F53+H53+J53+L53+O53+Q53+S53+U53+W53+Y53</f>
        <v>4493565</v>
      </c>
    </row>
    <row r="54" spans="1:30" ht="14.1" customHeight="1" x14ac:dyDescent="0.25">
      <c r="A54" s="132" t="s">
        <v>75</v>
      </c>
      <c r="B54" s="147"/>
      <c r="C54" s="134"/>
      <c r="D54" s="135"/>
      <c r="E54" s="134"/>
      <c r="F54" s="136"/>
      <c r="G54" s="134"/>
      <c r="H54" s="137"/>
      <c r="I54" s="134"/>
      <c r="J54" s="138"/>
      <c r="K54" s="238"/>
      <c r="L54" s="139"/>
      <c r="M54" s="139"/>
      <c r="N54" s="142"/>
      <c r="O54" s="252"/>
      <c r="P54" s="119"/>
      <c r="Q54" s="174"/>
      <c r="R54" s="119"/>
      <c r="S54" s="127"/>
      <c r="T54" s="119"/>
      <c r="U54" s="128"/>
      <c r="V54" s="119"/>
      <c r="W54" s="129"/>
      <c r="X54" s="119"/>
      <c r="Y54" s="130"/>
      <c r="Z54" s="119"/>
      <c r="AA54" s="131"/>
      <c r="AB54" s="119"/>
    </row>
    <row r="55" spans="1:30" ht="14.1" customHeight="1" x14ac:dyDescent="0.25">
      <c r="A55" s="76" t="s">
        <v>101</v>
      </c>
      <c r="B55" s="57"/>
      <c r="C55" s="146"/>
      <c r="D55" s="57"/>
      <c r="E55" s="146"/>
      <c r="F55" s="57"/>
      <c r="G55" s="146"/>
      <c r="H55" s="57">
        <v>5400</v>
      </c>
      <c r="I55" s="146">
        <f>H55/H66*100</f>
        <v>1.8755861206627071</v>
      </c>
      <c r="J55" s="237"/>
      <c r="K55" s="185"/>
      <c r="L55" s="57"/>
      <c r="M55" s="185"/>
      <c r="N55" s="142"/>
      <c r="O55" s="57">
        <v>1800</v>
      </c>
      <c r="P55" s="100">
        <f>O55/O66*100</f>
        <v>0.57061340941512129</v>
      </c>
      <c r="Q55" s="57"/>
      <c r="R55" s="91"/>
      <c r="S55" s="57"/>
      <c r="T55" s="91"/>
      <c r="U55" s="57"/>
      <c r="V55" s="185"/>
      <c r="W55" s="57"/>
      <c r="X55" s="185"/>
      <c r="Y55" s="57"/>
      <c r="Z55" s="91"/>
      <c r="AA55" s="52">
        <f t="shared" ref="AA55:AA65" si="6">B55+D55+F55+H55+J55+L55+O55+Q55+S55+U55+W55+Y55</f>
        <v>7200</v>
      </c>
      <c r="AB55" s="90">
        <f>AA55/AA66*100</f>
        <v>0.2125370279353356</v>
      </c>
    </row>
    <row r="56" spans="1:30" ht="14.1" customHeight="1" x14ac:dyDescent="0.25">
      <c r="A56" s="76" t="s">
        <v>84</v>
      </c>
      <c r="B56" s="57">
        <v>37485</v>
      </c>
      <c r="C56" s="146">
        <f>B56/B66*100</f>
        <v>10.285220397579948</v>
      </c>
      <c r="D56" s="57">
        <v>62505</v>
      </c>
      <c r="E56" s="146">
        <f>D56/D66*100</f>
        <v>22.093208207412122</v>
      </c>
      <c r="F56" s="57">
        <v>47655</v>
      </c>
      <c r="G56" s="146">
        <f>F56/F66*100</f>
        <v>13.214374844022961</v>
      </c>
      <c r="H56" s="57">
        <v>92160</v>
      </c>
      <c r="I56" s="146">
        <f>H56/H66*100</f>
        <v>32.010003125976866</v>
      </c>
      <c r="J56" s="148">
        <v>70335</v>
      </c>
      <c r="K56" s="185">
        <f>J56/J66*100</f>
        <v>26.1283851554664</v>
      </c>
      <c r="L56" s="57">
        <v>52650</v>
      </c>
      <c r="M56" s="185">
        <f>L56/L66*100</f>
        <v>18.335684062059237</v>
      </c>
      <c r="N56" s="142"/>
      <c r="O56" s="148">
        <v>35955</v>
      </c>
      <c r="P56" s="90">
        <f>O56/O66*100</f>
        <v>11.398002853067048</v>
      </c>
      <c r="Q56" s="57">
        <v>13185</v>
      </c>
      <c r="R56" s="146">
        <f>Q56/Q66*100</f>
        <v>5.1904340124003543</v>
      </c>
      <c r="S56" s="57">
        <v>6570</v>
      </c>
      <c r="T56" s="185">
        <f>S56/S66*100</f>
        <v>2.5605050859347598</v>
      </c>
      <c r="U56" s="57">
        <v>4950</v>
      </c>
      <c r="V56" s="185">
        <f>U56/U66*100</f>
        <v>1.820287936455403</v>
      </c>
      <c r="W56" s="57">
        <v>40545</v>
      </c>
      <c r="X56" s="185">
        <f>W56/W66*100</f>
        <v>22.98469387755102</v>
      </c>
      <c r="Y56" s="57">
        <v>62370</v>
      </c>
      <c r="Z56" s="146">
        <f>Y56/Y66*100</f>
        <v>23.896551724137932</v>
      </c>
      <c r="AA56" s="52">
        <f t="shared" si="6"/>
        <v>526365</v>
      </c>
      <c r="AB56" s="86">
        <f>AA56/AA66*100</f>
        <v>15.537785098497627</v>
      </c>
    </row>
    <row r="57" spans="1:30" ht="14.1" customHeight="1" x14ac:dyDescent="0.25">
      <c r="A57" s="76" t="s">
        <v>105</v>
      </c>
      <c r="B57" s="57"/>
      <c r="C57" s="146"/>
      <c r="D57" s="57"/>
      <c r="E57" s="146"/>
      <c r="F57" s="57"/>
      <c r="G57" s="146"/>
      <c r="H57" s="57">
        <v>7200</v>
      </c>
      <c r="I57" s="146">
        <f>H57/H66*100</f>
        <v>2.5007814942169428</v>
      </c>
      <c r="J57" s="237"/>
      <c r="K57" s="185"/>
      <c r="L57" s="57"/>
      <c r="M57" s="185"/>
      <c r="N57" s="142"/>
      <c r="O57" s="148">
        <v>450</v>
      </c>
      <c r="P57" s="90">
        <f>O57/O66*100</f>
        <v>0.14265335235378032</v>
      </c>
      <c r="Q57" s="57">
        <v>1260</v>
      </c>
      <c r="R57" s="146">
        <f>Q57/Q66*100</f>
        <v>0.49601417183348095</v>
      </c>
      <c r="S57" s="57"/>
      <c r="T57" s="185"/>
      <c r="U57" s="57"/>
      <c r="V57" s="185"/>
      <c r="W57" s="57"/>
      <c r="X57" s="185"/>
      <c r="Y57" s="57"/>
      <c r="Z57" s="146"/>
      <c r="AA57" s="52">
        <f t="shared" si="6"/>
        <v>8910</v>
      </c>
      <c r="AB57" s="86">
        <f>AA57/AA66*100</f>
        <v>0.2630145720699778</v>
      </c>
    </row>
    <row r="58" spans="1:30" ht="14.1" customHeight="1" x14ac:dyDescent="0.25">
      <c r="A58" s="76" t="s">
        <v>128</v>
      </c>
      <c r="B58" s="57"/>
      <c r="C58" s="146"/>
      <c r="D58" s="57"/>
      <c r="E58" s="146"/>
      <c r="F58" s="57"/>
      <c r="G58" s="146"/>
      <c r="H58" s="57"/>
      <c r="I58" s="146"/>
      <c r="J58" s="237"/>
      <c r="K58" s="185"/>
      <c r="L58" s="57"/>
      <c r="M58" s="185"/>
      <c r="N58" s="142"/>
      <c r="O58" s="148"/>
      <c r="P58" s="90"/>
      <c r="Q58" s="57"/>
      <c r="R58" s="146"/>
      <c r="S58" s="57"/>
      <c r="T58" s="185"/>
      <c r="U58" s="57">
        <v>270</v>
      </c>
      <c r="V58" s="185">
        <f>U58/U66*100</f>
        <v>9.9288432897567419E-2</v>
      </c>
      <c r="W58" s="57"/>
      <c r="X58" s="185"/>
      <c r="Y58" s="57"/>
      <c r="Z58" s="146"/>
      <c r="AA58" s="52">
        <f t="shared" si="6"/>
        <v>270</v>
      </c>
      <c r="AB58" s="86">
        <f>AA58/AA66*100</f>
        <v>7.9701385475750841E-3</v>
      </c>
    </row>
    <row r="59" spans="1:30" ht="14.1" customHeight="1" x14ac:dyDescent="0.25">
      <c r="A59" s="77" t="s">
        <v>99</v>
      </c>
      <c r="B59" s="57"/>
      <c r="C59" s="146"/>
      <c r="D59" s="57"/>
      <c r="E59" s="146"/>
      <c r="F59" s="57"/>
      <c r="G59" s="146"/>
      <c r="H59" s="57"/>
      <c r="I59" s="146"/>
      <c r="J59" s="148"/>
      <c r="K59" s="185"/>
      <c r="L59" s="57">
        <v>1260</v>
      </c>
      <c r="M59" s="185">
        <f>L59/L66*100</f>
        <v>0.43880269550227236</v>
      </c>
      <c r="N59" s="142"/>
      <c r="O59" s="148">
        <v>990</v>
      </c>
      <c r="P59" s="90">
        <f>O59/O66*100</f>
        <v>0.31383737517831667</v>
      </c>
      <c r="Q59" s="57">
        <f>2835+2790</f>
        <v>5625</v>
      </c>
      <c r="R59" s="146">
        <f>Q59/Q66*100</f>
        <v>2.2143489813994686</v>
      </c>
      <c r="S59" s="57"/>
      <c r="T59" s="185"/>
      <c r="U59" s="57">
        <v>3240</v>
      </c>
      <c r="V59" s="185">
        <f>U59/U66*100</f>
        <v>1.1914611947708094</v>
      </c>
      <c r="W59" s="57">
        <v>10170</v>
      </c>
      <c r="X59" s="185">
        <f>W59/W66*100</f>
        <v>5.7653061224489797</v>
      </c>
      <c r="Y59" s="57">
        <v>1125</v>
      </c>
      <c r="Z59" s="90">
        <f>Y59/Y66*100</f>
        <v>0.43103448275862066</v>
      </c>
      <c r="AA59" s="52">
        <f t="shared" si="6"/>
        <v>22410</v>
      </c>
      <c r="AB59" s="86">
        <f>AA59/AA66*100</f>
        <v>0.66152149944873206</v>
      </c>
    </row>
    <row r="60" spans="1:30" ht="14.1" customHeight="1" x14ac:dyDescent="0.25">
      <c r="A60" s="77" t="s">
        <v>63</v>
      </c>
      <c r="B60" s="57"/>
      <c r="C60" s="146"/>
      <c r="D60" s="57"/>
      <c r="E60" s="146"/>
      <c r="F60" s="57"/>
      <c r="G60" s="146"/>
      <c r="H60" s="57">
        <v>12105</v>
      </c>
      <c r="I60" s="146">
        <f>H60/H66*100</f>
        <v>4.2044388871522349</v>
      </c>
      <c r="J60" s="148">
        <v>30600</v>
      </c>
      <c r="K60" s="185">
        <f>J60/J66*100</f>
        <v>11.367435640254095</v>
      </c>
      <c r="L60" s="57">
        <v>11745</v>
      </c>
      <c r="M60" s="185">
        <f>L60/L66*100</f>
        <v>4.090267983074753</v>
      </c>
      <c r="N60" s="142"/>
      <c r="O60" s="148">
        <v>28935</v>
      </c>
      <c r="P60" s="90">
        <f>O60/O66*100</f>
        <v>9.172610556348074</v>
      </c>
      <c r="Q60" s="57">
        <v>24975</v>
      </c>
      <c r="R60" s="146">
        <f>Q60/Q66*100</f>
        <v>9.8317094774136393</v>
      </c>
      <c r="S60" s="57">
        <v>21330</v>
      </c>
      <c r="T60" s="185">
        <f>S60/S66*100</f>
        <v>8.3128726762539458</v>
      </c>
      <c r="U60" s="57">
        <v>4725</v>
      </c>
      <c r="V60" s="185">
        <f>U60/U66*100</f>
        <v>1.7375475757074301</v>
      </c>
      <c r="W60" s="57">
        <v>2520</v>
      </c>
      <c r="X60" s="185">
        <f>W60/W66*100</f>
        <v>1.4285714285714286</v>
      </c>
      <c r="Y60" s="57">
        <v>14040</v>
      </c>
      <c r="Z60" s="90">
        <f>Y60/Y66*100</f>
        <v>5.3793103448275863</v>
      </c>
      <c r="AA60" s="52">
        <f t="shared" si="6"/>
        <v>150975</v>
      </c>
      <c r="AB60" s="86">
        <f>AA60/AA66*100</f>
        <v>4.4566358045190686</v>
      </c>
    </row>
    <row r="61" spans="1:30" ht="14.1" customHeight="1" x14ac:dyDescent="0.25">
      <c r="A61" s="77" t="s">
        <v>57</v>
      </c>
      <c r="B61" s="57">
        <v>21510</v>
      </c>
      <c r="C61" s="146">
        <f>B61/B66*100</f>
        <v>5.9019632053339919</v>
      </c>
      <c r="D61" s="57">
        <v>3150</v>
      </c>
      <c r="E61" s="146">
        <f>D61/D66*100</f>
        <v>1.1134086209638938</v>
      </c>
      <c r="F61" s="57">
        <v>495</v>
      </c>
      <c r="G61" s="146">
        <f>F61/F66*100</f>
        <v>0.13725979535812327</v>
      </c>
      <c r="H61" s="57">
        <v>720</v>
      </c>
      <c r="I61" s="146">
        <f>H61/H66*100</f>
        <v>0.25007814942169426</v>
      </c>
      <c r="J61" s="148">
        <v>13860</v>
      </c>
      <c r="K61" s="185">
        <f>J61/J66*100</f>
        <v>5.1487796723503845</v>
      </c>
      <c r="L61" s="57"/>
      <c r="M61" s="185"/>
      <c r="N61" s="142"/>
      <c r="O61" s="148"/>
      <c r="P61" s="90"/>
      <c r="Q61" s="57"/>
      <c r="R61" s="146"/>
      <c r="S61" s="57"/>
      <c r="T61" s="185"/>
      <c r="U61" s="57"/>
      <c r="V61" s="185"/>
      <c r="W61" s="57">
        <v>4050</v>
      </c>
      <c r="X61" s="185">
        <f>W61/W66*100</f>
        <v>2.295918367346939</v>
      </c>
      <c r="Y61" s="57">
        <v>5490</v>
      </c>
      <c r="Z61" s="90">
        <f>Y61/Y66*100</f>
        <v>2.103448275862069</v>
      </c>
      <c r="AA61" s="52">
        <f t="shared" si="6"/>
        <v>49275</v>
      </c>
      <c r="AB61" s="86">
        <f>AA61/AA66*100</f>
        <v>1.4545502849324532</v>
      </c>
      <c r="AD61">
        <f>254.25+51.03+42.075+20.025</f>
        <v>367.37999999999994</v>
      </c>
    </row>
    <row r="62" spans="1:30" ht="14.1" customHeight="1" x14ac:dyDescent="0.25">
      <c r="A62" s="77" t="s">
        <v>58</v>
      </c>
      <c r="B62" s="57">
        <v>105525</v>
      </c>
      <c r="C62" s="146">
        <f>B62/B66*100</f>
        <v>28.954191875540193</v>
      </c>
      <c r="D62" s="57">
        <v>66015</v>
      </c>
      <c r="E62" s="146">
        <f>D62/D66*100</f>
        <v>23.333863527914744</v>
      </c>
      <c r="F62" s="57">
        <v>180225</v>
      </c>
      <c r="G62" s="146">
        <f>F62/F66*100</f>
        <v>49.97504367357125</v>
      </c>
      <c r="H62" s="57">
        <v>99360</v>
      </c>
      <c r="I62" s="146">
        <f>H62/H66*100</f>
        <v>34.51078462019381</v>
      </c>
      <c r="J62" s="148">
        <v>58950</v>
      </c>
      <c r="K62" s="185">
        <f>J62/J66*100</f>
        <v>21.899030424607155</v>
      </c>
      <c r="L62" s="57">
        <v>41490</v>
      </c>
      <c r="M62" s="185">
        <f>L62/L66*100</f>
        <v>14.449145901896255</v>
      </c>
      <c r="N62" s="142"/>
      <c r="O62" s="148">
        <f>1575+6165</f>
        <v>7740</v>
      </c>
      <c r="P62" s="90">
        <f>O62/O66*100</f>
        <v>2.4536376604850214</v>
      </c>
      <c r="Q62" s="57">
        <v>10710</v>
      </c>
      <c r="R62" s="146">
        <f>Q62/Q66*100</f>
        <v>4.2161204605845883</v>
      </c>
      <c r="S62" s="57">
        <f>2250+3195</f>
        <v>5445</v>
      </c>
      <c r="T62" s="185">
        <f>S62/S66*100</f>
        <v>2.1220624342336021</v>
      </c>
      <c r="U62" s="57">
        <v>7695</v>
      </c>
      <c r="V62" s="185">
        <f>U62/U66*100</f>
        <v>2.8297203375806719</v>
      </c>
      <c r="W62" s="57">
        <v>945</v>
      </c>
      <c r="X62" s="185">
        <f>W62/W66*100</f>
        <v>0.5357142857142857</v>
      </c>
      <c r="Y62" s="57">
        <v>8280</v>
      </c>
      <c r="Z62" s="90">
        <f>Y62/Y66*100</f>
        <v>3.1724137931034484</v>
      </c>
      <c r="AA62" s="52">
        <f t="shared" si="6"/>
        <v>592380</v>
      </c>
      <c r="AB62" s="86">
        <f>AA62/AA66*100</f>
        <v>17.486483973379737</v>
      </c>
    </row>
    <row r="63" spans="1:30" ht="14.1" customHeight="1" x14ac:dyDescent="0.25">
      <c r="A63" s="77" t="s">
        <v>124</v>
      </c>
      <c r="B63" s="57"/>
      <c r="C63" s="146"/>
      <c r="D63" s="57"/>
      <c r="E63" s="146"/>
      <c r="F63" s="57">
        <v>7830</v>
      </c>
      <c r="G63" s="146">
        <f>F63/F66*100</f>
        <v>2.171200399301223</v>
      </c>
      <c r="H63" s="57"/>
      <c r="I63" s="146"/>
      <c r="J63" s="148"/>
      <c r="K63" s="185"/>
      <c r="L63" s="57"/>
      <c r="M63" s="185"/>
      <c r="N63" s="142"/>
      <c r="O63" s="148"/>
      <c r="P63" s="90"/>
      <c r="Q63" s="57"/>
      <c r="R63" s="146"/>
      <c r="S63" s="57"/>
      <c r="T63" s="185"/>
      <c r="U63" s="57"/>
      <c r="V63" s="185"/>
      <c r="W63" s="57"/>
      <c r="X63" s="185"/>
      <c r="Y63" s="57"/>
      <c r="Z63" s="90"/>
      <c r="AA63" s="52">
        <f t="shared" si="6"/>
        <v>7830</v>
      </c>
      <c r="AB63" s="86">
        <f>AA63/AA66*100</f>
        <v>0.23113401787967749</v>
      </c>
    </row>
    <row r="64" spans="1:30" ht="14.1" customHeight="1" x14ac:dyDescent="0.25">
      <c r="A64" s="77" t="s">
        <v>65</v>
      </c>
      <c r="B64" s="57">
        <v>50490</v>
      </c>
      <c r="C64" s="146">
        <f>B64/B66*100</f>
        <v>13.85356216816891</v>
      </c>
      <c r="D64" s="57">
        <v>28620</v>
      </c>
      <c r="E64" s="146">
        <f>D64/D66*100</f>
        <v>10.116112613329092</v>
      </c>
      <c r="F64" s="57">
        <v>16065</v>
      </c>
      <c r="G64" s="146">
        <f>F64/F66*100</f>
        <v>4.4547042675318194</v>
      </c>
      <c r="H64" s="57">
        <v>29250</v>
      </c>
      <c r="I64" s="146">
        <f>H64/H66*100</f>
        <v>10.15942482025633</v>
      </c>
      <c r="J64" s="148">
        <v>42885</v>
      </c>
      <c r="K64" s="185">
        <f>J64/J66*100</f>
        <v>15.931126713473754</v>
      </c>
      <c r="L64" s="57">
        <v>61920</v>
      </c>
      <c r="M64" s="185">
        <f>L64/L66*100</f>
        <v>21.564018178968812</v>
      </c>
      <c r="N64" s="142"/>
      <c r="O64" s="148">
        <v>89775</v>
      </c>
      <c r="P64" s="90">
        <f>O64/O66*100</f>
        <v>28.459343794579173</v>
      </c>
      <c r="Q64" s="57">
        <v>63720</v>
      </c>
      <c r="R64" s="146">
        <f>Q64/Q66*100</f>
        <v>25.084145261293177</v>
      </c>
      <c r="S64" s="57">
        <v>68715</v>
      </c>
      <c r="T64" s="185">
        <f>S64/S66*100</f>
        <v>26.7800771659067</v>
      </c>
      <c r="U64" s="57">
        <v>76545</v>
      </c>
      <c r="V64" s="185">
        <f>U64/U66*100</f>
        <v>28.148270726460368</v>
      </c>
      <c r="W64" s="57">
        <v>27225</v>
      </c>
      <c r="X64" s="185">
        <f>W64/W66*100</f>
        <v>15.433673469387754</v>
      </c>
      <c r="Y64" s="57">
        <v>34065</v>
      </c>
      <c r="Z64" s="90">
        <f>Y64/Y66*100</f>
        <v>13.051724137931034</v>
      </c>
      <c r="AA64" s="52">
        <f t="shared" si="6"/>
        <v>589275</v>
      </c>
      <c r="AB64" s="86">
        <f>AA64/AA66*100</f>
        <v>17.394827380082624</v>
      </c>
    </row>
    <row r="65" spans="1:30" ht="14.1" customHeight="1" x14ac:dyDescent="0.25">
      <c r="A65" s="77" t="s">
        <v>59</v>
      </c>
      <c r="B65" s="57">
        <v>149445</v>
      </c>
      <c r="C65" s="146">
        <f>B65/B66*100</f>
        <v>41.005062353376957</v>
      </c>
      <c r="D65" s="57">
        <f>122625</f>
        <v>122625</v>
      </c>
      <c r="E65" s="146">
        <f>D65/D66*100</f>
        <v>43.343407030380149</v>
      </c>
      <c r="F65" s="57">
        <v>108360</v>
      </c>
      <c r="G65" s="146">
        <f>F65/F66*100</f>
        <v>30.047417020214624</v>
      </c>
      <c r="H65" s="57">
        <v>41715</v>
      </c>
      <c r="I65" s="146">
        <f>H65/H66*100</f>
        <v>14.488902782119412</v>
      </c>
      <c r="J65" s="148">
        <v>52560</v>
      </c>
      <c r="K65" s="185">
        <f>J65/J66*100</f>
        <v>19.52524239384821</v>
      </c>
      <c r="L65" s="57">
        <v>118080</v>
      </c>
      <c r="M65" s="185">
        <f>L65/L66*100</f>
        <v>41.122081178498668</v>
      </c>
      <c r="N65" s="142"/>
      <c r="O65" s="148">
        <v>149805</v>
      </c>
      <c r="P65" s="90">
        <f>O65/O66*100</f>
        <v>47.489300998573462</v>
      </c>
      <c r="Q65" s="57">
        <v>134550</v>
      </c>
      <c r="R65" s="146">
        <f>Q65/Q66*100</f>
        <v>52.96722763507529</v>
      </c>
      <c r="S65" s="57">
        <v>154530</v>
      </c>
      <c r="T65" s="185">
        <f>S65/S66*100</f>
        <v>60.224482637670995</v>
      </c>
      <c r="U65" s="57">
        <v>174510</v>
      </c>
      <c r="V65" s="185">
        <f>U65/U66*100</f>
        <v>64.17342379612775</v>
      </c>
      <c r="W65" s="57">
        <v>90945</v>
      </c>
      <c r="X65" s="185">
        <f>W65/W66*100</f>
        <v>51.556122448979593</v>
      </c>
      <c r="Y65" s="57">
        <v>135630</v>
      </c>
      <c r="Z65" s="90">
        <f>Y65/Y66*100</f>
        <v>51.96551724137931</v>
      </c>
      <c r="AA65" s="52">
        <f t="shared" si="6"/>
        <v>1432755</v>
      </c>
      <c r="AB65" s="86">
        <f>AA65/AA66*100</f>
        <v>42.293540202707192</v>
      </c>
    </row>
    <row r="66" spans="1:30" s="68" customFormat="1" ht="14.1" customHeight="1" x14ac:dyDescent="0.25">
      <c r="A66" s="66" t="s">
        <v>71</v>
      </c>
      <c r="B66" s="69">
        <f>SUM(B55:B65)</f>
        <v>364455</v>
      </c>
      <c r="C66" s="93">
        <f t="shared" ref="C66:M66" si="7">SUM(C55:C65)</f>
        <v>100</v>
      </c>
      <c r="D66" s="69">
        <f t="shared" si="7"/>
        <v>282915</v>
      </c>
      <c r="E66" s="188">
        <f t="shared" si="7"/>
        <v>100</v>
      </c>
      <c r="F66" s="69">
        <f t="shared" si="7"/>
        <v>360630</v>
      </c>
      <c r="G66" s="93">
        <f t="shared" si="7"/>
        <v>100</v>
      </c>
      <c r="H66" s="69">
        <f t="shared" si="7"/>
        <v>287910</v>
      </c>
      <c r="I66" s="93">
        <f t="shared" si="7"/>
        <v>100.00000000000001</v>
      </c>
      <c r="J66" s="69">
        <f t="shared" si="7"/>
        <v>269190</v>
      </c>
      <c r="K66" s="186">
        <f t="shared" si="7"/>
        <v>100</v>
      </c>
      <c r="L66" s="69">
        <f>SUM(L55:L65)</f>
        <v>287145</v>
      </c>
      <c r="M66" s="186">
        <f t="shared" si="7"/>
        <v>100</v>
      </c>
      <c r="N66" s="144"/>
      <c r="O66" s="69">
        <f>SUM(O55:O65)</f>
        <v>315450</v>
      </c>
      <c r="P66" s="93">
        <f>SUM(P55:P65)</f>
        <v>100</v>
      </c>
      <c r="Q66" s="69">
        <f>SUM(Q55:Q65)</f>
        <v>254025</v>
      </c>
      <c r="R66" s="93">
        <f>SUM(R54:R65)</f>
        <v>100</v>
      </c>
      <c r="S66" s="69">
        <f t="shared" ref="S66:AB66" si="8">SUM(S55:S65)</f>
        <v>256590</v>
      </c>
      <c r="T66" s="93">
        <f t="shared" si="8"/>
        <v>100</v>
      </c>
      <c r="U66" s="69">
        <f t="shared" si="8"/>
        <v>271935</v>
      </c>
      <c r="V66" s="186">
        <f t="shared" si="8"/>
        <v>100</v>
      </c>
      <c r="W66" s="69">
        <f t="shared" si="8"/>
        <v>176400</v>
      </c>
      <c r="X66" s="186">
        <f t="shared" si="8"/>
        <v>100</v>
      </c>
      <c r="Y66" s="69">
        <f t="shared" si="8"/>
        <v>261000</v>
      </c>
      <c r="Z66" s="93">
        <f t="shared" si="8"/>
        <v>100</v>
      </c>
      <c r="AA66" s="69">
        <f>SUM(AA55:AA65)</f>
        <v>3387645</v>
      </c>
      <c r="AB66" s="92">
        <f t="shared" si="8"/>
        <v>100</v>
      </c>
      <c r="AD66" s="88">
        <f>B66+D66+F66+H66+J66+L66+O66+Q66+S66+U66+W66+Y66</f>
        <v>3387645</v>
      </c>
    </row>
    <row r="67" spans="1:30" s="68" customFormat="1" ht="14.1" customHeight="1" x14ac:dyDescent="0.25">
      <c r="A67" s="132" t="s">
        <v>76</v>
      </c>
      <c r="B67" s="147"/>
      <c r="C67" s="134"/>
      <c r="D67" s="263"/>
      <c r="E67" s="134"/>
      <c r="F67" s="136"/>
      <c r="G67" s="134"/>
      <c r="H67" s="137"/>
      <c r="I67" s="134"/>
      <c r="J67" s="138"/>
      <c r="K67" s="238"/>
      <c r="L67" s="139"/>
      <c r="M67" s="139"/>
      <c r="N67" s="142"/>
      <c r="O67" s="125"/>
      <c r="P67" s="119"/>
      <c r="Q67" s="126"/>
      <c r="R67" s="119"/>
      <c r="S67" s="127"/>
      <c r="T67" s="119"/>
      <c r="U67" s="128"/>
      <c r="V67" s="119"/>
      <c r="W67" s="129"/>
      <c r="X67" s="119"/>
      <c r="Y67" s="130"/>
      <c r="Z67" s="119"/>
      <c r="AA67" s="131"/>
      <c r="AB67" s="119"/>
    </row>
    <row r="68" spans="1:30" s="68" customFormat="1" ht="14.1" customHeight="1" x14ac:dyDescent="0.25">
      <c r="A68" s="78" t="s">
        <v>60</v>
      </c>
      <c r="B68" s="57">
        <v>21285</v>
      </c>
      <c r="C68" s="146">
        <f>B68/B70*100</f>
        <v>76.537216828478961</v>
      </c>
      <c r="D68" s="57">
        <v>450</v>
      </c>
      <c r="E68" s="146">
        <f>D68/D70*100</f>
        <v>100</v>
      </c>
      <c r="F68" s="57">
        <v>2295</v>
      </c>
      <c r="G68" s="146">
        <f>F68/F70*100</f>
        <v>100</v>
      </c>
      <c r="H68" s="57"/>
      <c r="I68" s="146"/>
      <c r="J68" s="57">
        <v>6660</v>
      </c>
      <c r="K68" s="146">
        <f>J68/J70*100</f>
        <v>93.670886075949369</v>
      </c>
      <c r="L68" s="57">
        <v>13410</v>
      </c>
      <c r="M68" s="185">
        <f>L68/L70*100</f>
        <v>74.314214463840401</v>
      </c>
      <c r="N68" s="142"/>
      <c r="O68" s="57">
        <v>17820</v>
      </c>
      <c r="P68" s="146">
        <f>O68/O70*100</f>
        <v>70.840787119856884</v>
      </c>
      <c r="Q68" s="57">
        <f>17055+1800</f>
        <v>18855</v>
      </c>
      <c r="R68" s="146">
        <f>Q68/Q70*100</f>
        <v>56.621621621621621</v>
      </c>
      <c r="S68" s="57">
        <v>20700</v>
      </c>
      <c r="T68" s="146">
        <f>S68/S70*100</f>
        <v>46.558704453441294</v>
      </c>
      <c r="U68" s="57">
        <v>23445</v>
      </c>
      <c r="V68" s="146">
        <f>U68/U70*100</f>
        <v>47.623400365630715</v>
      </c>
      <c r="W68" s="57">
        <v>5400</v>
      </c>
      <c r="X68" s="146">
        <f>W68/W70*100</f>
        <v>18.779342723004692</v>
      </c>
      <c r="Y68" s="57">
        <v>3150</v>
      </c>
      <c r="Z68" s="146">
        <f>Y68/Y70*100</f>
        <v>36.458333333333329</v>
      </c>
      <c r="AA68" s="52">
        <f t="shared" ref="AA68:AA69" si="9">B68+D68+F68+H68+J68+L68+O68+Q68+S68+U68+W68+Y68</f>
        <v>133470</v>
      </c>
      <c r="AB68" s="86">
        <f>AA68/AA70*100</f>
        <v>54.422018348623858</v>
      </c>
    </row>
    <row r="69" spans="1:30" s="68" customFormat="1" ht="14.1" customHeight="1" x14ac:dyDescent="0.25">
      <c r="A69" s="78" t="s">
        <v>85</v>
      </c>
      <c r="B69" s="57">
        <v>6525</v>
      </c>
      <c r="C69" s="146">
        <f>B69/B70*100</f>
        <v>23.462783171521036</v>
      </c>
      <c r="D69" s="57"/>
      <c r="E69" s="146"/>
      <c r="F69" s="57"/>
      <c r="G69" s="90"/>
      <c r="H69" s="57"/>
      <c r="I69" s="146"/>
      <c r="J69" s="57">
        <v>450</v>
      </c>
      <c r="K69" s="146">
        <f>J69/J70*100</f>
        <v>6.3291139240506329</v>
      </c>
      <c r="L69" s="57">
        <v>4635</v>
      </c>
      <c r="M69" s="185">
        <f>L69/L70*100</f>
        <v>25.685785536159599</v>
      </c>
      <c r="N69" s="142"/>
      <c r="O69" s="57">
        <v>7335</v>
      </c>
      <c r="P69" s="146">
        <f>O69/O70*100</f>
        <v>29.159212880143116</v>
      </c>
      <c r="Q69" s="57">
        <v>14445</v>
      </c>
      <c r="R69" s="146">
        <f>Q69/Q70*100</f>
        <v>43.378378378378379</v>
      </c>
      <c r="S69" s="57">
        <v>23760</v>
      </c>
      <c r="T69" s="146">
        <f>S69/S70*100</f>
        <v>53.441295546558706</v>
      </c>
      <c r="U69" s="57">
        <v>25785</v>
      </c>
      <c r="V69" s="146">
        <f>U69/U70*100</f>
        <v>52.376599634369292</v>
      </c>
      <c r="W69" s="57">
        <v>23355</v>
      </c>
      <c r="X69" s="146">
        <f>W69/W70*100</f>
        <v>81.220657276995297</v>
      </c>
      <c r="Y69" s="57">
        <v>5490</v>
      </c>
      <c r="Z69" s="146">
        <f>Y69/Y70*100</f>
        <v>63.541666666666664</v>
      </c>
      <c r="AA69" s="52">
        <f t="shared" si="9"/>
        <v>111780</v>
      </c>
      <c r="AB69" s="86">
        <f>AA69/AA70*100</f>
        <v>45.577981651376149</v>
      </c>
    </row>
    <row r="70" spans="1:30" s="68" customFormat="1" ht="14.1" customHeight="1" x14ac:dyDescent="0.25">
      <c r="A70" s="66" t="s">
        <v>71</v>
      </c>
      <c r="B70" s="69">
        <f>SUM(B68:B69)</f>
        <v>27810</v>
      </c>
      <c r="C70" s="93">
        <f t="shared" ref="C70:I70" si="10">SUM(C68:C69)</f>
        <v>100</v>
      </c>
      <c r="D70" s="69">
        <f>SUM(D68:D69)</f>
        <v>450</v>
      </c>
      <c r="E70" s="93">
        <f>SUM(E68:E69)</f>
        <v>100</v>
      </c>
      <c r="F70" s="69">
        <f>SUM(F68:F69)</f>
        <v>2295</v>
      </c>
      <c r="G70" s="93">
        <f>SUM(G68:G69)</f>
        <v>100</v>
      </c>
      <c r="H70" s="69">
        <f>SUM(H68:H69)</f>
        <v>0</v>
      </c>
      <c r="I70" s="93">
        <f t="shared" si="10"/>
        <v>0</v>
      </c>
      <c r="J70" s="69">
        <f>SUM(J68:J69)</f>
        <v>7110</v>
      </c>
      <c r="K70" s="93">
        <f>SUM(K68:K69)</f>
        <v>100</v>
      </c>
      <c r="L70" s="69">
        <f>SUM(L68:L69)</f>
        <v>18045</v>
      </c>
      <c r="M70" s="186">
        <f>SUM(M68:M69)</f>
        <v>100</v>
      </c>
      <c r="N70" s="142"/>
      <c r="O70" s="69">
        <f>SUM(O68:O69)</f>
        <v>25155</v>
      </c>
      <c r="P70" s="93">
        <f t="shared" ref="P70:V70" si="11">SUM(P68:P69)</f>
        <v>100</v>
      </c>
      <c r="Q70" s="69">
        <f>SUM(Q68:Q69)</f>
        <v>33300</v>
      </c>
      <c r="R70" s="93">
        <f t="shared" si="11"/>
        <v>100</v>
      </c>
      <c r="S70" s="69">
        <f>SUM(S68:S69)</f>
        <v>44460</v>
      </c>
      <c r="T70" s="93">
        <f>SUM(T68:T69)</f>
        <v>100</v>
      </c>
      <c r="U70" s="69">
        <f>SUM(U68:U69)</f>
        <v>49230</v>
      </c>
      <c r="V70" s="93">
        <f t="shared" si="11"/>
        <v>100</v>
      </c>
      <c r="W70" s="69">
        <f t="shared" ref="W70:Z70" si="12">SUM(W68:W69)</f>
        <v>28755</v>
      </c>
      <c r="X70" s="93">
        <f t="shared" si="12"/>
        <v>99.999999999999986</v>
      </c>
      <c r="Y70" s="69">
        <f>SUM(Y68:Y69)</f>
        <v>8640</v>
      </c>
      <c r="Z70" s="93">
        <f t="shared" si="12"/>
        <v>100</v>
      </c>
      <c r="AA70" s="69">
        <f>SUM(AA68:AA69)</f>
        <v>245250</v>
      </c>
      <c r="AB70" s="93">
        <f>SUM(AB68:AB69)</f>
        <v>100</v>
      </c>
      <c r="AD70" s="88">
        <f>B70+D70+F70+H70+J70+L70+O70+Q70+S70+U70+W70+Y70</f>
        <v>245250</v>
      </c>
    </row>
    <row r="71" spans="1:30" s="68" customFormat="1" ht="14.1" customHeight="1" x14ac:dyDescent="0.25">
      <c r="A71" s="80"/>
      <c r="B71" s="84"/>
      <c r="C71" s="94"/>
      <c r="D71" s="84"/>
      <c r="E71" s="94"/>
      <c r="F71" s="84"/>
      <c r="G71" s="94"/>
      <c r="H71" s="84"/>
      <c r="I71" s="94"/>
      <c r="J71" s="239"/>
      <c r="K71" s="94"/>
      <c r="L71" s="84"/>
      <c r="M71" s="94"/>
      <c r="N71" s="142"/>
      <c r="O71" s="84"/>
      <c r="P71" s="94"/>
      <c r="Q71" s="84"/>
      <c r="R71" s="94"/>
      <c r="S71" s="84"/>
      <c r="T71" s="94"/>
      <c r="U71" s="84"/>
      <c r="V71" s="94"/>
      <c r="W71" s="84"/>
      <c r="X71" s="94"/>
      <c r="Y71" s="84"/>
      <c r="Z71" s="94"/>
      <c r="AA71" s="84"/>
      <c r="AB71" s="102"/>
    </row>
    <row r="72" spans="1:30" s="68" customFormat="1" ht="14.1" customHeight="1" x14ac:dyDescent="0.25">
      <c r="A72" s="83"/>
      <c r="B72" s="207"/>
      <c r="C72" s="94"/>
      <c r="D72" s="84"/>
      <c r="F72" s="222"/>
      <c r="G72" s="94"/>
      <c r="H72" s="84"/>
      <c r="I72" s="94"/>
      <c r="J72" s="84"/>
      <c r="K72" s="94"/>
      <c r="L72" s="84"/>
      <c r="M72" s="94"/>
      <c r="N72" s="142"/>
      <c r="O72" s="84"/>
      <c r="P72" s="94"/>
      <c r="Q72" s="84"/>
      <c r="R72" s="94"/>
      <c r="S72" s="84"/>
      <c r="T72" s="94"/>
      <c r="U72" s="84"/>
      <c r="V72" s="94"/>
      <c r="W72" s="84"/>
      <c r="X72" s="94"/>
      <c r="Y72" s="84"/>
      <c r="Z72" s="94"/>
      <c r="AA72" s="84"/>
      <c r="AB72" s="103"/>
    </row>
    <row r="73" spans="1:30" s="68" customFormat="1" ht="14.1" customHeight="1" x14ac:dyDescent="0.25">
      <c r="A73" s="83"/>
      <c r="B73" s="84"/>
      <c r="C73" s="94"/>
      <c r="D73" s="84"/>
      <c r="E73" s="94"/>
      <c r="F73" s="84"/>
      <c r="G73" s="94"/>
      <c r="H73" s="84"/>
      <c r="I73" s="94"/>
      <c r="J73" s="84"/>
      <c r="K73" s="94"/>
      <c r="L73" s="84"/>
      <c r="M73" s="94"/>
      <c r="N73" s="142"/>
      <c r="O73" s="84"/>
      <c r="P73" s="94"/>
      <c r="Q73" s="84"/>
      <c r="R73" s="94"/>
      <c r="S73" s="84"/>
      <c r="T73" s="94"/>
      <c r="U73" s="84"/>
      <c r="V73" s="94"/>
      <c r="W73" s="84"/>
      <c r="X73" s="94"/>
      <c r="Y73" s="84"/>
      <c r="Z73" s="94"/>
      <c r="AA73" s="84"/>
      <c r="AB73" s="103"/>
    </row>
    <row r="74" spans="1:30" s="68" customFormat="1" ht="14.1" customHeight="1" x14ac:dyDescent="0.25">
      <c r="A74" s="83"/>
      <c r="B74" s="84"/>
      <c r="C74" s="94"/>
      <c r="D74" s="84"/>
      <c r="E74" s="94"/>
      <c r="F74" s="84"/>
      <c r="G74" s="94"/>
      <c r="H74" s="84"/>
      <c r="I74" s="94"/>
      <c r="J74" s="84"/>
      <c r="K74" s="94"/>
      <c r="L74" s="84"/>
      <c r="M74" s="94"/>
      <c r="N74" s="142"/>
      <c r="O74" s="84"/>
      <c r="P74" s="94"/>
      <c r="Q74" s="84"/>
      <c r="R74" s="94"/>
      <c r="S74" s="84"/>
      <c r="T74" s="94"/>
      <c r="U74" s="84"/>
      <c r="V74" s="94"/>
      <c r="W74" s="84"/>
      <c r="X74" s="94"/>
      <c r="Y74" s="84"/>
      <c r="Z74" s="94"/>
      <c r="AA74" s="84"/>
      <c r="AB74" s="103"/>
    </row>
    <row r="75" spans="1:30" s="68" customFormat="1" ht="14.1" customHeight="1" x14ac:dyDescent="0.25">
      <c r="A75" s="190" t="s">
        <v>118</v>
      </c>
      <c r="B75" s="84"/>
      <c r="C75" s="94"/>
      <c r="D75" s="84"/>
      <c r="E75" s="94"/>
      <c r="F75" s="84"/>
      <c r="G75" s="94"/>
      <c r="H75" s="84"/>
      <c r="I75" s="94"/>
      <c r="J75" s="84"/>
      <c r="K75" s="94"/>
      <c r="L75" s="84"/>
      <c r="M75" s="94"/>
      <c r="N75" s="142"/>
      <c r="O75" s="84"/>
      <c r="P75" s="94"/>
      <c r="Q75" s="84"/>
      <c r="R75" s="94"/>
      <c r="S75" s="84"/>
      <c r="T75" s="94"/>
      <c r="U75" s="84"/>
      <c r="V75" s="94"/>
      <c r="W75" s="84"/>
      <c r="X75" s="94"/>
      <c r="Y75" s="84"/>
      <c r="Z75" s="94"/>
      <c r="AA75" s="84"/>
      <c r="AB75" s="103"/>
    </row>
    <row r="76" spans="1:30" s="68" customFormat="1" ht="14.1" customHeight="1" x14ac:dyDescent="0.25">
      <c r="A76" s="365" t="s">
        <v>39</v>
      </c>
      <c r="B76" s="366" t="s">
        <v>21</v>
      </c>
      <c r="C76" s="367"/>
      <c r="D76" s="368" t="s">
        <v>22</v>
      </c>
      <c r="E76" s="369"/>
      <c r="F76" s="370" t="s">
        <v>23</v>
      </c>
      <c r="G76" s="371"/>
      <c r="H76" s="372" t="s">
        <v>24</v>
      </c>
      <c r="I76" s="373"/>
      <c r="J76" s="374" t="s">
        <v>25</v>
      </c>
      <c r="K76" s="375"/>
      <c r="L76" s="376" t="s">
        <v>40</v>
      </c>
      <c r="M76" s="377"/>
      <c r="N76" s="142"/>
      <c r="O76" s="378" t="s">
        <v>27</v>
      </c>
      <c r="P76" s="379"/>
      <c r="Q76" s="380" t="s">
        <v>37</v>
      </c>
      <c r="R76" s="381"/>
      <c r="S76" s="382" t="s">
        <v>28</v>
      </c>
      <c r="T76" s="383"/>
      <c r="U76" s="361" t="s">
        <v>29</v>
      </c>
      <c r="V76" s="362"/>
      <c r="W76" s="363" t="s">
        <v>30</v>
      </c>
      <c r="X76" s="364"/>
      <c r="Y76" s="329" t="s">
        <v>38</v>
      </c>
      <c r="Z76" s="330"/>
      <c r="AA76" s="331" t="s">
        <v>20</v>
      </c>
      <c r="AB76" s="332"/>
    </row>
    <row r="77" spans="1:30" s="68" customFormat="1" ht="14.1" customHeight="1" x14ac:dyDescent="0.25">
      <c r="A77" s="334"/>
      <c r="B77" s="294" t="s">
        <v>72</v>
      </c>
      <c r="C77" s="141" t="s">
        <v>78</v>
      </c>
      <c r="D77" s="294" t="s">
        <v>72</v>
      </c>
      <c r="E77" s="141" t="s">
        <v>78</v>
      </c>
      <c r="F77" s="294" t="s">
        <v>72</v>
      </c>
      <c r="G77" s="141" t="s">
        <v>78</v>
      </c>
      <c r="H77" s="294" t="s">
        <v>72</v>
      </c>
      <c r="I77" s="141" t="s">
        <v>78</v>
      </c>
      <c r="J77" s="294" t="s">
        <v>72</v>
      </c>
      <c r="K77" s="141" t="s">
        <v>78</v>
      </c>
      <c r="L77" s="294" t="s">
        <v>72</v>
      </c>
      <c r="M77" s="141" t="s">
        <v>78</v>
      </c>
      <c r="N77" s="142"/>
      <c r="O77" s="294" t="s">
        <v>72</v>
      </c>
      <c r="P77" s="141" t="s">
        <v>78</v>
      </c>
      <c r="Q77" s="294" t="s">
        <v>72</v>
      </c>
      <c r="R77" s="141" t="s">
        <v>78</v>
      </c>
      <c r="S77" s="294" t="s">
        <v>72</v>
      </c>
      <c r="T77" s="141" t="s">
        <v>78</v>
      </c>
      <c r="U77" s="294" t="s">
        <v>72</v>
      </c>
      <c r="V77" s="141" t="s">
        <v>78</v>
      </c>
      <c r="W77" s="294" t="s">
        <v>72</v>
      </c>
      <c r="X77" s="141" t="s">
        <v>78</v>
      </c>
      <c r="Y77" s="294" t="s">
        <v>72</v>
      </c>
      <c r="Z77" s="141" t="s">
        <v>78</v>
      </c>
      <c r="AA77" s="295" t="s">
        <v>72</v>
      </c>
      <c r="AB77" s="141" t="s">
        <v>78</v>
      </c>
    </row>
    <row r="78" spans="1:30" s="68" customFormat="1" ht="15.75" x14ac:dyDescent="0.25">
      <c r="A78" s="140" t="s">
        <v>92</v>
      </c>
      <c r="B78" s="133"/>
      <c r="C78" s="134"/>
      <c r="D78" s="135"/>
      <c r="E78" s="134"/>
      <c r="F78" s="136"/>
      <c r="G78" s="134"/>
      <c r="H78" s="137"/>
      <c r="I78" s="134"/>
      <c r="J78" s="138"/>
      <c r="K78" s="134"/>
      <c r="L78" s="139"/>
      <c r="M78" s="139"/>
      <c r="N78" s="142"/>
      <c r="O78" s="125"/>
      <c r="P78" s="119"/>
      <c r="Q78" s="126"/>
      <c r="R78" s="119"/>
      <c r="S78" s="127"/>
      <c r="T78" s="119"/>
      <c r="U78" s="128"/>
      <c r="V78" s="119"/>
      <c r="W78" s="129"/>
      <c r="X78" s="119"/>
      <c r="Y78" s="130"/>
      <c r="Z78" s="119"/>
      <c r="AA78" s="131"/>
      <c r="AB78" s="119"/>
    </row>
    <row r="79" spans="1:30" s="68" customFormat="1" x14ac:dyDescent="0.25">
      <c r="A79" s="78" t="s">
        <v>107</v>
      </c>
      <c r="B79" s="70">
        <v>2025</v>
      </c>
      <c r="C79" s="146">
        <f>B79/B80*100</f>
        <v>100</v>
      </c>
      <c r="D79" s="70">
        <v>9225</v>
      </c>
      <c r="E79" s="146">
        <f>D79/D80*100</f>
        <v>100</v>
      </c>
      <c r="F79" s="70">
        <v>4770</v>
      </c>
      <c r="G79" s="146">
        <f>F79/F80*100</f>
        <v>100</v>
      </c>
      <c r="H79" s="70">
        <v>900</v>
      </c>
      <c r="I79" s="146">
        <f>H79/H80*100</f>
        <v>100</v>
      </c>
      <c r="J79" s="70">
        <v>1800</v>
      </c>
      <c r="K79" s="146">
        <f>J79/J80*100</f>
        <v>100</v>
      </c>
      <c r="L79" s="70">
        <v>900</v>
      </c>
      <c r="M79" s="146">
        <f>L79/L80*100</f>
        <v>100</v>
      </c>
      <c r="N79" s="142"/>
      <c r="O79" s="70">
        <v>7875</v>
      </c>
      <c r="P79" s="146">
        <f>O79/O80*100</f>
        <v>100</v>
      </c>
      <c r="Q79" s="70">
        <v>1890</v>
      </c>
      <c r="R79" s="146">
        <f>Q79/Q80*100</f>
        <v>100</v>
      </c>
      <c r="S79" s="70">
        <v>630</v>
      </c>
      <c r="T79" s="146">
        <f>S79/S80*100</f>
        <v>100</v>
      </c>
      <c r="U79" s="70">
        <v>1890</v>
      </c>
      <c r="V79" s="146">
        <f>U79/U80*100</f>
        <v>100</v>
      </c>
      <c r="W79" s="70">
        <v>3150</v>
      </c>
      <c r="X79" s="146">
        <f>W79/W80*100</f>
        <v>100</v>
      </c>
      <c r="Y79" s="70">
        <v>2655</v>
      </c>
      <c r="Z79" s="146">
        <f>Y79/Y80*100</f>
        <v>100</v>
      </c>
      <c r="AA79" s="52">
        <f t="shared" ref="AA79" si="13">B79+D79+F79+H79+J79+L79+O79+Q79+S79+U79+W79+Y79</f>
        <v>37710</v>
      </c>
      <c r="AB79" s="86">
        <f>AA79/AA80*100</f>
        <v>100</v>
      </c>
    </row>
    <row r="80" spans="1:30" s="68" customFormat="1" x14ac:dyDescent="0.25">
      <c r="A80" s="66" t="s">
        <v>71</v>
      </c>
      <c r="B80" s="69">
        <f>SUM(B79)</f>
        <v>2025</v>
      </c>
      <c r="C80" s="93">
        <f t="shared" ref="C80:G80" si="14">SUM(C79)</f>
        <v>100</v>
      </c>
      <c r="D80" s="69">
        <f t="shared" si="14"/>
        <v>9225</v>
      </c>
      <c r="E80" s="93">
        <f t="shared" si="14"/>
        <v>100</v>
      </c>
      <c r="F80" s="69">
        <f t="shared" si="14"/>
        <v>4770</v>
      </c>
      <c r="G80" s="93">
        <f t="shared" si="14"/>
        <v>100</v>
      </c>
      <c r="H80" s="69">
        <f t="shared" ref="H80:M80" si="15">SUM(H79)</f>
        <v>900</v>
      </c>
      <c r="I80" s="93">
        <f t="shared" si="15"/>
        <v>100</v>
      </c>
      <c r="J80" s="69">
        <f t="shared" si="15"/>
        <v>1800</v>
      </c>
      <c r="K80" s="93">
        <f t="shared" si="15"/>
        <v>100</v>
      </c>
      <c r="L80" s="85">
        <f>SUM(L79)</f>
        <v>900</v>
      </c>
      <c r="M80" s="188">
        <f t="shared" si="15"/>
        <v>100</v>
      </c>
      <c r="N80" s="142"/>
      <c r="O80" s="69">
        <f t="shared" ref="O80:T80" si="16">SUM(O79)</f>
        <v>7875</v>
      </c>
      <c r="P80" s="93">
        <f t="shared" si="16"/>
        <v>100</v>
      </c>
      <c r="Q80" s="69">
        <f t="shared" si="16"/>
        <v>1890</v>
      </c>
      <c r="R80" s="93">
        <f t="shared" si="16"/>
        <v>100</v>
      </c>
      <c r="S80" s="69">
        <f t="shared" si="16"/>
        <v>630</v>
      </c>
      <c r="T80" s="93">
        <f t="shared" si="16"/>
        <v>100</v>
      </c>
      <c r="U80" s="69">
        <f t="shared" ref="U80:Z80" si="17">SUM(U79)</f>
        <v>1890</v>
      </c>
      <c r="V80" s="93">
        <f t="shared" si="17"/>
        <v>100</v>
      </c>
      <c r="W80" s="69">
        <f t="shared" si="17"/>
        <v>3150</v>
      </c>
      <c r="X80" s="93">
        <f t="shared" si="17"/>
        <v>100</v>
      </c>
      <c r="Y80" s="69">
        <f t="shared" si="17"/>
        <v>2655</v>
      </c>
      <c r="Z80" s="93">
        <f t="shared" si="17"/>
        <v>100</v>
      </c>
      <c r="AA80" s="69">
        <f>SUM(AA79)</f>
        <v>37710</v>
      </c>
      <c r="AB80" s="93">
        <f>SUM(AB78:AB79)</f>
        <v>100</v>
      </c>
      <c r="AD80" s="88" t="e">
        <f>B80+D80+F80+H80+J80+L80+#REF!+O80+S80+U80+W80+Y80</f>
        <v>#REF!</v>
      </c>
    </row>
    <row r="81" spans="1:31" ht="15.75" x14ac:dyDescent="0.25">
      <c r="A81" s="117" t="s">
        <v>64</v>
      </c>
      <c r="B81" s="118"/>
      <c r="C81" s="119"/>
      <c r="D81" s="120"/>
      <c r="E81" s="119"/>
      <c r="F81" s="121"/>
      <c r="G81" s="119"/>
      <c r="H81" s="122"/>
      <c r="I81" s="119"/>
      <c r="J81" s="123"/>
      <c r="K81" s="119"/>
      <c r="L81" s="124"/>
      <c r="M81" s="124"/>
      <c r="N81" s="142"/>
      <c r="O81" s="126"/>
      <c r="P81" s="119"/>
      <c r="Q81" s="127"/>
      <c r="R81" s="119"/>
      <c r="S81" s="127"/>
      <c r="T81" s="119"/>
      <c r="U81" s="128"/>
      <c r="V81" s="119"/>
      <c r="W81" s="129"/>
      <c r="X81" s="119"/>
      <c r="Y81" s="130"/>
      <c r="Z81" s="119"/>
      <c r="AA81" s="131"/>
      <c r="AB81" s="119"/>
    </row>
    <row r="82" spans="1:31" x14ac:dyDescent="0.25">
      <c r="A82" s="78" t="s">
        <v>117</v>
      </c>
      <c r="B82" s="57"/>
      <c r="C82" s="191"/>
      <c r="D82" s="192"/>
      <c r="E82" s="191"/>
      <c r="F82" s="193"/>
      <c r="G82" s="191"/>
      <c r="H82" s="194"/>
      <c r="I82" s="191"/>
      <c r="J82" s="195"/>
      <c r="K82" s="197"/>
      <c r="L82" s="62"/>
      <c r="M82" s="62"/>
      <c r="N82" s="142"/>
      <c r="O82" s="63">
        <v>900</v>
      </c>
      <c r="P82" s="197">
        <f>O82/O86*100</f>
        <v>1.8850141376060319</v>
      </c>
      <c r="Q82" s="196"/>
      <c r="R82" s="197"/>
      <c r="S82" s="196"/>
      <c r="T82" s="197"/>
      <c r="U82" s="64"/>
      <c r="V82" s="146"/>
      <c r="W82" s="65"/>
      <c r="X82" s="191"/>
      <c r="Y82" s="110">
        <v>270</v>
      </c>
      <c r="Z82" s="197">
        <f>Y82/Y86*100</f>
        <v>0.55299539170506917</v>
      </c>
      <c r="AA82" s="52">
        <f t="shared" ref="AA82:AA85" si="18">B82+D82+F82+H82+J82+L82+O82+Q82+S82+U82+W82+Y82</f>
        <v>1170</v>
      </c>
      <c r="AB82" s="197">
        <f>AA82/AA86*100</f>
        <v>0.25572932035015244</v>
      </c>
    </row>
    <row r="83" spans="1:31" x14ac:dyDescent="0.25">
      <c r="A83" s="78" t="s">
        <v>86</v>
      </c>
      <c r="B83" s="57">
        <v>1800</v>
      </c>
      <c r="C83" s="146">
        <f>B83/B86*100</f>
        <v>100</v>
      </c>
      <c r="D83" s="57">
        <v>14265</v>
      </c>
      <c r="E83" s="146">
        <f>D83/D86*100</f>
        <v>100</v>
      </c>
      <c r="F83" s="57">
        <v>4050</v>
      </c>
      <c r="G83" s="146">
        <f>F83/F86*100</f>
        <v>100</v>
      </c>
      <c r="H83" s="57"/>
      <c r="I83" s="146"/>
      <c r="J83" s="57">
        <f>22455+405</f>
        <v>22860</v>
      </c>
      <c r="K83" s="185">
        <f>J83/J86*100</f>
        <v>100</v>
      </c>
      <c r="L83" s="57">
        <v>41355</v>
      </c>
      <c r="M83" s="146">
        <f>L83/L86*100</f>
        <v>94.840041279669762</v>
      </c>
      <c r="N83" s="142"/>
      <c r="O83" s="57">
        <v>41895</v>
      </c>
      <c r="P83" s="185">
        <f>O83/O86*100</f>
        <v>87.747408105560794</v>
      </c>
      <c r="Q83" s="57">
        <v>114930</v>
      </c>
      <c r="R83" s="146">
        <f>Q83/Q86*100</f>
        <v>96.268375424048244</v>
      </c>
      <c r="S83" s="57">
        <v>44820</v>
      </c>
      <c r="T83" s="146">
        <f>S83/S86*100</f>
        <v>92.565055762081784</v>
      </c>
      <c r="U83" s="57">
        <v>45450</v>
      </c>
      <c r="V83" s="146">
        <f>U83/U86*100</f>
        <v>93.001841620626152</v>
      </c>
      <c r="W83" s="57">
        <v>57240</v>
      </c>
      <c r="X83" s="146">
        <f>W83/W86*100</f>
        <v>99.21996879875195</v>
      </c>
      <c r="Y83" s="57">
        <v>44865</v>
      </c>
      <c r="Z83" s="146">
        <f>Y83/Y86*100</f>
        <v>91.889400921658975</v>
      </c>
      <c r="AA83" s="52">
        <f t="shared" si="18"/>
        <v>433530</v>
      </c>
      <c r="AB83" s="86">
        <f>AA83/AA86*100</f>
        <v>94.757548932821877</v>
      </c>
    </row>
    <row r="84" spans="1:31" x14ac:dyDescent="0.25">
      <c r="A84" s="228" t="s">
        <v>125</v>
      </c>
      <c r="B84" s="57"/>
      <c r="C84" s="146">
        <f>B84/B86*100</f>
        <v>0</v>
      </c>
      <c r="D84" s="247"/>
      <c r="E84" s="248"/>
      <c r="F84" s="247"/>
      <c r="G84" s="248"/>
      <c r="H84" s="57"/>
      <c r="I84" s="90"/>
      <c r="J84" s="229"/>
      <c r="K84" s="242"/>
      <c r="L84" s="309">
        <v>900</v>
      </c>
      <c r="M84" s="314">
        <f>L84/L86*100</f>
        <v>2.0639834881320951</v>
      </c>
      <c r="N84" s="290"/>
      <c r="O84" s="301">
        <f>4050+900</f>
        <v>4950</v>
      </c>
      <c r="P84" s="300">
        <f>O84/O86*100</f>
        <v>10.367577756833176</v>
      </c>
      <c r="Q84" s="57">
        <v>4455</v>
      </c>
      <c r="R84" s="300">
        <f>Q84/Q86*100</f>
        <v>3.731624575951753</v>
      </c>
      <c r="S84" s="301">
        <v>3600</v>
      </c>
      <c r="T84" s="300">
        <f>S84/S86*100</f>
        <v>7.4349442379182156</v>
      </c>
      <c r="U84" s="57">
        <v>3420</v>
      </c>
      <c r="V84" s="146">
        <f>U84/U86*100</f>
        <v>6.9981583793738489</v>
      </c>
      <c r="W84" s="309">
        <v>450</v>
      </c>
      <c r="X84" s="300">
        <f>W84/W86*100</f>
        <v>0.78003120124804992</v>
      </c>
      <c r="Y84" s="57">
        <v>540</v>
      </c>
      <c r="Z84" s="146">
        <f>Y84/Y86*100</f>
        <v>1.1059907834101383</v>
      </c>
      <c r="AA84" s="52">
        <f t="shared" si="18"/>
        <v>18315</v>
      </c>
      <c r="AB84" s="86">
        <f>AA84/AA86*100</f>
        <v>4.0031474377889253</v>
      </c>
    </row>
    <row r="85" spans="1:31" x14ac:dyDescent="0.25">
      <c r="A85" s="78" t="s">
        <v>89</v>
      </c>
      <c r="B85" s="57"/>
      <c r="C85" s="146">
        <f>B85/B86*100</f>
        <v>0</v>
      </c>
      <c r="D85" s="57"/>
      <c r="E85" s="146"/>
      <c r="F85" s="57"/>
      <c r="G85" s="91"/>
      <c r="H85" s="57"/>
      <c r="I85" s="146"/>
      <c r="J85" s="57"/>
      <c r="K85" s="185"/>
      <c r="L85" s="57">
        <v>1350</v>
      </c>
      <c r="M85" s="146">
        <f>L85/L86*100</f>
        <v>3.0959752321981426</v>
      </c>
      <c r="N85" s="142"/>
      <c r="O85" s="57"/>
      <c r="P85" s="185"/>
      <c r="Q85" s="57"/>
      <c r="R85" s="91"/>
      <c r="S85" s="57"/>
      <c r="T85" s="91"/>
      <c r="U85" s="57"/>
      <c r="V85" s="91"/>
      <c r="W85" s="57"/>
      <c r="X85" s="146"/>
      <c r="Y85" s="57">
        <v>3150</v>
      </c>
      <c r="Z85" s="146">
        <f>Y85/Y86*100</f>
        <v>6.4516129032258061</v>
      </c>
      <c r="AA85" s="52">
        <f t="shared" si="18"/>
        <v>4500</v>
      </c>
      <c r="AB85" s="86">
        <f>AA85/AA86*100</f>
        <v>0.98357430903904786</v>
      </c>
    </row>
    <row r="86" spans="1:31" s="68" customFormat="1" x14ac:dyDescent="0.25">
      <c r="A86" s="66" t="s">
        <v>71</v>
      </c>
      <c r="B86" s="69">
        <f>SUM(B82:B85)</f>
        <v>1800</v>
      </c>
      <c r="C86" s="93">
        <f t="shared" ref="C86:G86" si="19">SUM(C82:C85)</f>
        <v>100</v>
      </c>
      <c r="D86" s="69">
        <f t="shared" si="19"/>
        <v>14265</v>
      </c>
      <c r="E86" s="93">
        <f t="shared" si="19"/>
        <v>100</v>
      </c>
      <c r="F86" s="69">
        <f t="shared" si="19"/>
        <v>4050</v>
      </c>
      <c r="G86" s="93">
        <f t="shared" si="19"/>
        <v>100</v>
      </c>
      <c r="H86" s="69"/>
      <c r="I86" s="93"/>
      <c r="J86" s="69">
        <f>SUM(J82:J85)</f>
        <v>22860</v>
      </c>
      <c r="K86" s="186">
        <f>SUM(K82:K85)</f>
        <v>100</v>
      </c>
      <c r="L86" s="69">
        <f>SUM(L83:L85)</f>
        <v>43605</v>
      </c>
      <c r="M86" s="93">
        <f>SUM(M82:M85)</f>
        <v>100</v>
      </c>
      <c r="N86" s="142"/>
      <c r="O86" s="69">
        <f t="shared" ref="O86:T86" si="20">SUM(O82:O85)</f>
        <v>47745</v>
      </c>
      <c r="P86" s="186">
        <f t="shared" si="20"/>
        <v>100</v>
      </c>
      <c r="Q86" s="69">
        <f t="shared" si="20"/>
        <v>119385</v>
      </c>
      <c r="R86" s="93">
        <f t="shared" si="20"/>
        <v>100</v>
      </c>
      <c r="S86" s="69">
        <f t="shared" si="20"/>
        <v>48420</v>
      </c>
      <c r="T86" s="93">
        <f t="shared" si="20"/>
        <v>100</v>
      </c>
      <c r="U86" s="69">
        <f t="shared" ref="U86:AB86" si="21">SUM(U82:U85)</f>
        <v>48870</v>
      </c>
      <c r="V86" s="93">
        <f t="shared" si="21"/>
        <v>100</v>
      </c>
      <c r="W86" s="69">
        <f t="shared" si="21"/>
        <v>57690</v>
      </c>
      <c r="X86" s="93">
        <f t="shared" si="21"/>
        <v>100</v>
      </c>
      <c r="Y86" s="69">
        <f t="shared" si="21"/>
        <v>48825</v>
      </c>
      <c r="Z86" s="93">
        <f t="shared" si="21"/>
        <v>99.999999999999986</v>
      </c>
      <c r="AA86" s="69">
        <f>SUM(AA82:AA85)</f>
        <v>457515</v>
      </c>
      <c r="AB86" s="93">
        <f t="shared" si="21"/>
        <v>100</v>
      </c>
      <c r="AD86" s="88" t="e">
        <f>B86+D86+F86+H86+J86+L86+#REF!+O86+S86+U86+W86+Y86</f>
        <v>#REF!</v>
      </c>
    </row>
    <row r="87" spans="1:31" s="68" customFormat="1" ht="15.75" x14ac:dyDescent="0.25">
      <c r="A87" s="117" t="s">
        <v>34</v>
      </c>
      <c r="B87" s="312"/>
      <c r="C87" s="119"/>
      <c r="D87" s="120"/>
      <c r="E87" s="119"/>
      <c r="F87" s="121"/>
      <c r="G87" s="119"/>
      <c r="H87" s="122"/>
      <c r="I87" s="119"/>
      <c r="J87" s="123"/>
      <c r="K87" s="236"/>
      <c r="L87" s="124"/>
      <c r="M87" s="124"/>
      <c r="N87" s="142"/>
      <c r="O87" s="126"/>
      <c r="P87" s="119"/>
      <c r="Q87" s="127"/>
      <c r="R87" s="119"/>
      <c r="S87" s="127"/>
      <c r="T87" s="119"/>
      <c r="U87" s="128"/>
      <c r="V87" s="119"/>
      <c r="W87" s="129"/>
      <c r="X87" s="119"/>
      <c r="Y87" s="130"/>
      <c r="Z87" s="119"/>
      <c r="AA87" s="131"/>
      <c r="AB87" s="119"/>
      <c r="AC87"/>
      <c r="AD87"/>
    </row>
    <row r="88" spans="1:31" s="68" customFormat="1" x14ac:dyDescent="0.25">
      <c r="A88" s="77" t="s">
        <v>83</v>
      </c>
      <c r="B88" s="57">
        <f>23040+33390</f>
        <v>56430</v>
      </c>
      <c r="C88" s="86">
        <f>B88/B89*100</f>
        <v>100</v>
      </c>
      <c r="D88" s="57">
        <f>23895+38025</f>
        <v>61920</v>
      </c>
      <c r="E88" s="90">
        <f>D88/D89*100</f>
        <v>100</v>
      </c>
      <c r="F88" s="57">
        <f>17055+18270</f>
        <v>35325</v>
      </c>
      <c r="G88" s="90">
        <f>F88/F89*100</f>
        <v>100</v>
      </c>
      <c r="H88" s="57">
        <f>18990+33390+1800</f>
        <v>54180</v>
      </c>
      <c r="I88" s="90">
        <f>H88/H89*100</f>
        <v>100</v>
      </c>
      <c r="J88" s="57">
        <f>4455+18225</f>
        <v>22680</v>
      </c>
      <c r="K88" s="90">
        <f>J88/J89*100</f>
        <v>100</v>
      </c>
      <c r="L88" s="57">
        <f>7290+24660</f>
        <v>31950</v>
      </c>
      <c r="M88" s="146">
        <f>L88/L89*100</f>
        <v>100</v>
      </c>
      <c r="N88" s="142"/>
      <c r="O88" s="57">
        <f>2250+5355</f>
        <v>7605</v>
      </c>
      <c r="P88" s="146">
        <f>O88/O89*100</f>
        <v>100</v>
      </c>
      <c r="Q88" s="57">
        <v>1620</v>
      </c>
      <c r="R88" s="146">
        <f>Q88/Q89*100</f>
        <v>100</v>
      </c>
      <c r="S88" s="57">
        <f>405+9405</f>
        <v>9810</v>
      </c>
      <c r="T88" s="146">
        <f>S88/S89*100</f>
        <v>100</v>
      </c>
      <c r="U88" s="57">
        <f>1125+540</f>
        <v>1665</v>
      </c>
      <c r="V88" s="146">
        <f>U88/U89*100</f>
        <v>100</v>
      </c>
      <c r="W88" s="57">
        <f>360+3690</f>
        <v>4050</v>
      </c>
      <c r="X88" s="146">
        <f>W88/W89*100</f>
        <v>100</v>
      </c>
      <c r="Y88" s="57"/>
      <c r="Z88" s="146"/>
      <c r="AA88" s="52">
        <f t="shared" ref="AA88" si="22">B88+D88+F88+H88+J88+L88+O88+Q88+S88+U88+W88+Y88</f>
        <v>287235</v>
      </c>
      <c r="AB88" s="86">
        <f>AA88/AA89*100</f>
        <v>100</v>
      </c>
      <c r="AC88"/>
      <c r="AD88"/>
    </row>
    <row r="89" spans="1:31" s="68" customFormat="1" x14ac:dyDescent="0.25">
      <c r="A89" s="66" t="s">
        <v>71</v>
      </c>
      <c r="B89" s="69">
        <f>SUM(B88)</f>
        <v>56430</v>
      </c>
      <c r="C89" s="93">
        <f t="shared" ref="C89:G89" si="23">SUM(C88)</f>
        <v>100</v>
      </c>
      <c r="D89" s="69">
        <f t="shared" si="23"/>
        <v>61920</v>
      </c>
      <c r="E89" s="93">
        <f t="shared" si="23"/>
        <v>100</v>
      </c>
      <c r="F89" s="69">
        <f t="shared" si="23"/>
        <v>35325</v>
      </c>
      <c r="G89" s="93">
        <f t="shared" si="23"/>
        <v>100</v>
      </c>
      <c r="H89" s="69">
        <f t="shared" ref="H89:M89" si="24">SUM(H88)</f>
        <v>54180</v>
      </c>
      <c r="I89" s="93">
        <f t="shared" si="24"/>
        <v>100</v>
      </c>
      <c r="J89" s="69">
        <f t="shared" si="24"/>
        <v>22680</v>
      </c>
      <c r="K89" s="93">
        <f t="shared" si="24"/>
        <v>100</v>
      </c>
      <c r="L89" s="69">
        <f>SUM(L88)</f>
        <v>31950</v>
      </c>
      <c r="M89" s="93">
        <f t="shared" si="24"/>
        <v>100</v>
      </c>
      <c r="N89" s="142"/>
      <c r="O89" s="69">
        <f t="shared" ref="O89:T89" si="25">SUM(O88)</f>
        <v>7605</v>
      </c>
      <c r="P89" s="93">
        <f t="shared" si="25"/>
        <v>100</v>
      </c>
      <c r="Q89" s="69">
        <f t="shared" si="25"/>
        <v>1620</v>
      </c>
      <c r="R89" s="93">
        <f t="shared" si="25"/>
        <v>100</v>
      </c>
      <c r="S89" s="69">
        <f t="shared" si="25"/>
        <v>9810</v>
      </c>
      <c r="T89" s="93">
        <f t="shared" si="25"/>
        <v>100</v>
      </c>
      <c r="U89" s="69">
        <f>SUM(U88)</f>
        <v>1665</v>
      </c>
      <c r="V89" s="93">
        <f>SUM(V88)</f>
        <v>100</v>
      </c>
      <c r="W89" s="69">
        <f>SUM(W88)</f>
        <v>4050</v>
      </c>
      <c r="X89" s="93">
        <f>SUM(X88)</f>
        <v>100</v>
      </c>
      <c r="Y89" s="69"/>
      <c r="Z89" s="93"/>
      <c r="AA89" s="69">
        <f>SUM(AA88)</f>
        <v>287235</v>
      </c>
      <c r="AB89" s="92">
        <f>SUM(AB88:AB88)</f>
        <v>100</v>
      </c>
      <c r="AD89" s="88" t="e">
        <f>B89+D89+F89+H89+J89+L89+#REF!+O89+S89+U89+W89+Y89</f>
        <v>#REF!</v>
      </c>
    </row>
    <row r="90" spans="1:31" s="68" customFormat="1" ht="15.75" x14ac:dyDescent="0.25">
      <c r="A90" s="117" t="s">
        <v>80</v>
      </c>
      <c r="B90" s="118"/>
      <c r="C90" s="119"/>
      <c r="D90" s="120"/>
      <c r="E90" s="119"/>
      <c r="F90" s="121"/>
      <c r="G90" s="119"/>
      <c r="H90" s="122"/>
      <c r="I90" s="119"/>
      <c r="J90" s="123"/>
      <c r="K90" s="232"/>
      <c r="L90" s="124"/>
      <c r="M90" s="124"/>
      <c r="N90" s="142"/>
      <c r="O90" s="125"/>
      <c r="P90" s="119"/>
      <c r="Q90" s="126"/>
      <c r="R90" s="119"/>
      <c r="S90" s="127"/>
      <c r="T90" s="119"/>
      <c r="U90" s="128"/>
      <c r="V90" s="119"/>
      <c r="W90" s="129"/>
      <c r="X90" s="119"/>
      <c r="Y90" s="130"/>
      <c r="Z90" s="119"/>
      <c r="AA90" s="131"/>
      <c r="AB90" s="119"/>
      <c r="AE90" s="235"/>
    </row>
    <row r="91" spans="1:31" s="68" customFormat="1" x14ac:dyDescent="0.25">
      <c r="A91" s="77" t="s">
        <v>87</v>
      </c>
      <c r="B91" s="243">
        <f>5850+6030</f>
        <v>11880</v>
      </c>
      <c r="C91" s="86">
        <f>B91/B92*100</f>
        <v>100</v>
      </c>
      <c r="D91" s="57">
        <f>3465+15975+6075</f>
        <v>25515</v>
      </c>
      <c r="E91" s="146">
        <f>D91/D92*100</f>
        <v>100</v>
      </c>
      <c r="F91" s="57">
        <f>14040+5850+4995</f>
        <v>24885</v>
      </c>
      <c r="G91" s="90">
        <f>F91/F92*100</f>
        <v>100</v>
      </c>
      <c r="H91" s="57">
        <f>12735+11115+2970</f>
        <v>26820</v>
      </c>
      <c r="I91" s="90">
        <f>H91/H92*100</f>
        <v>100</v>
      </c>
      <c r="J91" s="57">
        <f>8685+3825+8235</f>
        <v>20745</v>
      </c>
      <c r="K91" s="90">
        <f>J91/J92*100</f>
        <v>100</v>
      </c>
      <c r="L91" s="57">
        <f>12105+630</f>
        <v>12735</v>
      </c>
      <c r="M91" s="146">
        <f>L91/L92*100</f>
        <v>100</v>
      </c>
      <c r="N91" s="142"/>
      <c r="O91" s="57">
        <f>39150+20025+2925</f>
        <v>62100</v>
      </c>
      <c r="P91" s="146">
        <f>O91/O92*100</f>
        <v>100</v>
      </c>
      <c r="Q91" s="57">
        <f>4230+20475+495</f>
        <v>25200</v>
      </c>
      <c r="R91" s="146">
        <f>Q91/Q92*100</f>
        <v>100</v>
      </c>
      <c r="S91" s="57">
        <f>27990+22590+900</f>
        <v>51480</v>
      </c>
      <c r="T91" s="146">
        <f>S91/S92*100</f>
        <v>100</v>
      </c>
      <c r="U91" s="57">
        <v>20880</v>
      </c>
      <c r="V91" s="146">
        <f>U91/U92*100</f>
        <v>100</v>
      </c>
      <c r="W91" s="57">
        <f>1350+30645</f>
        <v>31995</v>
      </c>
      <c r="X91" s="146">
        <f>W91/W92*100</f>
        <v>100</v>
      </c>
      <c r="Y91" s="57">
        <f>25965+41715</f>
        <v>67680</v>
      </c>
      <c r="Z91" s="146">
        <f>Y91/Y92*100</f>
        <v>100</v>
      </c>
      <c r="AA91" s="52">
        <f t="shared" ref="AA91" si="26">B91+D91+F91+H91+J91+L91+O91+Q91+S91+U91+W91+Y91</f>
        <v>381915</v>
      </c>
      <c r="AB91" s="146">
        <f>AA91/AA92*100</f>
        <v>100</v>
      </c>
      <c r="AC91" s="235"/>
    </row>
    <row r="92" spans="1:31" s="68" customFormat="1" x14ac:dyDescent="0.25">
      <c r="A92" s="66" t="s">
        <v>71</v>
      </c>
      <c r="B92" s="241">
        <f>SUM(B91)</f>
        <v>11880</v>
      </c>
      <c r="C92" s="93">
        <f t="shared" ref="C92:G92" si="27">SUM(C91)</f>
        <v>100</v>
      </c>
      <c r="D92" s="69">
        <f t="shared" si="27"/>
        <v>25515</v>
      </c>
      <c r="E92" s="93">
        <f t="shared" si="27"/>
        <v>100</v>
      </c>
      <c r="F92" s="69">
        <f t="shared" si="27"/>
        <v>24885</v>
      </c>
      <c r="G92" s="93">
        <f t="shared" si="27"/>
        <v>100</v>
      </c>
      <c r="H92" s="69">
        <f t="shared" ref="H92:M92" si="28">SUM(H91)</f>
        <v>26820</v>
      </c>
      <c r="I92" s="93">
        <f t="shared" si="28"/>
        <v>100</v>
      </c>
      <c r="J92" s="69">
        <f t="shared" si="28"/>
        <v>20745</v>
      </c>
      <c r="K92" s="93">
        <f t="shared" si="28"/>
        <v>100</v>
      </c>
      <c r="L92" s="69">
        <f>SUM(L91)</f>
        <v>12735</v>
      </c>
      <c r="M92" s="93">
        <f t="shared" si="28"/>
        <v>100</v>
      </c>
      <c r="N92" s="142"/>
      <c r="O92" s="69">
        <f t="shared" ref="O92:T92" si="29">SUM(O91)</f>
        <v>62100</v>
      </c>
      <c r="P92" s="93">
        <f t="shared" si="29"/>
        <v>100</v>
      </c>
      <c r="Q92" s="69">
        <f t="shared" si="29"/>
        <v>25200</v>
      </c>
      <c r="R92" s="93">
        <f t="shared" si="29"/>
        <v>100</v>
      </c>
      <c r="S92" s="69">
        <f t="shared" si="29"/>
        <v>51480</v>
      </c>
      <c r="T92" s="93">
        <f t="shared" si="29"/>
        <v>100</v>
      </c>
      <c r="U92" s="69">
        <f t="shared" ref="U92:Z92" si="30">SUM(U91)</f>
        <v>20880</v>
      </c>
      <c r="V92" s="93">
        <f t="shared" si="30"/>
        <v>100</v>
      </c>
      <c r="W92" s="69">
        <f t="shared" si="30"/>
        <v>31995</v>
      </c>
      <c r="X92" s="93">
        <f t="shared" si="30"/>
        <v>100</v>
      </c>
      <c r="Y92" s="69">
        <f t="shared" si="30"/>
        <v>67680</v>
      </c>
      <c r="Z92" s="93">
        <f t="shared" si="30"/>
        <v>100</v>
      </c>
      <c r="AA92" s="69">
        <f>SUM(AA91)</f>
        <v>381915</v>
      </c>
      <c r="AB92" s="93">
        <f>SUM(AB90:AB91)</f>
        <v>100</v>
      </c>
      <c r="AD92" s="88">
        <f>B92+D92+F92+H92+J92+L92+O92+Q92+S92+U92+W92+Y92</f>
        <v>381915</v>
      </c>
    </row>
    <row r="93" spans="1:31" ht="15.75" x14ac:dyDescent="0.25">
      <c r="A93" s="117" t="s">
        <v>66</v>
      </c>
      <c r="B93" s="312"/>
      <c r="C93" s="119"/>
      <c r="D93" s="120"/>
      <c r="E93" s="119"/>
      <c r="F93" s="121"/>
      <c r="G93" s="119"/>
      <c r="H93" s="231"/>
      <c r="I93" s="232"/>
      <c r="J93" s="123"/>
      <c r="K93" s="119"/>
      <c r="L93" s="124"/>
      <c r="M93" s="124"/>
      <c r="N93" s="142"/>
      <c r="O93" s="125"/>
      <c r="P93" s="119"/>
      <c r="Q93" s="126"/>
      <c r="R93" s="119"/>
      <c r="S93" s="127"/>
      <c r="T93" s="119"/>
      <c r="U93" s="128"/>
      <c r="V93" s="119"/>
      <c r="W93" s="129"/>
      <c r="X93" s="119"/>
      <c r="Y93" s="130"/>
      <c r="Z93" s="119"/>
      <c r="AA93" s="131"/>
      <c r="AB93" s="119"/>
    </row>
    <row r="94" spans="1:31" x14ac:dyDescent="0.25">
      <c r="A94" s="78" t="s">
        <v>67</v>
      </c>
      <c r="B94" s="57"/>
      <c r="C94" s="146"/>
      <c r="D94" s="57">
        <v>2340</v>
      </c>
      <c r="E94" s="90">
        <f>D94/D95*100</f>
        <v>100</v>
      </c>
      <c r="F94" s="57">
        <v>2250</v>
      </c>
      <c r="G94" s="146">
        <f>F94/F95*100</f>
        <v>100</v>
      </c>
      <c r="H94" s="57">
        <v>4275</v>
      </c>
      <c r="I94" s="90">
        <f>H94/H95*100</f>
        <v>100</v>
      </c>
      <c r="J94" s="57"/>
      <c r="K94" s="146"/>
      <c r="L94" s="57">
        <v>9045</v>
      </c>
      <c r="M94" s="146">
        <f>L94/L95*100</f>
        <v>100</v>
      </c>
      <c r="N94" s="142"/>
      <c r="O94" s="57"/>
      <c r="P94" s="146"/>
      <c r="Q94" s="57">
        <f>675+450</f>
        <v>1125</v>
      </c>
      <c r="R94" s="146">
        <f>Q94/Q95*100</f>
        <v>100</v>
      </c>
      <c r="S94" s="57">
        <v>900</v>
      </c>
      <c r="T94" s="146">
        <f>S94/S95*100</f>
        <v>100</v>
      </c>
      <c r="U94" s="57">
        <v>2070</v>
      </c>
      <c r="V94" s="146">
        <f>U94/U95*100</f>
        <v>100</v>
      </c>
      <c r="W94" s="57">
        <v>7875</v>
      </c>
      <c r="X94" s="146">
        <f>W94/W95*100</f>
        <v>100</v>
      </c>
      <c r="Y94" s="57">
        <v>450</v>
      </c>
      <c r="Z94" s="146">
        <f>Y94/Y95*100</f>
        <v>100</v>
      </c>
      <c r="AA94" s="52">
        <f t="shared" ref="AA94" si="31">B94+D94+F94+H94+J94+L94+O94+Q94+S94+U94+W94+Y94</f>
        <v>30330</v>
      </c>
      <c r="AB94" s="86">
        <f>AA94/AA95*100</f>
        <v>100</v>
      </c>
    </row>
    <row r="95" spans="1:31" s="68" customFormat="1" x14ac:dyDescent="0.25">
      <c r="A95" s="66" t="s">
        <v>71</v>
      </c>
      <c r="B95" s="69"/>
      <c r="C95" s="93"/>
      <c r="D95" s="69">
        <f t="shared" ref="D95:I95" si="32">SUM(D94)</f>
        <v>2340</v>
      </c>
      <c r="E95" s="93">
        <f t="shared" si="32"/>
        <v>100</v>
      </c>
      <c r="F95" s="69">
        <f t="shared" si="32"/>
        <v>2250</v>
      </c>
      <c r="G95" s="93">
        <f t="shared" si="32"/>
        <v>100</v>
      </c>
      <c r="H95" s="69">
        <f t="shared" si="32"/>
        <v>4275</v>
      </c>
      <c r="I95" s="93">
        <f t="shared" si="32"/>
        <v>100</v>
      </c>
      <c r="J95" s="69"/>
      <c r="K95" s="93"/>
      <c r="L95" s="69">
        <f>SUM(L94)</f>
        <v>9045</v>
      </c>
      <c r="M95" s="93">
        <f>SUM(M94)</f>
        <v>100</v>
      </c>
      <c r="N95" s="142"/>
      <c r="O95" s="69"/>
      <c r="P95" s="93"/>
      <c r="Q95" s="69">
        <f t="shared" ref="Q95:V95" si="33">SUM(Q94)</f>
        <v>1125</v>
      </c>
      <c r="R95" s="93">
        <f t="shared" si="33"/>
        <v>100</v>
      </c>
      <c r="S95" s="69">
        <f t="shared" si="33"/>
        <v>900</v>
      </c>
      <c r="T95" s="93">
        <f t="shared" si="33"/>
        <v>100</v>
      </c>
      <c r="U95" s="69">
        <f t="shared" si="33"/>
        <v>2070</v>
      </c>
      <c r="V95" s="93">
        <f t="shared" si="33"/>
        <v>100</v>
      </c>
      <c r="W95" s="69">
        <f>SUM(W94)</f>
        <v>7875</v>
      </c>
      <c r="X95" s="93">
        <f>SUM(X94)</f>
        <v>100</v>
      </c>
      <c r="Y95" s="69">
        <f>SUM(Y94)</f>
        <v>450</v>
      </c>
      <c r="Z95" s="93">
        <f>SUM(Z94)</f>
        <v>100</v>
      </c>
      <c r="AA95" s="69">
        <f>SUM(AA94)</f>
        <v>30330</v>
      </c>
      <c r="AB95" s="92">
        <f>SUM(AB94:AB94)</f>
        <v>100</v>
      </c>
      <c r="AD95" s="88">
        <f>B95+D95+F95+H95+J95+L95+O95+Q95+S95+U95+W95+Y95</f>
        <v>30330</v>
      </c>
    </row>
    <row r="96" spans="1:31" ht="15.75" x14ac:dyDescent="0.25">
      <c r="A96" s="117" t="s">
        <v>69</v>
      </c>
      <c r="B96" s="312"/>
      <c r="C96" s="119"/>
      <c r="D96" s="120"/>
      <c r="E96" s="119"/>
      <c r="F96" s="121"/>
      <c r="G96" s="119"/>
      <c r="H96" s="230"/>
      <c r="I96" s="119"/>
      <c r="J96" s="233"/>
      <c r="K96" s="119"/>
      <c r="L96" s="124"/>
      <c r="M96" s="124"/>
      <c r="N96" s="142"/>
      <c r="O96" s="125"/>
      <c r="P96" s="119"/>
      <c r="Q96" s="126"/>
      <c r="R96" s="119"/>
      <c r="S96" s="127"/>
      <c r="T96" s="119"/>
      <c r="U96" s="128"/>
      <c r="V96" s="119"/>
      <c r="W96" s="129"/>
      <c r="X96" s="119"/>
      <c r="Y96" s="130"/>
      <c r="Z96" s="119"/>
      <c r="AA96" s="131"/>
      <c r="AB96" s="119"/>
    </row>
    <row r="97" spans="1:30" x14ac:dyDescent="0.25">
      <c r="A97" s="79" t="s">
        <v>115</v>
      </c>
      <c r="B97" s="161">
        <f>945+2250</f>
        <v>3195</v>
      </c>
      <c r="C97" s="184">
        <f>B97/B98*100</f>
        <v>100</v>
      </c>
      <c r="D97" s="163">
        <f>2070+1800</f>
        <v>3870</v>
      </c>
      <c r="E97" s="184">
        <f>D97/D98*100</f>
        <v>100</v>
      </c>
      <c r="F97" s="164"/>
      <c r="G97" s="184"/>
      <c r="H97" s="165">
        <v>1125</v>
      </c>
      <c r="I97" s="184">
        <f>H97/H98*100</f>
        <v>100</v>
      </c>
      <c r="J97" s="166">
        <v>1800</v>
      </c>
      <c r="K97" s="184">
        <f>J97/J98*100</f>
        <v>100</v>
      </c>
      <c r="L97" s="167">
        <v>1350</v>
      </c>
      <c r="M97" s="264">
        <f>L97/L98*100</f>
        <v>100</v>
      </c>
      <c r="N97" s="142"/>
      <c r="O97" s="168"/>
      <c r="P97" s="162"/>
      <c r="Q97" s="169"/>
      <c r="R97" s="162"/>
      <c r="S97" s="170">
        <v>3330</v>
      </c>
      <c r="T97" s="184">
        <f>S97/S98*100</f>
        <v>100</v>
      </c>
      <c r="U97" s="171"/>
      <c r="V97" s="184"/>
      <c r="W97" s="172"/>
      <c r="X97" s="184"/>
      <c r="Y97" s="173"/>
      <c r="Z97" s="184"/>
      <c r="AA97" s="52">
        <f t="shared" ref="AA97" si="34">B97+D97+F97+H97+J97+L97+O97+Q97+S97+U97+W97+Y97</f>
        <v>14670</v>
      </c>
      <c r="AB97" s="184">
        <f>AA97/AA98*100</f>
        <v>100</v>
      </c>
    </row>
    <row r="98" spans="1:30" s="68" customFormat="1" x14ac:dyDescent="0.25">
      <c r="A98" s="66" t="s">
        <v>71</v>
      </c>
      <c r="B98" s="69">
        <f>SUM(B97)</f>
        <v>3195</v>
      </c>
      <c r="C98" s="93">
        <f>SUM(C97)</f>
        <v>100</v>
      </c>
      <c r="D98" s="69">
        <f>SUM(D97:D97)</f>
        <v>3870</v>
      </c>
      <c r="E98" s="93">
        <f>SUM(E97:E97)</f>
        <v>100</v>
      </c>
      <c r="F98" s="69"/>
      <c r="G98" s="93"/>
      <c r="H98" s="69">
        <f>SUM(H97:H97)</f>
        <v>1125</v>
      </c>
      <c r="I98" s="93">
        <f>SUM(I97:I97)</f>
        <v>100</v>
      </c>
      <c r="J98" s="69">
        <f>SUM(J97:J97)</f>
        <v>1800</v>
      </c>
      <c r="K98" s="93">
        <f>SUM(K97)</f>
        <v>100</v>
      </c>
      <c r="L98" s="69">
        <f>SUM(L97)</f>
        <v>1350</v>
      </c>
      <c r="M98" s="93">
        <f>SUM(M97)</f>
        <v>100</v>
      </c>
      <c r="N98" s="142"/>
      <c r="O98" s="69"/>
      <c r="P98" s="93"/>
      <c r="Q98" s="69"/>
      <c r="R98" s="93"/>
      <c r="S98" s="69">
        <f>SUM(S97:S97)</f>
        <v>3330</v>
      </c>
      <c r="T98" s="93">
        <f>SUM(T97:T97)</f>
        <v>100</v>
      </c>
      <c r="U98" s="69"/>
      <c r="V98" s="93"/>
      <c r="W98" s="69"/>
      <c r="X98" s="93"/>
      <c r="Y98" s="69"/>
      <c r="Z98" s="93"/>
      <c r="AA98" s="69">
        <f>SUM(AA97)</f>
        <v>14670</v>
      </c>
      <c r="AB98" s="92">
        <f>SUM(AB97:AB97)</f>
        <v>100</v>
      </c>
      <c r="AD98" s="88">
        <f>B98+D98+F98+H98+J98+L98+O98+Q98+S98+U98+W98+Y98</f>
        <v>14670</v>
      </c>
    </row>
    <row r="99" spans="1:30" ht="15.75" x14ac:dyDescent="0.25">
      <c r="A99" s="117" t="s">
        <v>77</v>
      </c>
      <c r="B99" s="312"/>
      <c r="C99" s="119"/>
      <c r="D99" s="120"/>
      <c r="E99" s="119"/>
      <c r="F99" s="121"/>
      <c r="G99" s="119"/>
      <c r="H99" s="122"/>
      <c r="I99" s="119"/>
      <c r="J99" s="123"/>
      <c r="K99" s="119"/>
      <c r="L99" s="124"/>
      <c r="M99" s="124"/>
      <c r="N99" s="142"/>
      <c r="O99" s="125"/>
      <c r="P99" s="119"/>
      <c r="Q99" s="126"/>
      <c r="R99" s="119"/>
      <c r="S99" s="127"/>
      <c r="T99" s="119"/>
      <c r="U99" s="128"/>
      <c r="V99" s="119"/>
      <c r="W99" s="129"/>
      <c r="X99" s="119"/>
      <c r="Y99" s="130"/>
      <c r="Z99" s="119"/>
      <c r="AA99" s="131"/>
      <c r="AB99" s="119"/>
    </row>
    <row r="100" spans="1:30" x14ac:dyDescent="0.25">
      <c r="A100" s="78" t="s">
        <v>112</v>
      </c>
      <c r="B100" s="57">
        <f>14400+4725</f>
        <v>19125</v>
      </c>
      <c r="C100" s="146">
        <f>B100/B102*100</f>
        <v>100</v>
      </c>
      <c r="D100" s="57">
        <f>2250+2250</f>
        <v>4500</v>
      </c>
      <c r="E100" s="146">
        <f>D100/D102*100</f>
        <v>100</v>
      </c>
      <c r="F100" s="57"/>
      <c r="G100" s="146"/>
      <c r="H100" s="57">
        <f>31725+5625</f>
        <v>37350</v>
      </c>
      <c r="I100" s="146">
        <f>H100/H102*100</f>
        <v>100</v>
      </c>
      <c r="J100" s="57"/>
      <c r="K100" s="146"/>
      <c r="L100" s="57">
        <f>27765+14625</f>
        <v>42390</v>
      </c>
      <c r="M100" s="185">
        <f>L100/L102*100</f>
        <v>89.971346704871053</v>
      </c>
      <c r="N100" s="142"/>
      <c r="O100" s="57">
        <f>81315+6075</f>
        <v>87390</v>
      </c>
      <c r="P100" s="146">
        <f>O100/O102*100</f>
        <v>100</v>
      </c>
      <c r="Q100" s="57">
        <f>34425+8775</f>
        <v>43200</v>
      </c>
      <c r="R100" s="146">
        <f>Q100/Q102*100</f>
        <v>100</v>
      </c>
      <c r="S100" s="57">
        <v>6930</v>
      </c>
      <c r="T100" s="146">
        <f>S100/S102*100</f>
        <v>8.7005649717514117</v>
      </c>
      <c r="U100" s="57">
        <v>12915</v>
      </c>
      <c r="V100" s="146">
        <f>U100/U102*100</f>
        <v>21.530382595648913</v>
      </c>
      <c r="W100" s="57"/>
      <c r="X100" s="146"/>
      <c r="Y100" s="57">
        <v>15165</v>
      </c>
      <c r="Z100" s="146">
        <f>Y100/Y102*100</f>
        <v>16.343355965082445</v>
      </c>
      <c r="AA100" s="52">
        <f t="shared" ref="AA100:AA101" si="35">B100+D100+F100+H100+J100+L100+O100+Q100+S100+U100+W100+Y100</f>
        <v>268965</v>
      </c>
      <c r="AB100" s="86">
        <f>AA100/AA102*100</f>
        <v>40.001338508901085</v>
      </c>
      <c r="AD100" s="259">
        <f>2.835+4.995+11.25</f>
        <v>19.079999999999998</v>
      </c>
    </row>
    <row r="101" spans="1:30" x14ac:dyDescent="0.25">
      <c r="A101" s="78" t="s">
        <v>109</v>
      </c>
      <c r="B101" s="57"/>
      <c r="C101" s="146"/>
      <c r="D101" s="57"/>
      <c r="E101" s="146"/>
      <c r="F101" s="57">
        <f>26145+9630</f>
        <v>35775</v>
      </c>
      <c r="G101" s="146">
        <f>F101/F102*100</f>
        <v>100</v>
      </c>
      <c r="H101" s="57"/>
      <c r="I101" s="146"/>
      <c r="J101" s="57">
        <f>3600+61065+17730</f>
        <v>82395</v>
      </c>
      <c r="K101" s="146">
        <f>J101/J102*100</f>
        <v>100</v>
      </c>
      <c r="L101" s="57">
        <v>4725</v>
      </c>
      <c r="M101" s="185">
        <f>L101/L102*100</f>
        <v>10.028653295128938</v>
      </c>
      <c r="N101" s="142"/>
      <c r="O101" s="57"/>
      <c r="P101" s="146"/>
      <c r="Q101" s="57"/>
      <c r="R101" s="146"/>
      <c r="S101" s="57">
        <f>52245+20475</f>
        <v>72720</v>
      </c>
      <c r="T101" s="146">
        <f>S101/S102*100</f>
        <v>91.299435028248581</v>
      </c>
      <c r="U101" s="57">
        <f>14175+32895</f>
        <v>47070</v>
      </c>
      <c r="V101" s="146">
        <f>U101/U102*100</f>
        <v>78.469617404351084</v>
      </c>
      <c r="W101" s="57">
        <f>30735+14400+37980</f>
        <v>83115</v>
      </c>
      <c r="X101" s="146">
        <f>W101/W102*100</f>
        <v>100</v>
      </c>
      <c r="Y101" s="57">
        <f>3150+74475</f>
        <v>77625</v>
      </c>
      <c r="Z101" s="146">
        <f>Y101/Y102*100</f>
        <v>83.656644034917562</v>
      </c>
      <c r="AA101" s="52">
        <f t="shared" si="35"/>
        <v>403425</v>
      </c>
      <c r="AB101" s="86">
        <f>AA101/AA102*100</f>
        <v>59.998661491098915</v>
      </c>
    </row>
    <row r="102" spans="1:30" s="68" customFormat="1" x14ac:dyDescent="0.25">
      <c r="A102" s="66" t="s">
        <v>71</v>
      </c>
      <c r="B102" s="69">
        <f>SUM(B100:B101)</f>
        <v>19125</v>
      </c>
      <c r="C102" s="93">
        <f>SUM(C100:C101)</f>
        <v>100</v>
      </c>
      <c r="D102" s="69">
        <f>SUM(D100:D101)</f>
        <v>4500</v>
      </c>
      <c r="E102" s="93">
        <f>SUM(E100:E101)</f>
        <v>100</v>
      </c>
      <c r="F102" s="69">
        <f>SUM(F100:F101)</f>
        <v>35775</v>
      </c>
      <c r="G102" s="93">
        <f>SUM(G100)</f>
        <v>0</v>
      </c>
      <c r="H102" s="69">
        <f>SUM(H100:H101)</f>
        <v>37350</v>
      </c>
      <c r="I102" s="93">
        <f t="shared" ref="I102:K102" si="36">SUM(I100:I101)</f>
        <v>100</v>
      </c>
      <c r="J102" s="69">
        <f>SUM(J100:J101)</f>
        <v>82395</v>
      </c>
      <c r="K102" s="93">
        <f t="shared" si="36"/>
        <v>100</v>
      </c>
      <c r="L102" s="69">
        <f>SUM(L100:L101)</f>
        <v>47115</v>
      </c>
      <c r="M102" s="186">
        <f>SUM(M100:M101)</f>
        <v>99.999999999999986</v>
      </c>
      <c r="N102" s="142"/>
      <c r="O102" s="69">
        <f>SUM(O100:O101)</f>
        <v>87390</v>
      </c>
      <c r="P102" s="93">
        <f>SUM(P100:P101)</f>
        <v>100</v>
      </c>
      <c r="Q102" s="69">
        <f>SUM(Q100:Q101)</f>
        <v>43200</v>
      </c>
      <c r="R102" s="93">
        <f>SUM(R101)</f>
        <v>0</v>
      </c>
      <c r="S102" s="69">
        <f t="shared" ref="S102:Y102" si="37">SUM(S100:S101)</f>
        <v>79650</v>
      </c>
      <c r="T102" s="93">
        <f t="shared" si="37"/>
        <v>100</v>
      </c>
      <c r="U102" s="69">
        <f t="shared" si="37"/>
        <v>59985</v>
      </c>
      <c r="V102" s="93">
        <f t="shared" si="37"/>
        <v>100</v>
      </c>
      <c r="W102" s="69">
        <f t="shared" si="37"/>
        <v>83115</v>
      </c>
      <c r="X102" s="93">
        <f t="shared" si="37"/>
        <v>100</v>
      </c>
      <c r="Y102" s="69">
        <f t="shared" si="37"/>
        <v>92790</v>
      </c>
      <c r="Z102" s="93">
        <f>SUM(Z101)</f>
        <v>83.656644034917562</v>
      </c>
      <c r="AA102" s="69">
        <f>SUM(AA100:AA101)</f>
        <v>672390</v>
      </c>
      <c r="AB102" s="92">
        <f>SUM(AB100:AB101)</f>
        <v>100</v>
      </c>
      <c r="AD102" s="88">
        <f>B102+D102+F102+H102+J102+L102+O102+Q102+S102+U102+W102+Y102</f>
        <v>672390</v>
      </c>
    </row>
    <row r="103" spans="1:30" s="68" customFormat="1" ht="15.75" x14ac:dyDescent="0.25">
      <c r="A103" s="117" t="s">
        <v>111</v>
      </c>
      <c r="B103" s="312"/>
      <c r="C103" s="119"/>
      <c r="D103" s="120"/>
      <c r="E103" s="119"/>
      <c r="F103" s="121"/>
      <c r="G103" s="119"/>
      <c r="H103" s="122"/>
      <c r="I103" s="119"/>
      <c r="J103" s="123"/>
      <c r="K103" s="119"/>
      <c r="L103" s="124"/>
      <c r="M103" s="124"/>
      <c r="N103" s="142"/>
      <c r="O103" s="125"/>
      <c r="P103" s="119"/>
      <c r="Q103" s="126"/>
      <c r="R103" s="119"/>
      <c r="S103" s="127"/>
      <c r="T103" s="119"/>
      <c r="U103" s="128"/>
      <c r="V103" s="119"/>
      <c r="W103" s="129"/>
      <c r="X103" s="119"/>
      <c r="Y103" s="130"/>
      <c r="Z103" s="119"/>
      <c r="AA103" s="131"/>
      <c r="AB103" s="119"/>
      <c r="AD103" s="88"/>
    </row>
    <row r="104" spans="1:30" s="68" customFormat="1" x14ac:dyDescent="0.25">
      <c r="A104" s="200" t="s">
        <v>126</v>
      </c>
      <c r="B104" s="57">
        <v>3060</v>
      </c>
      <c r="C104" s="93">
        <f>B104/B105*100</f>
        <v>100</v>
      </c>
      <c r="D104" s="57">
        <v>4770</v>
      </c>
      <c r="E104" s="93">
        <f>D104/D105*100</f>
        <v>100</v>
      </c>
      <c r="F104" s="193"/>
      <c r="G104" s="197"/>
      <c r="H104" s="57"/>
      <c r="I104" s="197"/>
      <c r="J104" s="240"/>
      <c r="K104" s="197"/>
      <c r="L104" s="57"/>
      <c r="M104" s="185"/>
      <c r="N104" s="142"/>
      <c r="O104" s="155">
        <f>1350+540</f>
        <v>1890</v>
      </c>
      <c r="P104" s="93">
        <f>O104/O105*100</f>
        <v>100</v>
      </c>
      <c r="Q104" s="155">
        <f>1980+405</f>
        <v>2385</v>
      </c>
      <c r="R104" s="93">
        <f>Q104/Q105*100</f>
        <v>100</v>
      </c>
      <c r="S104" s="69"/>
      <c r="T104" s="93"/>
      <c r="U104" s="57">
        <v>450</v>
      </c>
      <c r="V104" s="146">
        <f>U104/U105*100</f>
        <v>100</v>
      </c>
      <c r="W104" s="57">
        <v>360</v>
      </c>
      <c r="X104" s="146">
        <f>W104/W105*100</f>
        <v>100</v>
      </c>
      <c r="Y104" s="69"/>
      <c r="Z104" s="93"/>
      <c r="AA104" s="52">
        <f t="shared" ref="AA104" si="38">B104+D104+F104+H104+J104+L104+O104+Q104+S104+U104+W104+Y104</f>
        <v>12915</v>
      </c>
      <c r="AB104" s="86">
        <f>AA104/AA105*100</f>
        <v>100</v>
      </c>
      <c r="AD104" s="88"/>
    </row>
    <row r="105" spans="1:30" s="68" customFormat="1" x14ac:dyDescent="0.25">
      <c r="A105" s="66" t="s">
        <v>71</v>
      </c>
      <c r="B105" s="69">
        <f>SUM(B104)</f>
        <v>3060</v>
      </c>
      <c r="C105" s="93">
        <f t="shared" ref="C105:M105" si="39">SUM(C104:C104)</f>
        <v>100</v>
      </c>
      <c r="D105" s="69">
        <f t="shared" si="39"/>
        <v>4770</v>
      </c>
      <c r="E105" s="93">
        <f t="shared" si="39"/>
        <v>100</v>
      </c>
      <c r="F105" s="69">
        <f t="shared" si="39"/>
        <v>0</v>
      </c>
      <c r="G105" s="93">
        <f t="shared" si="39"/>
        <v>0</v>
      </c>
      <c r="H105" s="69">
        <f t="shared" si="39"/>
        <v>0</v>
      </c>
      <c r="I105" s="93">
        <f t="shared" si="39"/>
        <v>0</v>
      </c>
      <c r="J105" s="241">
        <f t="shared" si="39"/>
        <v>0</v>
      </c>
      <c r="K105" s="93">
        <f t="shared" si="39"/>
        <v>0</v>
      </c>
      <c r="L105" s="69">
        <f t="shared" si="39"/>
        <v>0</v>
      </c>
      <c r="M105" s="186">
        <f t="shared" si="39"/>
        <v>0</v>
      </c>
      <c r="N105" s="142"/>
      <c r="O105" s="69">
        <f>SUM(O104:O104)</f>
        <v>1890</v>
      </c>
      <c r="P105" s="93">
        <f>SUM(P104)</f>
        <v>100</v>
      </c>
      <c r="Q105" s="69">
        <f t="shared" ref="Q105:X105" si="40">SUM(Q104:Q104)</f>
        <v>2385</v>
      </c>
      <c r="R105" s="93">
        <f t="shared" si="40"/>
        <v>100</v>
      </c>
      <c r="S105" s="69">
        <f t="shared" si="40"/>
        <v>0</v>
      </c>
      <c r="T105" s="93">
        <f t="shared" si="40"/>
        <v>0</v>
      </c>
      <c r="U105" s="69">
        <f t="shared" si="40"/>
        <v>450</v>
      </c>
      <c r="V105" s="93">
        <f t="shared" si="40"/>
        <v>100</v>
      </c>
      <c r="W105" s="69">
        <f t="shared" si="40"/>
        <v>360</v>
      </c>
      <c r="X105" s="93">
        <f t="shared" si="40"/>
        <v>100</v>
      </c>
      <c r="Y105" s="69"/>
      <c r="Z105" s="93"/>
      <c r="AA105" s="266">
        <f>SUM(AA104)</f>
        <v>12915</v>
      </c>
      <c r="AB105" s="92">
        <f>SUM(AB104:AB104)</f>
        <v>100</v>
      </c>
      <c r="AD105" s="88">
        <f>B105+D105+F105+H105+J105+L105+O105+Q105+S105+U105+W105+Y105</f>
        <v>12915</v>
      </c>
    </row>
    <row r="106" spans="1:30" s="68" customFormat="1" x14ac:dyDescent="0.25">
      <c r="A106" s="83"/>
      <c r="B106" s="84"/>
      <c r="C106" s="94"/>
      <c r="D106" s="84"/>
      <c r="E106" s="94"/>
      <c r="F106" s="84"/>
      <c r="G106" s="94"/>
      <c r="H106" s="84"/>
      <c r="I106" s="94"/>
      <c r="J106" s="283"/>
      <c r="K106" s="94"/>
      <c r="L106" s="84"/>
      <c r="M106" s="284"/>
      <c r="N106" s="142"/>
      <c r="O106" s="84"/>
      <c r="P106" s="94"/>
      <c r="Q106" s="84"/>
      <c r="R106" s="94"/>
      <c r="S106" s="84"/>
      <c r="T106" s="94"/>
      <c r="U106" s="84"/>
      <c r="V106" s="94"/>
      <c r="W106" s="84"/>
      <c r="X106" s="94"/>
      <c r="Y106" s="84"/>
      <c r="Z106" s="94"/>
      <c r="AA106" s="285"/>
      <c r="AB106" s="103"/>
      <c r="AD106" s="88"/>
    </row>
    <row r="107" spans="1:30" s="68" customFormat="1" x14ac:dyDescent="0.25">
      <c r="A107" s="83"/>
      <c r="B107" s="84"/>
      <c r="C107" s="94"/>
      <c r="D107" s="84"/>
      <c r="E107" s="94"/>
      <c r="F107" s="84"/>
      <c r="G107" s="94"/>
      <c r="H107" s="84"/>
      <c r="I107" s="94"/>
      <c r="J107" s="283"/>
      <c r="K107" s="94"/>
      <c r="L107" s="84"/>
      <c r="M107" s="284"/>
      <c r="N107" s="142"/>
      <c r="O107" s="84"/>
      <c r="P107" s="94"/>
      <c r="Q107" s="84"/>
      <c r="R107" s="94"/>
      <c r="S107" s="84"/>
      <c r="T107" s="94"/>
      <c r="U107" s="84"/>
      <c r="V107" s="94"/>
      <c r="W107" s="84"/>
      <c r="X107" s="94"/>
      <c r="Y107" s="84"/>
      <c r="Z107" s="94"/>
      <c r="AA107" s="285"/>
      <c r="AB107" s="103"/>
      <c r="AD107" s="88"/>
    </row>
    <row r="108" spans="1:30" s="68" customFormat="1" x14ac:dyDescent="0.25">
      <c r="A108" s="326" t="s">
        <v>118</v>
      </c>
      <c r="B108" s="327"/>
      <c r="C108" s="327"/>
      <c r="D108" s="327"/>
      <c r="E108" s="327"/>
      <c r="F108" s="327"/>
      <c r="G108" s="327"/>
      <c r="H108" s="327"/>
      <c r="I108" s="327"/>
      <c r="J108" s="327"/>
      <c r="K108" s="327"/>
      <c r="L108" s="327"/>
      <c r="M108" s="327"/>
      <c r="N108" s="328"/>
      <c r="O108" s="327"/>
      <c r="P108" s="327"/>
      <c r="Q108" s="327"/>
      <c r="R108" s="327"/>
      <c r="S108" s="327"/>
      <c r="T108" s="327"/>
      <c r="U108" s="327"/>
      <c r="V108" s="327"/>
      <c r="W108" s="327"/>
      <c r="X108" s="327"/>
      <c r="Y108" s="327"/>
      <c r="Z108" s="327"/>
      <c r="AA108" s="327"/>
      <c r="AB108" s="327"/>
    </row>
    <row r="109" spans="1:30" s="68" customFormat="1" ht="15.75" x14ac:dyDescent="0.25">
      <c r="A109" s="333" t="s">
        <v>39</v>
      </c>
      <c r="B109" s="335" t="s">
        <v>21</v>
      </c>
      <c r="C109" s="336"/>
      <c r="D109" s="337" t="s">
        <v>22</v>
      </c>
      <c r="E109" s="338"/>
      <c r="F109" s="339" t="s">
        <v>23</v>
      </c>
      <c r="G109" s="340"/>
      <c r="H109" s="341" t="s">
        <v>24</v>
      </c>
      <c r="I109" s="342"/>
      <c r="J109" s="343" t="s">
        <v>25</v>
      </c>
      <c r="K109" s="344"/>
      <c r="L109" s="345" t="s">
        <v>40</v>
      </c>
      <c r="M109" s="346"/>
      <c r="N109" s="142"/>
      <c r="O109" s="347" t="s">
        <v>27</v>
      </c>
      <c r="P109" s="348"/>
      <c r="Q109" s="349" t="s">
        <v>37</v>
      </c>
      <c r="R109" s="350"/>
      <c r="S109" s="351" t="s">
        <v>28</v>
      </c>
      <c r="T109" s="352"/>
      <c r="U109" s="353" t="s">
        <v>29</v>
      </c>
      <c r="V109" s="354"/>
      <c r="W109" s="355" t="s">
        <v>30</v>
      </c>
      <c r="X109" s="356"/>
      <c r="Y109" s="357" t="s">
        <v>38</v>
      </c>
      <c r="Z109" s="358"/>
      <c r="AA109" s="359" t="s">
        <v>20</v>
      </c>
      <c r="AB109" s="360"/>
    </row>
    <row r="110" spans="1:30" s="68" customFormat="1" ht="15" customHeight="1" x14ac:dyDescent="0.25">
      <c r="A110" s="334"/>
      <c r="B110" s="294" t="s">
        <v>72</v>
      </c>
      <c r="C110" s="141" t="s">
        <v>78</v>
      </c>
      <c r="D110" s="294" t="s">
        <v>72</v>
      </c>
      <c r="E110" s="141" t="s">
        <v>78</v>
      </c>
      <c r="F110" s="294" t="s">
        <v>72</v>
      </c>
      <c r="G110" s="141" t="s">
        <v>78</v>
      </c>
      <c r="H110" s="294" t="s">
        <v>72</v>
      </c>
      <c r="I110" s="141" t="s">
        <v>78</v>
      </c>
      <c r="J110" s="294" t="s">
        <v>72</v>
      </c>
      <c r="K110" s="141" t="s">
        <v>78</v>
      </c>
      <c r="L110" s="294" t="s">
        <v>72</v>
      </c>
      <c r="M110" s="141" t="s">
        <v>78</v>
      </c>
      <c r="N110" s="142"/>
      <c r="O110" s="294" t="s">
        <v>72</v>
      </c>
      <c r="P110" s="141" t="s">
        <v>78</v>
      </c>
      <c r="Q110" s="294" t="s">
        <v>72</v>
      </c>
      <c r="R110" s="141" t="s">
        <v>78</v>
      </c>
      <c r="S110" s="294" t="s">
        <v>72</v>
      </c>
      <c r="T110" s="141" t="s">
        <v>78</v>
      </c>
      <c r="U110" s="294" t="s">
        <v>72</v>
      </c>
      <c r="V110" s="141" t="s">
        <v>78</v>
      </c>
      <c r="W110" s="294" t="s">
        <v>72</v>
      </c>
      <c r="X110" s="141" t="s">
        <v>78</v>
      </c>
      <c r="Y110" s="294" t="s">
        <v>72</v>
      </c>
      <c r="Z110" s="141" t="s">
        <v>78</v>
      </c>
      <c r="AA110" s="295" t="s">
        <v>72</v>
      </c>
      <c r="AB110" s="141" t="s">
        <v>78</v>
      </c>
    </row>
    <row r="111" spans="1:30" s="68" customFormat="1" ht="15" customHeight="1" x14ac:dyDescent="0.25">
      <c r="A111" s="267" t="s">
        <v>68</v>
      </c>
      <c r="B111" s="268"/>
      <c r="C111" s="269"/>
      <c r="D111" s="270"/>
      <c r="E111" s="269"/>
      <c r="F111" s="271"/>
      <c r="G111" s="269"/>
      <c r="H111" s="272"/>
      <c r="I111" s="269"/>
      <c r="J111" s="273"/>
      <c r="K111" s="274"/>
      <c r="L111" s="275"/>
      <c r="M111" s="275"/>
      <c r="N111" s="142"/>
      <c r="O111" s="276"/>
      <c r="P111" s="269"/>
      <c r="Q111" s="277"/>
      <c r="R111" s="269"/>
      <c r="S111" s="278"/>
      <c r="T111" s="269"/>
      <c r="U111" s="279"/>
      <c r="V111" s="269"/>
      <c r="W111" s="280"/>
      <c r="X111" s="269"/>
      <c r="Y111" s="281"/>
      <c r="Z111" s="269"/>
      <c r="AA111" s="282"/>
      <c r="AB111" s="269"/>
    </row>
    <row r="112" spans="1:30" s="68" customFormat="1" ht="15" customHeight="1" x14ac:dyDescent="0.25">
      <c r="A112" s="77" t="s">
        <v>81</v>
      </c>
      <c r="B112" s="57"/>
      <c r="C112" s="146"/>
      <c r="D112" s="57"/>
      <c r="E112" s="90"/>
      <c r="F112" s="57"/>
      <c r="G112" s="90"/>
      <c r="H112" s="57">
        <v>2250</v>
      </c>
      <c r="I112" s="146">
        <f>H112/H113*100</f>
        <v>100</v>
      </c>
      <c r="J112" s="243"/>
      <c r="K112" s="146"/>
      <c r="L112" s="57"/>
      <c r="M112" s="146"/>
      <c r="N112" s="142"/>
      <c r="O112" s="155"/>
      <c r="P112" s="90"/>
      <c r="Q112" s="57"/>
      <c r="R112" s="146"/>
      <c r="S112" s="57">
        <v>10170</v>
      </c>
      <c r="T112" s="146">
        <f>S112/S113*100</f>
        <v>100</v>
      </c>
      <c r="U112" s="57">
        <v>3150</v>
      </c>
      <c r="V112" s="146">
        <f>U112/U113*100</f>
        <v>100</v>
      </c>
      <c r="W112" s="57">
        <v>2250</v>
      </c>
      <c r="X112" s="146">
        <f>W112/W113*100</f>
        <v>100</v>
      </c>
      <c r="Y112" s="57"/>
      <c r="Z112" s="146"/>
      <c r="AA112" s="52">
        <f t="shared" ref="AA112" si="41">B112+D112+F112+H112+J112+L112+O112+Q112+S112+U112+W112+Y112</f>
        <v>17820</v>
      </c>
      <c r="AB112" s="86">
        <f>AA112/AA113*100</f>
        <v>100</v>
      </c>
    </row>
    <row r="113" spans="1:30" s="68" customFormat="1" ht="15" customHeight="1" x14ac:dyDescent="0.25">
      <c r="A113" s="66" t="s">
        <v>71</v>
      </c>
      <c r="B113" s="69">
        <f>SUM(B112)</f>
        <v>0</v>
      </c>
      <c r="C113" s="93">
        <f>SUM(C111:C112)</f>
        <v>0</v>
      </c>
      <c r="D113" s="69">
        <f>SUM(D112:D112)</f>
        <v>0</v>
      </c>
      <c r="E113" s="93">
        <f>SUM(E111:E112)</f>
        <v>0</v>
      </c>
      <c r="F113" s="69">
        <f>SUM(F112)</f>
        <v>0</v>
      </c>
      <c r="G113" s="93">
        <f t="shared" ref="G113:I113" si="42">SUM(G111:G112)</f>
        <v>0</v>
      </c>
      <c r="H113" s="69">
        <f>SUM(H112)</f>
        <v>2250</v>
      </c>
      <c r="I113" s="93">
        <f t="shared" si="42"/>
        <v>100</v>
      </c>
      <c r="J113" s="241">
        <f>SUM(J112)</f>
        <v>0</v>
      </c>
      <c r="K113" s="93">
        <f>SUM(K112)</f>
        <v>0</v>
      </c>
      <c r="L113" s="69">
        <f>SUM(L112)</f>
        <v>0</v>
      </c>
      <c r="M113" s="93">
        <f>SUM(M112)</f>
        <v>0</v>
      </c>
      <c r="N113" s="286"/>
      <c r="O113" s="69">
        <f>SUM(O112)</f>
        <v>0</v>
      </c>
      <c r="P113" s="93">
        <f>SUM(P112)</f>
        <v>0</v>
      </c>
      <c r="Q113" s="69">
        <f>SUM(Q112)</f>
        <v>0</v>
      </c>
      <c r="R113" s="93">
        <f t="shared" ref="R113:X113" si="43">SUM(R111:R112)</f>
        <v>0</v>
      </c>
      <c r="S113" s="69">
        <f>SUM(S112)</f>
        <v>10170</v>
      </c>
      <c r="T113" s="93">
        <f>SUM(T112)</f>
        <v>100</v>
      </c>
      <c r="U113" s="69">
        <f t="shared" si="43"/>
        <v>3150</v>
      </c>
      <c r="V113" s="93">
        <f t="shared" si="43"/>
        <v>100</v>
      </c>
      <c r="W113" s="69">
        <f>SUM(W112)</f>
        <v>2250</v>
      </c>
      <c r="X113" s="93">
        <f t="shared" si="43"/>
        <v>100</v>
      </c>
      <c r="Y113" s="69">
        <f>SUM(Y112:Y112)</f>
        <v>0</v>
      </c>
      <c r="Z113" s="93">
        <f>SUM(Z111:Z112)</f>
        <v>0</v>
      </c>
      <c r="AA113" s="69">
        <f>SUM(AA112)</f>
        <v>17820</v>
      </c>
      <c r="AB113" s="93">
        <f>SUM(AB111:AB112)</f>
        <v>100</v>
      </c>
      <c r="AD113" s="88">
        <f>B113+D113+F113+H113+J113+L113+O113+Q113+S113+U113+W113+Y113</f>
        <v>17820</v>
      </c>
    </row>
    <row r="114" spans="1:30" s="68" customFormat="1" ht="15.75" x14ac:dyDescent="0.25">
      <c r="A114" s="117" t="s">
        <v>86</v>
      </c>
      <c r="B114" s="118"/>
      <c r="C114" s="119"/>
      <c r="D114" s="120"/>
      <c r="E114" s="119"/>
      <c r="F114" s="121"/>
      <c r="G114" s="119"/>
      <c r="H114" s="122"/>
      <c r="I114" s="119"/>
      <c r="J114" s="123"/>
      <c r="K114" s="119"/>
      <c r="L114" s="124"/>
      <c r="M114" s="124"/>
      <c r="N114" s="142"/>
      <c r="O114" s="125"/>
      <c r="P114" s="119"/>
      <c r="Q114" s="126"/>
      <c r="R114" s="119"/>
      <c r="S114" s="127"/>
      <c r="T114" s="119"/>
      <c r="U114" s="128"/>
      <c r="V114" s="119"/>
      <c r="W114" s="129"/>
      <c r="X114" s="119"/>
      <c r="Y114" s="130"/>
      <c r="Z114" s="119"/>
      <c r="AA114" s="131"/>
      <c r="AB114" s="119"/>
      <c r="AD114" s="88"/>
    </row>
    <row r="115" spans="1:30" s="68" customFormat="1" x14ac:dyDescent="0.25">
      <c r="A115" s="77" t="s">
        <v>131</v>
      </c>
      <c r="B115" s="57"/>
      <c r="C115" s="146"/>
      <c r="D115" s="57"/>
      <c r="E115" s="90"/>
      <c r="F115" s="57"/>
      <c r="G115" s="90"/>
      <c r="H115" s="57"/>
      <c r="I115" s="146"/>
      <c r="J115" s="57"/>
      <c r="K115" s="146"/>
      <c r="L115" s="57">
        <v>675</v>
      </c>
      <c r="M115" s="146">
        <f>L115/L116*100</f>
        <v>100</v>
      </c>
      <c r="N115" s="142"/>
      <c r="O115" s="57">
        <v>450</v>
      </c>
      <c r="P115" s="146">
        <f>O115/O116*100</f>
        <v>100</v>
      </c>
      <c r="Q115" s="57">
        <v>1800</v>
      </c>
      <c r="R115" s="184">
        <f>Q115/Q116*100</f>
        <v>100</v>
      </c>
      <c r="S115" s="57">
        <v>7515</v>
      </c>
      <c r="T115" s="184">
        <f>S115/S116*100</f>
        <v>100</v>
      </c>
      <c r="U115" s="57"/>
      <c r="V115" s="146"/>
      <c r="W115" s="57">
        <v>3600</v>
      </c>
      <c r="X115" s="146">
        <f>W115/W116*100</f>
        <v>100</v>
      </c>
      <c r="Y115" s="57">
        <v>2205</v>
      </c>
      <c r="Z115" s="185">
        <f>Y115/Y116*100</f>
        <v>100</v>
      </c>
      <c r="AA115" s="52">
        <f t="shared" ref="AA115" si="44">B115+D115+F115+H115+J115+L115+O115+Q115+S115+U115+W115+Y115</f>
        <v>16245</v>
      </c>
      <c r="AB115" s="86">
        <f>AA115/AA116*100</f>
        <v>100</v>
      </c>
      <c r="AD115" s="88"/>
    </row>
    <row r="116" spans="1:30" s="68" customFormat="1" x14ac:dyDescent="0.25">
      <c r="A116" s="95" t="s">
        <v>71</v>
      </c>
      <c r="B116" s="96">
        <f>SUM(B115:B115)</f>
        <v>0</v>
      </c>
      <c r="C116" s="97">
        <f>SUM(C115:C115)</f>
        <v>0</v>
      </c>
      <c r="D116" s="96">
        <f>SUM(D115:D115)</f>
        <v>0</v>
      </c>
      <c r="E116" s="97">
        <f>SUM(E114:E115)</f>
        <v>0</v>
      </c>
      <c r="F116" s="96">
        <f>SUM(F115:F115)</f>
        <v>0</v>
      </c>
      <c r="G116" s="97">
        <f>SUM(G115:G115)</f>
        <v>0</v>
      </c>
      <c r="H116" s="96">
        <f>SUM(H115:H115)</f>
        <v>0</v>
      </c>
      <c r="I116" s="97">
        <f>SUM(I114:I115)</f>
        <v>0</v>
      </c>
      <c r="J116" s="96">
        <f>SUM(J114:J115)</f>
        <v>0</v>
      </c>
      <c r="K116" s="97">
        <f>SUM(K114:K115)</f>
        <v>0</v>
      </c>
      <c r="L116" s="96">
        <f>SUM(L115:L115)</f>
        <v>675</v>
      </c>
      <c r="M116" s="97">
        <f>SUM(M115)</f>
        <v>100</v>
      </c>
      <c r="N116" s="142"/>
      <c r="O116" s="96">
        <f>SUM(O115)</f>
        <v>450</v>
      </c>
      <c r="P116" s="97">
        <f>SUM(P115:P115)</f>
        <v>100</v>
      </c>
      <c r="Q116" s="96">
        <f t="shared" ref="Q116:R116" si="45">SUM(Q115:Q115)</f>
        <v>1800</v>
      </c>
      <c r="R116" s="97">
        <f t="shared" si="45"/>
        <v>100</v>
      </c>
      <c r="S116" s="96">
        <f>SUM(S115)</f>
        <v>7515</v>
      </c>
      <c r="T116" s="97">
        <f>SUM(T115)</f>
        <v>100</v>
      </c>
      <c r="U116" s="96">
        <f t="shared" ref="U116:Y116" si="46">SUM(U115:U115)</f>
        <v>0</v>
      </c>
      <c r="V116" s="97">
        <f t="shared" si="46"/>
        <v>0</v>
      </c>
      <c r="W116" s="96">
        <f t="shared" si="46"/>
        <v>3600</v>
      </c>
      <c r="X116" s="97">
        <f t="shared" si="46"/>
        <v>100</v>
      </c>
      <c r="Y116" s="96">
        <f t="shared" si="46"/>
        <v>2205</v>
      </c>
      <c r="Z116" s="198">
        <f>SUM(Z114:Z115)</f>
        <v>100</v>
      </c>
      <c r="AA116" s="96">
        <f>SUM(AA115)</f>
        <v>16245</v>
      </c>
      <c r="AB116" s="97">
        <f>SUM(AB115:AB115)</f>
        <v>100</v>
      </c>
      <c r="AD116" s="88">
        <f>B116+D116+F116+H116+J116+L116+O116+S116+U116+W116+Y116</f>
        <v>14445</v>
      </c>
    </row>
    <row r="117" spans="1:30" s="68" customFormat="1" ht="15.75" x14ac:dyDescent="0.25">
      <c r="A117" s="117" t="s">
        <v>100</v>
      </c>
      <c r="B117" s="118"/>
      <c r="C117" s="119"/>
      <c r="D117" s="120"/>
      <c r="E117" s="119"/>
      <c r="F117" s="121"/>
      <c r="G117" s="119"/>
      <c r="H117" s="122"/>
      <c r="I117" s="119"/>
      <c r="J117" s="123"/>
      <c r="K117" s="232"/>
      <c r="L117" s="124"/>
      <c r="M117" s="124"/>
      <c r="N117" s="145"/>
      <c r="O117" s="126"/>
      <c r="P117" s="119"/>
      <c r="Q117" s="127"/>
      <c r="R117" s="119"/>
      <c r="S117" s="127"/>
      <c r="T117" s="119"/>
      <c r="U117" s="128"/>
      <c r="V117" s="119"/>
      <c r="W117" s="129"/>
      <c r="X117" s="119"/>
      <c r="Y117" s="130"/>
      <c r="Z117" s="119"/>
      <c r="AA117" s="131"/>
      <c r="AB117" s="119"/>
    </row>
    <row r="118" spans="1:30" s="68" customFormat="1" x14ac:dyDescent="0.25">
      <c r="A118" s="77" t="s">
        <v>82</v>
      </c>
      <c r="B118" s="57">
        <f>4455+5175</f>
        <v>9630</v>
      </c>
      <c r="C118" s="146">
        <f>B118/B119*100</f>
        <v>100</v>
      </c>
      <c r="D118" s="57">
        <f>3330+3465</f>
        <v>6795</v>
      </c>
      <c r="E118" s="90">
        <f>D118/D119*100</f>
        <v>100</v>
      </c>
      <c r="F118" s="57">
        <v>15210</v>
      </c>
      <c r="G118" s="90">
        <f>F118/F119*100</f>
        <v>100</v>
      </c>
      <c r="H118" s="57">
        <f>18270+18900+41535</f>
        <v>78705</v>
      </c>
      <c r="I118" s="90">
        <f>H118/H119*100</f>
        <v>100</v>
      </c>
      <c r="J118" s="57">
        <f>19035+450+37665</f>
        <v>57150</v>
      </c>
      <c r="K118" s="90">
        <f>J118/J119*100</f>
        <v>100</v>
      </c>
      <c r="L118" s="57">
        <f>15525+5850+60210</f>
        <v>81585</v>
      </c>
      <c r="M118" s="146">
        <f>L118/L119*100</f>
        <v>100</v>
      </c>
      <c r="N118" s="145"/>
      <c r="O118" s="57">
        <f>16605+1935+117270</f>
        <v>135810</v>
      </c>
      <c r="P118" s="146">
        <f>O118/O119*100</f>
        <v>100</v>
      </c>
      <c r="Q118" s="57">
        <f>26010+14310+90990</f>
        <v>131310</v>
      </c>
      <c r="R118" s="146">
        <f>Q118/Q119*100</f>
        <v>100</v>
      </c>
      <c r="S118" s="57">
        <f>33435+11115+51435</f>
        <v>95985</v>
      </c>
      <c r="T118" s="146">
        <f>S118/S119*100</f>
        <v>100</v>
      </c>
      <c r="U118" s="57">
        <f>720+59580</f>
        <v>60300</v>
      </c>
      <c r="V118" s="146">
        <f>U118/U119*100</f>
        <v>100</v>
      </c>
      <c r="W118" s="57">
        <f>2475+2700+31770</f>
        <v>36945</v>
      </c>
      <c r="X118" s="146">
        <f>W118/W119*100</f>
        <v>100</v>
      </c>
      <c r="Y118" s="57">
        <f>1125+48330</f>
        <v>49455</v>
      </c>
      <c r="Z118" s="146">
        <f>Y118/Y119*100</f>
        <v>100</v>
      </c>
      <c r="AA118" s="52">
        <f t="shared" ref="AA118" si="47">B118+D118+F118+H118+J118+L118+O118+Q118+S118+U118+W118+Y118</f>
        <v>758880</v>
      </c>
      <c r="AB118" s="86">
        <f>AA118/AA119*100</f>
        <v>100</v>
      </c>
      <c r="AD118" s="235"/>
    </row>
    <row r="119" spans="1:30" s="68" customFormat="1" x14ac:dyDescent="0.25">
      <c r="A119" s="66" t="s">
        <v>71</v>
      </c>
      <c r="B119" s="69">
        <f>SUM(B118)</f>
        <v>9630</v>
      </c>
      <c r="C119" s="93">
        <f t="shared" ref="C119:G119" si="48">SUM(C118:C118)</f>
        <v>100</v>
      </c>
      <c r="D119" s="69">
        <f>SUM(D118)</f>
        <v>6795</v>
      </c>
      <c r="E119" s="93">
        <f t="shared" si="48"/>
        <v>100</v>
      </c>
      <c r="F119" s="69">
        <f>SUM(F118)</f>
        <v>15210</v>
      </c>
      <c r="G119" s="93">
        <f t="shared" si="48"/>
        <v>100</v>
      </c>
      <c r="H119" s="69">
        <f>SUM(H118)</f>
        <v>78705</v>
      </c>
      <c r="I119" s="93">
        <f>SUM(I118:I118)</f>
        <v>100</v>
      </c>
      <c r="J119" s="69">
        <f>SUM(J118)</f>
        <v>57150</v>
      </c>
      <c r="K119" s="93">
        <f>SUM(K118:K118)</f>
        <v>100</v>
      </c>
      <c r="L119" s="69">
        <f>SUM(L118)</f>
        <v>81585</v>
      </c>
      <c r="M119" s="93">
        <f>SUM(M118)</f>
        <v>100</v>
      </c>
      <c r="N119" s="145"/>
      <c r="O119" s="69">
        <f>SUM(O118)</f>
        <v>135810</v>
      </c>
      <c r="P119" s="93">
        <f>SUM(P118:P118)</f>
        <v>100</v>
      </c>
      <c r="Q119" s="69">
        <f>SUM(Q118)</f>
        <v>131310</v>
      </c>
      <c r="R119" s="93">
        <f t="shared" ref="R119" si="49">SUM(R118:R118)</f>
        <v>100</v>
      </c>
      <c r="S119" s="69">
        <f>SUM(S118)</f>
        <v>95985</v>
      </c>
      <c r="T119" s="93">
        <f>SUM(T118)</f>
        <v>100</v>
      </c>
      <c r="U119" s="69">
        <f t="shared" ref="U119:Z119" si="50">SUM(U118:U118)</f>
        <v>60300</v>
      </c>
      <c r="V119" s="93">
        <f t="shared" si="50"/>
        <v>100</v>
      </c>
      <c r="W119" s="69">
        <f>SUM(W118)</f>
        <v>36945</v>
      </c>
      <c r="X119" s="93">
        <f t="shared" si="50"/>
        <v>100</v>
      </c>
      <c r="Y119" s="69">
        <f>SUM(Y118)</f>
        <v>49455</v>
      </c>
      <c r="Z119" s="93">
        <f t="shared" si="50"/>
        <v>100</v>
      </c>
      <c r="AA119" s="69">
        <f>SUM(AA118)</f>
        <v>758880</v>
      </c>
      <c r="AB119" s="93">
        <f>SUM(AB118:AB118)</f>
        <v>100</v>
      </c>
      <c r="AD119" s="88">
        <f>B119+D119+F119+H119+J119+L119+O119+S119+U119+W119+Y119</f>
        <v>627570</v>
      </c>
    </row>
    <row r="120" spans="1:30" s="68" customFormat="1" x14ac:dyDescent="0.25">
      <c r="A120" s="154" t="s">
        <v>95</v>
      </c>
      <c r="B120" s="312"/>
      <c r="C120" s="119"/>
      <c r="D120" s="120"/>
      <c r="E120" s="119"/>
      <c r="F120" s="121"/>
      <c r="G120" s="119"/>
      <c r="H120" s="122"/>
      <c r="I120" s="119"/>
      <c r="J120" s="244"/>
      <c r="K120" s="245"/>
      <c r="L120" s="124"/>
      <c r="M120" s="124"/>
      <c r="N120" s="145"/>
      <c r="O120" s="126"/>
      <c r="P120" s="119"/>
      <c r="Q120" s="127"/>
      <c r="R120" s="119"/>
      <c r="S120" s="127"/>
      <c r="T120" s="119"/>
      <c r="U120" s="128"/>
      <c r="V120" s="119"/>
      <c r="W120" s="129"/>
      <c r="X120" s="119"/>
      <c r="Y120" s="130"/>
      <c r="Z120" s="119"/>
      <c r="AA120" s="131"/>
      <c r="AB120" s="119"/>
    </row>
    <row r="121" spans="1:30" s="68" customFormat="1" x14ac:dyDescent="0.25">
      <c r="A121" s="77" t="s">
        <v>96</v>
      </c>
      <c r="B121" s="57">
        <f>534555+675</f>
        <v>535230</v>
      </c>
      <c r="C121" s="146">
        <f>B121/B122*100</f>
        <v>100</v>
      </c>
      <c r="D121" s="57">
        <f>1890+622800</f>
        <v>624690</v>
      </c>
      <c r="E121" s="146">
        <f>D121/D122*100</f>
        <v>100</v>
      </c>
      <c r="F121" s="57">
        <v>483210</v>
      </c>
      <c r="G121" s="146">
        <f>F121/F122*100</f>
        <v>100</v>
      </c>
      <c r="H121" s="57">
        <v>249930</v>
      </c>
      <c r="I121" s="146">
        <f>H121/H122*100</f>
        <v>100</v>
      </c>
      <c r="J121" s="243">
        <v>182250</v>
      </c>
      <c r="K121" s="146">
        <f>J121/J122*100</f>
        <v>100</v>
      </c>
      <c r="L121" s="243">
        <f>311535+405</f>
        <v>311940</v>
      </c>
      <c r="M121" s="146">
        <f>L121/L122*100</f>
        <v>100</v>
      </c>
      <c r="N121" s="145"/>
      <c r="O121" s="57">
        <f>193455+720</f>
        <v>194175</v>
      </c>
      <c r="P121" s="146">
        <f>O121/O122*100</f>
        <v>100</v>
      </c>
      <c r="Q121" s="57">
        <v>148500</v>
      </c>
      <c r="R121" s="146">
        <f>Q121/Q122*100</f>
        <v>100</v>
      </c>
      <c r="S121" s="57">
        <f>180+137250</f>
        <v>137430</v>
      </c>
      <c r="T121" s="146">
        <f>S121/S122*100</f>
        <v>100</v>
      </c>
      <c r="U121" s="57">
        <v>99675</v>
      </c>
      <c r="V121" s="146">
        <f>U121/U122*100</f>
        <v>100</v>
      </c>
      <c r="W121" s="57">
        <f>78615+1575</f>
        <v>80190</v>
      </c>
      <c r="X121" s="146">
        <f>W121/W122*100</f>
        <v>100</v>
      </c>
      <c r="Y121" s="57">
        <v>183375</v>
      </c>
      <c r="Z121" s="146">
        <f>Y121/Y122*100</f>
        <v>100</v>
      </c>
      <c r="AA121" s="52">
        <f t="shared" ref="AA121" si="51">B121+D121+F121+H121+J121+L121+O121+Q121+S121+U121+W121+Y121</f>
        <v>3230595</v>
      </c>
      <c r="AB121" s="146">
        <f>AA121/AA122*100</f>
        <v>100</v>
      </c>
    </row>
    <row r="122" spans="1:30" s="68" customFormat="1" x14ac:dyDescent="0.25">
      <c r="A122" s="66" t="s">
        <v>71</v>
      </c>
      <c r="B122" s="69">
        <f>SUM(B121)</f>
        <v>535230</v>
      </c>
      <c r="C122" s="93">
        <f>SUM(C120:C121)</f>
        <v>100</v>
      </c>
      <c r="D122" s="69">
        <f>SUM(D121)</f>
        <v>624690</v>
      </c>
      <c r="E122" s="93">
        <f>SUM(E120:E121)</f>
        <v>100</v>
      </c>
      <c r="F122" s="69">
        <f>SUM(F121)</f>
        <v>483210</v>
      </c>
      <c r="G122" s="93">
        <f>SUM(G120:G121)</f>
        <v>100</v>
      </c>
      <c r="H122" s="69">
        <f>SUM(H121)</f>
        <v>249930</v>
      </c>
      <c r="I122" s="93">
        <f>SUM(I120:I121)</f>
        <v>100</v>
      </c>
      <c r="J122" s="241">
        <f>SUM(J121)</f>
        <v>182250</v>
      </c>
      <c r="K122" s="93">
        <f>SUM(K120:K121)</f>
        <v>100</v>
      </c>
      <c r="L122" s="69">
        <f>SUM(L121)</f>
        <v>311940</v>
      </c>
      <c r="M122" s="93">
        <f>SUM(M121)</f>
        <v>100</v>
      </c>
      <c r="N122" s="145"/>
      <c r="O122" s="69">
        <f>SUM(O121)</f>
        <v>194175</v>
      </c>
      <c r="P122" s="93">
        <f>SUM(P120:P121)</f>
        <v>100</v>
      </c>
      <c r="Q122" s="69">
        <f>SUM(Q121)</f>
        <v>148500</v>
      </c>
      <c r="R122" s="93">
        <f>SUM(R120:R121)</f>
        <v>100</v>
      </c>
      <c r="S122" s="69">
        <f>SUM(S121)</f>
        <v>137430</v>
      </c>
      <c r="T122" s="93">
        <f>SUM(T121)</f>
        <v>100</v>
      </c>
      <c r="U122" s="69">
        <f t="shared" ref="U122" si="52">SUM(U120:U121)</f>
        <v>99675</v>
      </c>
      <c r="V122" s="93">
        <f>SUM(V120:V121)</f>
        <v>100</v>
      </c>
      <c r="W122" s="69">
        <f>SUM(W121)</f>
        <v>80190</v>
      </c>
      <c r="X122" s="93">
        <f>SUM(X120:X121)</f>
        <v>100</v>
      </c>
      <c r="Y122" s="69">
        <f>SUM(Y121)</f>
        <v>183375</v>
      </c>
      <c r="Z122" s="93">
        <f>SUM(Z120:Z121)</f>
        <v>100</v>
      </c>
      <c r="AA122" s="69">
        <f>SUM(AA121)</f>
        <v>3230595</v>
      </c>
      <c r="AB122" s="93">
        <f>SUM(AB120:AB121)</f>
        <v>100</v>
      </c>
      <c r="AD122" s="88">
        <f>B122+D122+F122+H122+J122+L122+O122+S122+U122+W122+Y122</f>
        <v>3082095</v>
      </c>
    </row>
    <row r="123" spans="1:30" s="68" customFormat="1" x14ac:dyDescent="0.25">
      <c r="A123" s="154" t="s">
        <v>122</v>
      </c>
      <c r="B123" s="312"/>
      <c r="C123" s="119"/>
      <c r="D123" s="120"/>
      <c r="E123" s="119"/>
      <c r="F123" s="121"/>
      <c r="G123" s="119"/>
      <c r="H123" s="122"/>
      <c r="I123" s="119"/>
      <c r="J123" s="244"/>
      <c r="K123" s="245"/>
      <c r="L123" s="124"/>
      <c r="M123" s="124"/>
      <c r="N123" s="145"/>
      <c r="O123" s="125"/>
      <c r="P123" s="119"/>
      <c r="Q123" s="126"/>
      <c r="R123" s="119"/>
      <c r="S123" s="127"/>
      <c r="T123" s="119"/>
      <c r="U123" s="128"/>
      <c r="V123" s="119"/>
      <c r="W123" s="129"/>
      <c r="X123" s="119"/>
      <c r="Y123" s="130"/>
      <c r="Z123" s="119"/>
      <c r="AA123" s="131"/>
      <c r="AB123" s="119"/>
    </row>
    <row r="124" spans="1:30" s="68" customFormat="1" x14ac:dyDescent="0.25">
      <c r="A124" s="77" t="s">
        <v>123</v>
      </c>
      <c r="B124" s="57"/>
      <c r="C124" s="146"/>
      <c r="D124" s="57">
        <v>6120</v>
      </c>
      <c r="E124" s="146">
        <f>D124/D125*100</f>
        <v>100</v>
      </c>
      <c r="F124" s="57"/>
      <c r="G124" s="146"/>
      <c r="H124" s="57"/>
      <c r="I124" s="146"/>
      <c r="J124" s="243"/>
      <c r="K124" s="146"/>
      <c r="L124" s="57"/>
      <c r="M124" s="146"/>
      <c r="N124" s="145"/>
      <c r="O124" s="57"/>
      <c r="P124" s="146"/>
      <c r="Q124" s="57"/>
      <c r="R124" s="146"/>
      <c r="S124" s="57"/>
      <c r="T124" s="146"/>
      <c r="U124" s="57"/>
      <c r="V124" s="146"/>
      <c r="W124" s="57"/>
      <c r="X124" s="146"/>
      <c r="Y124" s="57"/>
      <c r="Z124" s="146"/>
      <c r="AA124" s="52">
        <f t="shared" ref="AA124" si="53">B124+D124+F124+H124+J124+L124+O124+Q124+S124+U124+W124+Y124</f>
        <v>6120</v>
      </c>
      <c r="AB124" s="146">
        <f>AA124/AA125*100</f>
        <v>100</v>
      </c>
    </row>
    <row r="125" spans="1:30" s="68" customFormat="1" x14ac:dyDescent="0.25">
      <c r="A125" s="66" t="s">
        <v>71</v>
      </c>
      <c r="B125" s="296"/>
      <c r="C125" s="297"/>
      <c r="D125" s="296">
        <f>SUM(D124)</f>
        <v>6120</v>
      </c>
      <c r="E125" s="297">
        <f>SUM(E124)</f>
        <v>100</v>
      </c>
      <c r="F125" s="296"/>
      <c r="G125" s="297"/>
      <c r="H125" s="296"/>
      <c r="I125" s="297"/>
      <c r="J125" s="298"/>
      <c r="K125" s="297"/>
      <c r="L125" s="296"/>
      <c r="M125" s="297"/>
      <c r="N125" s="145"/>
      <c r="O125" s="296"/>
      <c r="P125" s="297"/>
      <c r="Q125" s="296"/>
      <c r="R125" s="297"/>
      <c r="S125" s="296"/>
      <c r="T125" s="297"/>
      <c r="U125" s="296"/>
      <c r="V125" s="297"/>
      <c r="W125" s="296"/>
      <c r="X125" s="297"/>
      <c r="Y125" s="296"/>
      <c r="Z125" s="297"/>
      <c r="AA125" s="266">
        <f>SUM(AA124)</f>
        <v>6120</v>
      </c>
      <c r="AB125" s="297">
        <f>SUM(AB124)</f>
        <v>100</v>
      </c>
    </row>
    <row r="126" spans="1:30" s="68" customFormat="1" x14ac:dyDescent="0.25">
      <c r="A126" s="199" t="s">
        <v>110</v>
      </c>
      <c r="B126" s="69"/>
      <c r="C126" s="93"/>
      <c r="D126" s="69"/>
      <c r="E126" s="93"/>
      <c r="F126" s="69"/>
      <c r="G126" s="93"/>
      <c r="H126" s="69"/>
      <c r="I126" s="93"/>
      <c r="J126" s="70"/>
      <c r="K126" s="86"/>
      <c r="L126" s="69"/>
      <c r="M126" s="93"/>
      <c r="N126" s="145"/>
      <c r="O126" s="70"/>
      <c r="P126" s="86"/>
      <c r="Q126" s="70"/>
      <c r="R126" s="86"/>
      <c r="S126" s="70"/>
      <c r="T126" s="86"/>
      <c r="U126" s="70"/>
      <c r="V126" s="86"/>
      <c r="W126" s="70"/>
      <c r="X126" s="86"/>
      <c r="Y126" s="70"/>
      <c r="Z126" s="86"/>
      <c r="AA126" s="52"/>
      <c r="AB126" s="86"/>
      <c r="AD126" s="88"/>
    </row>
    <row r="127" spans="1:30" s="68" customFormat="1" x14ac:dyDescent="0.25">
      <c r="A127" s="199"/>
      <c r="B127" s="69"/>
      <c r="C127" s="93"/>
      <c r="D127" s="69"/>
      <c r="E127" s="93"/>
      <c r="F127" s="69"/>
      <c r="G127" s="93"/>
      <c r="H127" s="69"/>
      <c r="I127" s="93"/>
      <c r="J127" s="69"/>
      <c r="K127" s="93"/>
      <c r="L127" s="69"/>
      <c r="M127" s="93"/>
      <c r="N127" s="145"/>
      <c r="O127" s="69"/>
      <c r="P127" s="93"/>
      <c r="Q127" s="69"/>
      <c r="R127" s="93"/>
      <c r="S127" s="69"/>
      <c r="T127" s="93"/>
      <c r="U127" s="69"/>
      <c r="V127" s="93"/>
      <c r="W127" s="69"/>
      <c r="X127" s="93"/>
      <c r="Y127" s="69"/>
      <c r="Z127" s="93"/>
      <c r="AA127" s="69"/>
      <c r="AB127" s="93"/>
      <c r="AD127" s="88">
        <f>B127+D127+F127+H127+J127+L127+O127+Q127+S127+U127+W127+Y127</f>
        <v>0</v>
      </c>
    </row>
    <row r="128" spans="1:30" s="68" customFormat="1" ht="20.25" x14ac:dyDescent="0.3">
      <c r="A128" s="104" t="s">
        <v>61</v>
      </c>
      <c r="B128" s="108">
        <f>B31+B53+B66+B70+B80+B86+B89+B92+B98+B102+B105+B119+B122</f>
        <v>1488420</v>
      </c>
      <c r="C128" s="106"/>
      <c r="D128" s="181">
        <f>D31+D53+D66+D70+D80+D86+D89+D92+D95+D98+D102+D105+D119+D122+D125</f>
        <v>1589625</v>
      </c>
      <c r="E128" s="108"/>
      <c r="F128" s="108">
        <f>F31+F53+F66+F70+F80+F86+F89+F92+F95+F102+F119+F122</f>
        <v>1479015</v>
      </c>
      <c r="G128" s="108"/>
      <c r="H128" s="108">
        <f>H31+H53+H66+H80+H89+H92+H95+H98+H102+H113+H119+H122</f>
        <v>1189260</v>
      </c>
      <c r="I128" s="106"/>
      <c r="J128" s="181">
        <f>J31+J53+J66+J70+J80+J86+J89+J92+J98+J102+J119+J122</f>
        <v>1410885</v>
      </c>
      <c r="K128" s="106"/>
      <c r="L128" s="108">
        <f>L31+L53+L66+L70+L80+L86+L89+L92+L95+L98+L102+L116+L119+L122</f>
        <v>1625580</v>
      </c>
      <c r="M128" s="105"/>
      <c r="N128" s="145"/>
      <c r="O128" s="108">
        <f>O31+O53+O66+O70+O80+O86+O89+O92+O102+O105+O116+O119+O122</f>
        <v>1757070</v>
      </c>
      <c r="P128" s="106"/>
      <c r="Q128" s="108">
        <f>Q31+Q53+Q66+Q70+Q80+Q86+Q89+Q92+Q95+Q102+Q105+Q116+Q119+Q122</f>
        <v>1634535</v>
      </c>
      <c r="R128" s="106"/>
      <c r="S128" s="108">
        <f>S31+S53+S66+S70+S80+S86+S89+S92+S95+S98+S102+S113+S116+S119+S122</f>
        <v>1611450</v>
      </c>
      <c r="T128" s="106"/>
      <c r="U128" s="108">
        <f>U31+U53+U66+U70+U80+U86+U89+U92+U95+U102+U105+U113+U119+U122</f>
        <v>1439820</v>
      </c>
      <c r="V128" s="106"/>
      <c r="W128" s="108">
        <f>W31+W53+W66+W70+W80+W86+W89+W92+W95+W102+W105+W113+W116+W119+W122</f>
        <v>1249245</v>
      </c>
      <c r="X128" s="106"/>
      <c r="Y128" s="108">
        <f>Y31+Y53+Y66+Y70+Y80+Y86+Y92+Y95+Y102+Y116+Y119+Y122</f>
        <v>1438650</v>
      </c>
      <c r="Z128" s="106"/>
      <c r="AA128" s="109">
        <f>AA31+AA53+AA66+AA70+AA80+AA86+AA89+AA92+AA95+AA98+AA102+AA105+AA113+AA116+AA119+AA122+AA125</f>
        <v>17913555</v>
      </c>
      <c r="AB128" s="107"/>
      <c r="AD128" s="88">
        <f>B128+D128+F128+H128+J128+L128+O128+Q128+S128+U128+W128+Y128</f>
        <v>17913555</v>
      </c>
    </row>
    <row r="129" spans="1:30" x14ac:dyDescent="0.25">
      <c r="B129" s="209"/>
      <c r="D129" s="160"/>
      <c r="E129" s="221"/>
      <c r="F129" s="58"/>
      <c r="H129" s="58">
        <f>1189260-H128</f>
        <v>0</v>
      </c>
      <c r="I129" s="98"/>
      <c r="J129" s="246"/>
      <c r="N129" s="145"/>
      <c r="O129" s="157"/>
      <c r="T129" s="157"/>
      <c r="W129" s="157"/>
      <c r="Y129" s="58"/>
      <c r="Z129" s="101"/>
      <c r="AA129" s="157">
        <f>SUM(B129:Y129)</f>
        <v>0</v>
      </c>
      <c r="AB129" s="177">
        <f>AA129*45</f>
        <v>0</v>
      </c>
      <c r="AC129" s="178"/>
    </row>
    <row r="130" spans="1:30" x14ac:dyDescent="0.25">
      <c r="A130" s="315" t="s">
        <v>132</v>
      </c>
      <c r="B130" s="316">
        <f>B128/45</f>
        <v>33076</v>
      </c>
      <c r="C130" s="317"/>
      <c r="D130" s="316">
        <f>D128/45</f>
        <v>35325</v>
      </c>
      <c r="E130" s="317"/>
      <c r="F130" s="316">
        <f>F128/45</f>
        <v>32867</v>
      </c>
      <c r="G130" s="317"/>
      <c r="H130" s="316">
        <f>H128/45</f>
        <v>26428</v>
      </c>
      <c r="I130" s="318"/>
      <c r="J130" s="316">
        <f>J128/45</f>
        <v>31353</v>
      </c>
      <c r="K130" s="317"/>
      <c r="L130" s="319">
        <f>L128/45</f>
        <v>36124</v>
      </c>
      <c r="M130" s="320"/>
      <c r="N130" s="321"/>
      <c r="O130" s="319">
        <f>O128/45</f>
        <v>39046</v>
      </c>
      <c r="P130" s="317"/>
      <c r="Q130" s="322">
        <f>Q128/45</f>
        <v>36323</v>
      </c>
      <c r="R130" s="317"/>
      <c r="S130" s="323">
        <f>S128/45</f>
        <v>35810</v>
      </c>
      <c r="T130" s="317"/>
      <c r="U130" s="323">
        <f>U128/45</f>
        <v>31996</v>
      </c>
      <c r="V130" s="317"/>
      <c r="W130" s="323">
        <f>W128/45</f>
        <v>27761</v>
      </c>
      <c r="X130" s="317"/>
      <c r="Y130" s="323">
        <f>Y128/45</f>
        <v>31970</v>
      </c>
      <c r="Z130" s="324"/>
      <c r="AA130" s="325">
        <f>B130+D130+F130+H130+J130+L130+O130+Q130+S130+U130+W130+Y130</f>
        <v>398079</v>
      </c>
      <c r="AB130" s="179"/>
    </row>
    <row r="131" spans="1:30" x14ac:dyDescent="0.25">
      <c r="B131" s="246"/>
      <c r="E131" s="176"/>
      <c r="H131" s="261"/>
      <c r="I131" s="98"/>
      <c r="J131" s="209"/>
      <c r="K131" s="176"/>
      <c r="L131" s="209"/>
      <c r="N131" s="145"/>
      <c r="O131" s="253"/>
      <c r="Q131" s="258"/>
      <c r="T131" s="208"/>
      <c r="U131" s="58"/>
      <c r="Y131" s="58"/>
      <c r="Z131" s="98"/>
      <c r="AA131" s="175"/>
      <c r="AB131" s="178"/>
      <c r="AD131" s="178"/>
    </row>
    <row r="132" spans="1:30" s="68" customFormat="1" x14ac:dyDescent="0.25">
      <c r="B132" s="89"/>
      <c r="C132" s="182"/>
      <c r="D132" s="214"/>
      <c r="E132" s="215"/>
      <c r="F132" s="260"/>
      <c r="H132" s="299"/>
      <c r="L132" s="89"/>
      <c r="N132" s="145"/>
      <c r="O132" s="151"/>
      <c r="S132" s="89"/>
      <c r="U132" s="89"/>
      <c r="W132" s="89"/>
      <c r="AA132" s="151"/>
      <c r="AB132" s="265"/>
    </row>
    <row r="133" spans="1:30" x14ac:dyDescent="0.25">
      <c r="B133"/>
      <c r="C133" s="183"/>
      <c r="D133" s="212"/>
      <c r="E133" s="213"/>
      <c r="F133" s="212"/>
      <c r="G133"/>
      <c r="H133" s="183"/>
      <c r="I133" s="223"/>
      <c r="J133"/>
      <c r="K133"/>
      <c r="L133" s="201"/>
      <c r="M133" s="250"/>
      <c r="N133" s="145"/>
      <c r="O133"/>
      <c r="P133" s="254"/>
      <c r="Q133" s="183"/>
      <c r="R133"/>
      <c r="S133"/>
      <c r="T133"/>
      <c r="U133"/>
      <c r="V133"/>
      <c r="W133"/>
      <c r="X133"/>
      <c r="Y133" s="53"/>
      <c r="Z133"/>
      <c r="AA133" s="212"/>
      <c r="AB133"/>
    </row>
    <row r="134" spans="1:30" x14ac:dyDescent="0.25">
      <c r="A134" s="34"/>
      <c r="B134" s="58"/>
      <c r="D134" s="211"/>
      <c r="E134" s="216"/>
      <c r="F134" s="217"/>
      <c r="H134" s="262"/>
      <c r="I134" s="58"/>
      <c r="J134" s="58"/>
      <c r="L134" s="249"/>
      <c r="M134" s="250"/>
      <c r="N134" s="145"/>
      <c r="O134" s="302"/>
      <c r="P134" s="303"/>
      <c r="Q134" s="304"/>
    </row>
    <row r="135" spans="1:30" x14ac:dyDescent="0.25">
      <c r="A135" s="34"/>
      <c r="B135" s="304"/>
      <c r="D135" s="211"/>
      <c r="E135" s="216"/>
      <c r="F135" s="217"/>
      <c r="H135" s="262"/>
      <c r="I135" s="58"/>
      <c r="J135" s="58"/>
      <c r="L135" s="249"/>
      <c r="M135" s="250"/>
      <c r="N135" s="145"/>
      <c r="O135" s="302"/>
      <c r="P135" s="303"/>
      <c r="Q135" s="304"/>
    </row>
    <row r="136" spans="1:30" x14ac:dyDescent="0.25">
      <c r="A136" s="34"/>
      <c r="B136" s="304"/>
      <c r="D136" s="211"/>
      <c r="E136" s="58"/>
      <c r="F136" s="58"/>
      <c r="H136" s="262"/>
      <c r="I136" s="58"/>
      <c r="J136" s="58"/>
      <c r="L136" s="249"/>
      <c r="M136" s="250"/>
      <c r="N136" s="145"/>
      <c r="O136" s="249"/>
      <c r="P136" s="303"/>
      <c r="Q136" s="58"/>
    </row>
    <row r="137" spans="1:30" x14ac:dyDescent="0.25">
      <c r="A137" s="34"/>
      <c r="B137" s="304"/>
      <c r="D137" s="211"/>
      <c r="E137"/>
      <c r="F137" s="58"/>
      <c r="H137" s="262"/>
      <c r="I137" s="58"/>
      <c r="J137" s="58"/>
      <c r="L137" s="249"/>
      <c r="M137" s="250"/>
      <c r="N137" s="145"/>
      <c r="O137" s="249"/>
      <c r="P137" s="303"/>
      <c r="Q137" s="58"/>
    </row>
    <row r="138" spans="1:30" x14ac:dyDescent="0.25">
      <c r="A138" s="34"/>
      <c r="B138" s="304"/>
      <c r="C138" s="208"/>
      <c r="D138" s="58"/>
      <c r="F138" s="58"/>
      <c r="H138" s="262"/>
      <c r="I138" s="58"/>
      <c r="J138" s="58"/>
      <c r="L138" s="249"/>
      <c r="M138" s="250"/>
      <c r="N138" s="145"/>
      <c r="O138" s="256"/>
      <c r="P138" s="303"/>
      <c r="Y138" s="58"/>
      <c r="Z138" s="98"/>
    </row>
    <row r="139" spans="1:30" x14ac:dyDescent="0.25">
      <c r="A139" s="68"/>
      <c r="B139" s="304"/>
      <c r="C139" s="208"/>
      <c r="D139" s="58"/>
      <c r="F139" s="58"/>
      <c r="H139" s="262"/>
      <c r="I139" s="58"/>
      <c r="J139" s="58"/>
      <c r="L139" s="249"/>
      <c r="M139" s="250"/>
      <c r="N139" s="145"/>
      <c r="O139" s="249"/>
      <c r="P139" s="305"/>
      <c r="Z139" s="98"/>
    </row>
    <row r="140" spans="1:30" x14ac:dyDescent="0.25">
      <c r="A140" s="68"/>
      <c r="B140" s="304"/>
      <c r="C140" s="208"/>
      <c r="D140" s="58"/>
      <c r="E140" s="176"/>
      <c r="F140" s="58"/>
      <c r="H140" s="262"/>
      <c r="I140" s="58"/>
      <c r="J140" s="58"/>
      <c r="L140" s="249"/>
      <c r="M140" s="251"/>
      <c r="N140" s="145"/>
      <c r="O140" s="249"/>
      <c r="P140" s="303"/>
      <c r="Z140" s="98"/>
    </row>
    <row r="141" spans="1:30" x14ac:dyDescent="0.25">
      <c r="A141" s="201"/>
      <c r="B141" s="304"/>
      <c r="C141" s="208"/>
      <c r="D141" s="58"/>
      <c r="F141" s="58"/>
      <c r="H141" s="262"/>
      <c r="I141" s="58"/>
      <c r="J141" s="58"/>
      <c r="L141" s="249"/>
      <c r="M141" s="251"/>
      <c r="N141" s="145"/>
      <c r="P141" s="305"/>
      <c r="R141"/>
      <c r="Z141" s="98"/>
    </row>
    <row r="142" spans="1:30" x14ac:dyDescent="0.25">
      <c r="A142" s="201"/>
      <c r="B142" s="304"/>
      <c r="C142" s="208"/>
      <c r="D142" s="58"/>
      <c r="F142" s="58"/>
      <c r="H142" s="262"/>
      <c r="I142" s="58"/>
      <c r="J142" s="58"/>
      <c r="N142" s="145"/>
      <c r="O142" s="249"/>
      <c r="P142" s="306"/>
      <c r="X142" s="101"/>
      <c r="Z142" s="98"/>
    </row>
    <row r="143" spans="1:30" x14ac:dyDescent="0.25">
      <c r="A143" s="201"/>
      <c r="B143" s="304"/>
      <c r="C143" s="208"/>
      <c r="D143" s="58"/>
      <c r="F143" s="58"/>
      <c r="H143" s="262"/>
      <c r="I143" s="58"/>
      <c r="J143" s="58"/>
      <c r="N143" s="145"/>
      <c r="O143" s="249"/>
      <c r="P143" s="303"/>
      <c r="Q143" s="257"/>
      <c r="X143" s="101"/>
      <c r="Z143" s="98"/>
    </row>
    <row r="144" spans="1:30" x14ac:dyDescent="0.25">
      <c r="A144" s="201"/>
      <c r="B144" s="304"/>
      <c r="C144" s="208"/>
      <c r="D144" s="58"/>
      <c r="F144" s="58"/>
      <c r="H144" s="262"/>
      <c r="I144" s="58"/>
      <c r="J144" s="58"/>
      <c r="N144" s="145"/>
      <c r="O144" s="249"/>
      <c r="P144" s="303"/>
      <c r="Q144" s="257"/>
      <c r="X144" s="101"/>
      <c r="Z144" s="98"/>
    </row>
    <row r="145" spans="1:28" x14ac:dyDescent="0.25">
      <c r="A145" s="201"/>
      <c r="B145" s="304"/>
      <c r="C145" s="208"/>
      <c r="D145" s="58"/>
      <c r="F145" s="58"/>
      <c r="H145" s="262"/>
      <c r="I145" s="58"/>
      <c r="J145" s="58"/>
      <c r="N145" s="145"/>
      <c r="O145" s="249"/>
      <c r="P145" s="303"/>
      <c r="Q145" s="257"/>
      <c r="X145" s="101"/>
      <c r="Z145" s="98"/>
    </row>
    <row r="146" spans="1:28" x14ac:dyDescent="0.25">
      <c r="A146" s="201"/>
      <c r="B146" s="304"/>
      <c r="C146" s="208"/>
      <c r="D146" s="58"/>
      <c r="F146" s="58"/>
      <c r="H146" s="262"/>
      <c r="I146" s="58"/>
      <c r="J146" s="58"/>
      <c r="N146" s="145"/>
      <c r="O146" s="249"/>
      <c r="P146" s="303"/>
      <c r="Q146" s="257"/>
      <c r="X146" s="101"/>
      <c r="Z146" s="98"/>
    </row>
    <row r="147" spans="1:28" x14ac:dyDescent="0.25">
      <c r="B147" s="304"/>
      <c r="C147" s="208"/>
      <c r="D147" s="58"/>
      <c r="F147" s="58"/>
      <c r="H147" s="262"/>
      <c r="I147" s="257"/>
      <c r="J147" s="58"/>
      <c r="N147" s="145"/>
      <c r="O147" s="249"/>
      <c r="P147" s="307"/>
    </row>
    <row r="148" spans="1:28" x14ac:dyDescent="0.25">
      <c r="A148" s="201"/>
      <c r="B148" s="304"/>
      <c r="C148" s="208"/>
      <c r="D148" s="58"/>
      <c r="F148" s="58"/>
      <c r="H148" s="262"/>
      <c r="I148" s="217"/>
      <c r="J148" s="58"/>
      <c r="N148" s="145"/>
      <c r="P148" s="308"/>
    </row>
    <row r="149" spans="1:28" x14ac:dyDescent="0.25">
      <c r="A149" s="201"/>
      <c r="B149" s="304"/>
      <c r="C149" s="208"/>
      <c r="D149" s="58"/>
      <c r="F149" s="58"/>
      <c r="H149" s="262"/>
      <c r="I149" s="58"/>
      <c r="J149" s="58"/>
      <c r="N149" s="145"/>
      <c r="P149" s="206"/>
    </row>
    <row r="150" spans="1:28" x14ac:dyDescent="0.25">
      <c r="A150" s="203"/>
      <c r="B150" s="304"/>
      <c r="C150" s="208"/>
      <c r="D150" s="58"/>
      <c r="F150" s="58"/>
      <c r="H150" s="54"/>
      <c r="I150" s="58"/>
      <c r="J150" s="58"/>
      <c r="N150" s="145"/>
      <c r="O150" s="204"/>
      <c r="P150" s="205"/>
    </row>
    <row r="151" spans="1:28" x14ac:dyDescent="0.25">
      <c r="A151" s="201"/>
      <c r="B151" s="304"/>
      <c r="C151" s="208"/>
      <c r="D151" s="58"/>
      <c r="F151" s="58"/>
      <c r="H151" s="54"/>
      <c r="I151" s="58"/>
      <c r="J151" s="58"/>
      <c r="N151" s="145"/>
    </row>
    <row r="152" spans="1:28" s="54" customFormat="1" hidden="1" x14ac:dyDescent="0.25">
      <c r="A152" s="34"/>
      <c r="B152" s="58"/>
      <c r="C152" s="208"/>
      <c r="D152" s="58"/>
      <c r="F152" s="58"/>
      <c r="H152"/>
      <c r="I152" s="58"/>
      <c r="J152" s="58"/>
      <c r="L152" s="55"/>
      <c r="M152" s="55"/>
      <c r="N152" s="145"/>
    </row>
    <row r="153" spans="1:28" s="54" customFormat="1" x14ac:dyDescent="0.25">
      <c r="A153" s="34"/>
      <c r="B153" s="304"/>
      <c r="C153" s="208"/>
      <c r="D153" s="58"/>
      <c r="F153" s="58"/>
      <c r="I153" s="58"/>
      <c r="J153" s="58"/>
      <c r="L153" s="55"/>
      <c r="M153" s="55"/>
      <c r="N153" s="145"/>
    </row>
    <row r="154" spans="1:28" x14ac:dyDescent="0.25">
      <c r="A154" s="201"/>
      <c r="B154" s="304"/>
      <c r="C154" s="208"/>
      <c r="D154" s="58"/>
      <c r="E154" s="176"/>
      <c r="F154" s="58"/>
      <c r="H154"/>
      <c r="I154" s="224"/>
      <c r="J154" s="58"/>
      <c r="N154" s="145"/>
      <c r="P154"/>
      <c r="Q154"/>
      <c r="R154"/>
      <c r="S154"/>
      <c r="T154"/>
      <c r="U154"/>
      <c r="V154"/>
      <c r="W154"/>
      <c r="X154"/>
      <c r="Y154"/>
      <c r="Z154"/>
      <c r="AB154"/>
    </row>
    <row r="155" spans="1:28" x14ac:dyDescent="0.25">
      <c r="A155" s="201"/>
      <c r="B155" s="304"/>
      <c r="C155" s="208"/>
      <c r="D155" s="58"/>
      <c r="F155" s="58"/>
      <c r="G155"/>
      <c r="H155" s="58"/>
      <c r="J155" s="58"/>
      <c r="N155" s="145"/>
      <c r="P155"/>
      <c r="Q155"/>
      <c r="R155"/>
      <c r="S155"/>
      <c r="T155"/>
      <c r="U155"/>
      <c r="V155"/>
      <c r="W155"/>
      <c r="X155"/>
      <c r="Y155"/>
      <c r="Z155"/>
      <c r="AB155"/>
    </row>
    <row r="156" spans="1:28" x14ac:dyDescent="0.25">
      <c r="A156" s="201"/>
      <c r="B156" s="304"/>
      <c r="C156" s="208"/>
      <c r="D156" s="58"/>
      <c r="F156" s="58"/>
      <c r="G156"/>
      <c r="H156" s="58"/>
      <c r="J156" s="58"/>
      <c r="N156" s="145"/>
      <c r="P156"/>
      <c r="Q156"/>
      <c r="R156"/>
      <c r="S156"/>
      <c r="T156"/>
      <c r="U156"/>
      <c r="V156"/>
      <c r="W156"/>
      <c r="X156"/>
      <c r="Y156"/>
      <c r="Z156"/>
      <c r="AB156"/>
    </row>
    <row r="157" spans="1:28" x14ac:dyDescent="0.25">
      <c r="A157" s="201"/>
      <c r="B157" s="304"/>
      <c r="C157" s="208"/>
      <c r="D157" s="58"/>
      <c r="F157" s="58"/>
      <c r="G157"/>
      <c r="H157" s="58"/>
      <c r="J157" s="58"/>
      <c r="N157" s="145"/>
      <c r="P157"/>
      <c r="Q157"/>
      <c r="R157"/>
      <c r="S157"/>
      <c r="T157"/>
      <c r="U157"/>
      <c r="V157"/>
      <c r="W157"/>
      <c r="X157"/>
      <c r="Y157"/>
      <c r="Z157"/>
      <c r="AB157"/>
    </row>
    <row r="158" spans="1:28" x14ac:dyDescent="0.25">
      <c r="A158" s="201"/>
      <c r="B158" s="304"/>
      <c r="C158" s="176"/>
      <c r="D158" s="58"/>
      <c r="F158" s="58"/>
      <c r="G158"/>
      <c r="H158" s="58"/>
      <c r="J158" s="58"/>
      <c r="N158" s="145"/>
      <c r="P158"/>
      <c r="Q158"/>
      <c r="R158"/>
      <c r="S158"/>
      <c r="T158"/>
      <c r="U158"/>
      <c r="V158"/>
      <c r="W158"/>
      <c r="X158"/>
      <c r="Y158"/>
      <c r="Z158"/>
      <c r="AB158"/>
    </row>
    <row r="159" spans="1:28" x14ac:dyDescent="0.25">
      <c r="A159" s="201"/>
      <c r="B159" s="304"/>
      <c r="C159" s="176"/>
      <c r="D159" s="58"/>
      <c r="F159" s="58"/>
      <c r="G159"/>
      <c r="H159" s="58"/>
      <c r="J159" s="58"/>
      <c r="N159" s="145"/>
      <c r="P159"/>
      <c r="Q159"/>
      <c r="R159"/>
      <c r="S159"/>
      <c r="T159"/>
      <c r="U159"/>
      <c r="V159"/>
      <c r="W159"/>
      <c r="X159"/>
      <c r="Y159"/>
      <c r="Z159"/>
      <c r="AB159"/>
    </row>
    <row r="160" spans="1:28" x14ac:dyDescent="0.25">
      <c r="A160" s="201"/>
      <c r="B160" s="304"/>
      <c r="C160" s="176"/>
      <c r="D160" s="58"/>
      <c r="F160" s="58"/>
      <c r="G160"/>
      <c r="H160" s="58"/>
      <c r="J160" s="58"/>
      <c r="N160" s="145"/>
      <c r="P160"/>
      <c r="Q160"/>
      <c r="R160"/>
      <c r="S160"/>
      <c r="T160"/>
      <c r="U160"/>
      <c r="V160"/>
      <c r="W160"/>
      <c r="X160"/>
      <c r="Y160"/>
      <c r="Z160"/>
      <c r="AB160"/>
    </row>
    <row r="161" spans="1:28" x14ac:dyDescent="0.25">
      <c r="A161" s="201"/>
      <c r="B161" s="304"/>
      <c r="C161" s="176"/>
      <c r="D161" s="58"/>
      <c r="F161" s="58"/>
      <c r="G161"/>
      <c r="H161" s="58"/>
      <c r="J161" s="58"/>
      <c r="N161" s="145"/>
      <c r="P161"/>
      <c r="Q161"/>
      <c r="R161"/>
      <c r="S161"/>
      <c r="T161"/>
      <c r="U161"/>
      <c r="V161"/>
      <c r="W161"/>
      <c r="X161"/>
      <c r="Y161"/>
      <c r="Z161"/>
      <c r="AB161"/>
    </row>
    <row r="162" spans="1:28" x14ac:dyDescent="0.25">
      <c r="A162" s="202"/>
      <c r="B162" s="304"/>
      <c r="D162" s="58"/>
      <c r="F162" s="58"/>
      <c r="H162" s="58"/>
      <c r="J162" s="58"/>
      <c r="N162" s="145"/>
      <c r="O162"/>
      <c r="P162"/>
      <c r="Q162"/>
      <c r="R162"/>
      <c r="S162"/>
      <c r="T162"/>
      <c r="U162"/>
      <c r="V162"/>
      <c r="W162"/>
      <c r="X162"/>
      <c r="Y162"/>
      <c r="Z162"/>
      <c r="AB162"/>
    </row>
    <row r="163" spans="1:28" x14ac:dyDescent="0.25">
      <c r="A163" s="201"/>
      <c r="B163" s="211"/>
      <c r="D163" s="58"/>
      <c r="F163" s="58"/>
      <c r="H163" s="58"/>
      <c r="J163" s="58"/>
      <c r="N163" s="145"/>
      <c r="O163"/>
      <c r="P163"/>
      <c r="Q163"/>
      <c r="R163"/>
      <c r="S163"/>
      <c r="T163"/>
      <c r="U163"/>
      <c r="V163"/>
      <c r="W163"/>
      <c r="X163"/>
      <c r="Y163"/>
      <c r="Z163"/>
      <c r="AB163"/>
    </row>
    <row r="164" spans="1:28" x14ac:dyDescent="0.25">
      <c r="A164" s="34"/>
      <c r="B164" s="58"/>
      <c r="D164" s="58"/>
      <c r="F164" s="58"/>
      <c r="H164" s="58"/>
      <c r="J164" s="58"/>
      <c r="N164" s="145"/>
      <c r="O164"/>
      <c r="P164"/>
      <c r="Q164"/>
      <c r="R164"/>
      <c r="S164"/>
      <c r="T164"/>
      <c r="U164"/>
      <c r="V164"/>
      <c r="W164"/>
      <c r="X164"/>
      <c r="Y164"/>
      <c r="Z164"/>
      <c r="AB164"/>
    </row>
    <row r="165" spans="1:28" x14ac:dyDescent="0.25">
      <c r="A165" s="34"/>
      <c r="B165" s="58"/>
      <c r="D165" s="58"/>
      <c r="F165" s="58"/>
      <c r="H165" s="58"/>
      <c r="J165" s="58"/>
      <c r="N165" s="145"/>
      <c r="O165"/>
      <c r="P165"/>
      <c r="Q165"/>
      <c r="R165"/>
      <c r="S165"/>
      <c r="T165"/>
      <c r="U165"/>
      <c r="V165"/>
      <c r="W165"/>
      <c r="X165"/>
      <c r="Y165"/>
      <c r="Z165"/>
      <c r="AB165"/>
    </row>
    <row r="166" spans="1:28" x14ac:dyDescent="0.25">
      <c r="A166" s="34"/>
      <c r="B166" s="58"/>
      <c r="D166" s="58"/>
      <c r="F166" s="58"/>
      <c r="H166" s="58"/>
      <c r="J166" s="58"/>
      <c r="N166" s="145"/>
      <c r="O166"/>
      <c r="P166"/>
      <c r="Q166"/>
      <c r="R166"/>
      <c r="S166"/>
      <c r="T166"/>
      <c r="U166"/>
      <c r="V166"/>
      <c r="W166"/>
      <c r="X166"/>
      <c r="Y166"/>
      <c r="Z166"/>
      <c r="AB166"/>
    </row>
    <row r="167" spans="1:28" x14ac:dyDescent="0.25">
      <c r="A167" s="34"/>
      <c r="B167" s="58"/>
      <c r="D167" s="58"/>
      <c r="F167" s="58"/>
      <c r="H167" s="58"/>
      <c r="J167" s="58"/>
      <c r="O167"/>
      <c r="P167"/>
      <c r="Q167"/>
      <c r="R167"/>
      <c r="S167"/>
      <c r="T167"/>
      <c r="U167"/>
      <c r="V167"/>
      <c r="W167"/>
      <c r="X167"/>
      <c r="Y167"/>
      <c r="Z167"/>
      <c r="AB167"/>
    </row>
    <row r="168" spans="1:28" x14ac:dyDescent="0.25">
      <c r="A168" s="34"/>
      <c r="B168" s="58"/>
      <c r="D168" s="58"/>
      <c r="F168" s="58"/>
      <c r="H168" s="58"/>
      <c r="J168" s="58"/>
      <c r="O168"/>
      <c r="P168"/>
      <c r="Q168"/>
      <c r="R168"/>
      <c r="S168"/>
      <c r="T168"/>
      <c r="U168"/>
      <c r="V168"/>
      <c r="W168"/>
      <c r="X168"/>
      <c r="Y168"/>
      <c r="Z168"/>
      <c r="AB168"/>
    </row>
    <row r="169" spans="1:28" x14ac:dyDescent="0.25">
      <c r="A169" s="34"/>
      <c r="B169" s="58"/>
      <c r="D169" s="58"/>
      <c r="F169" s="58"/>
      <c r="H169" s="58"/>
      <c r="J169" s="58"/>
      <c r="O169"/>
      <c r="P169"/>
      <c r="Q169"/>
      <c r="R169"/>
      <c r="S169"/>
      <c r="T169"/>
      <c r="U169"/>
      <c r="V169"/>
      <c r="W169"/>
      <c r="X169"/>
      <c r="Y169"/>
      <c r="Z169"/>
      <c r="AB169"/>
    </row>
    <row r="170" spans="1:28" x14ac:dyDescent="0.25">
      <c r="A170" s="34"/>
      <c r="B170" s="58"/>
      <c r="D170" s="58"/>
      <c r="F170" s="58"/>
      <c r="H170" s="58"/>
      <c r="J170" s="58"/>
      <c r="O170"/>
      <c r="P170"/>
      <c r="Q170"/>
      <c r="R170"/>
      <c r="S170"/>
      <c r="T170"/>
      <c r="U170"/>
      <c r="V170"/>
      <c r="W170"/>
      <c r="X170"/>
      <c r="Y170"/>
      <c r="Z170"/>
      <c r="AB170"/>
    </row>
    <row r="171" spans="1:28" x14ac:dyDescent="0.25">
      <c r="A171" s="54"/>
      <c r="L171" s="53"/>
      <c r="M171" s="54"/>
      <c r="N171" s="288"/>
      <c r="O171"/>
      <c r="P171"/>
      <c r="Q171"/>
      <c r="R171"/>
      <c r="S171"/>
      <c r="T171"/>
      <c r="U171"/>
      <c r="V171"/>
      <c r="W171"/>
      <c r="X171"/>
      <c r="Y171"/>
      <c r="Z171"/>
      <c r="AB171"/>
    </row>
    <row r="172" spans="1:28" s="55" customFormat="1" hidden="1" x14ac:dyDescent="0.25">
      <c r="A172" s="34"/>
      <c r="B172" s="58"/>
      <c r="C172" s="54"/>
      <c r="D172" s="58"/>
      <c r="E172" s="54"/>
      <c r="F172" s="58"/>
      <c r="G172" s="54"/>
      <c r="H172" s="58"/>
      <c r="I172" s="54"/>
      <c r="J172" s="58"/>
      <c r="K172" s="54"/>
      <c r="N172" s="291"/>
      <c r="P172" s="54"/>
      <c r="R172" s="54"/>
      <c r="T172" s="54"/>
      <c r="V172" s="54"/>
      <c r="X172" s="54"/>
      <c r="Z172" s="54"/>
      <c r="AA172"/>
      <c r="AB172" s="54"/>
    </row>
    <row r="173" spans="1:28" x14ac:dyDescent="0.25">
      <c r="B173"/>
      <c r="D173"/>
      <c r="F173"/>
      <c r="H173"/>
      <c r="J173"/>
      <c r="L173"/>
      <c r="M173"/>
      <c r="O173"/>
      <c r="Q173"/>
      <c r="S173"/>
      <c r="U173"/>
      <c r="W173"/>
      <c r="Y173"/>
    </row>
    <row r="174" spans="1:28" x14ac:dyDescent="0.25">
      <c r="B174"/>
      <c r="D174"/>
      <c r="F174"/>
      <c r="H174"/>
      <c r="J174"/>
      <c r="L174"/>
      <c r="M174"/>
      <c r="O174"/>
      <c r="Q174"/>
      <c r="S174"/>
      <c r="U174"/>
      <c r="W174"/>
      <c r="Y174"/>
    </row>
    <row r="175" spans="1:28" x14ac:dyDescent="0.25">
      <c r="B175"/>
      <c r="D175"/>
      <c r="F175"/>
      <c r="H175"/>
      <c r="J175"/>
      <c r="L175"/>
      <c r="M175"/>
      <c r="O175"/>
      <c r="Q175"/>
      <c r="S175"/>
      <c r="U175"/>
      <c r="W175"/>
      <c r="Y175"/>
    </row>
    <row r="176" spans="1:28" x14ac:dyDescent="0.25">
      <c r="B176"/>
      <c r="D176"/>
      <c r="F176"/>
      <c r="H176"/>
      <c r="J176"/>
      <c r="L176"/>
      <c r="M176"/>
      <c r="O176"/>
      <c r="Q176"/>
      <c r="S176"/>
      <c r="U176"/>
      <c r="W176"/>
      <c r="Y176"/>
    </row>
    <row r="177" spans="1:28" x14ac:dyDescent="0.25">
      <c r="B177"/>
      <c r="D177"/>
      <c r="F177"/>
      <c r="H177"/>
      <c r="J177"/>
      <c r="L177"/>
      <c r="M177"/>
      <c r="O177"/>
      <c r="Q177"/>
      <c r="S177"/>
      <c r="U177"/>
      <c r="W177"/>
      <c r="Y177"/>
    </row>
    <row r="178" spans="1:28" x14ac:dyDescent="0.25">
      <c r="B178"/>
      <c r="D178"/>
      <c r="F178"/>
      <c r="H178"/>
      <c r="J178"/>
      <c r="L178"/>
      <c r="M178"/>
      <c r="O178"/>
      <c r="Q178"/>
      <c r="S178"/>
      <c r="U178"/>
      <c r="W178"/>
      <c r="Y178"/>
    </row>
    <row r="179" spans="1:28" x14ac:dyDescent="0.25">
      <c r="B179"/>
      <c r="D179"/>
      <c r="F179"/>
      <c r="H179"/>
      <c r="J179"/>
      <c r="L179"/>
      <c r="M179"/>
      <c r="O179"/>
      <c r="Q179"/>
      <c r="S179"/>
      <c r="U179"/>
      <c r="W179"/>
      <c r="Y179"/>
    </row>
    <row r="180" spans="1:28" x14ac:dyDescent="0.25">
      <c r="B180"/>
      <c r="D180"/>
      <c r="F180"/>
      <c r="H180"/>
      <c r="J180"/>
      <c r="L180"/>
      <c r="M180"/>
      <c r="O180"/>
      <c r="Q180"/>
      <c r="S180"/>
      <c r="U180"/>
      <c r="W180"/>
      <c r="Y180"/>
    </row>
    <row r="181" spans="1:28" x14ac:dyDescent="0.25">
      <c r="B181"/>
      <c r="D181"/>
      <c r="F181"/>
      <c r="H181"/>
      <c r="J181"/>
      <c r="L181"/>
      <c r="M181"/>
      <c r="O181"/>
      <c r="Q181"/>
      <c r="S181"/>
      <c r="U181"/>
      <c r="W181"/>
      <c r="Y181"/>
    </row>
    <row r="182" spans="1:28" x14ac:dyDescent="0.25">
      <c r="B182"/>
      <c r="D182"/>
      <c r="F182"/>
      <c r="H182"/>
      <c r="J182"/>
      <c r="L182"/>
      <c r="M182"/>
      <c r="O182"/>
      <c r="Q182"/>
      <c r="S182"/>
      <c r="U182"/>
      <c r="W182"/>
      <c r="Y182"/>
    </row>
    <row r="183" spans="1:28" x14ac:dyDescent="0.25">
      <c r="B183" s="384"/>
      <c r="C183" s="384"/>
      <c r="D183" s="384"/>
      <c r="E183" s="384"/>
      <c r="F183" s="384"/>
      <c r="G183" s="384"/>
      <c r="H183" s="384"/>
      <c r="I183" s="384"/>
      <c r="J183" s="384"/>
      <c r="K183" s="384"/>
      <c r="L183" s="384"/>
      <c r="M183" s="384"/>
      <c r="N183" s="293"/>
      <c r="O183" s="384"/>
      <c r="P183" s="384"/>
      <c r="Q183" s="384"/>
      <c r="R183" s="384"/>
      <c r="S183" s="384"/>
      <c r="T183" s="384"/>
      <c r="U183"/>
      <c r="V183"/>
      <c r="W183"/>
      <c r="X183"/>
      <c r="Y183"/>
      <c r="Z183"/>
    </row>
    <row r="184" spans="1:28" x14ac:dyDescent="0.25">
      <c r="A184" s="54"/>
      <c r="B184" s="53"/>
      <c r="D184" s="53"/>
      <c r="F184" s="53"/>
      <c r="H184" s="53"/>
      <c r="J184" s="53"/>
      <c r="L184" s="53"/>
      <c r="M184" s="53"/>
      <c r="O184" s="53"/>
      <c r="Q184" s="53"/>
      <c r="S184" s="53"/>
      <c r="U184" s="53"/>
      <c r="W184" s="53"/>
      <c r="Y184" s="53"/>
      <c r="AA184" s="53"/>
    </row>
    <row r="185" spans="1:28" x14ac:dyDescent="0.25">
      <c r="A185" s="54"/>
      <c r="B185" s="53"/>
      <c r="D185" s="53"/>
      <c r="F185" s="53"/>
      <c r="H185" s="53"/>
      <c r="J185" s="53"/>
      <c r="L185" s="53"/>
      <c r="M185" s="53"/>
      <c r="O185" s="53"/>
      <c r="Q185" s="53"/>
      <c r="S185" s="53"/>
      <c r="U185" s="53"/>
      <c r="W185" s="53"/>
      <c r="Y185" s="53"/>
      <c r="AA185" s="53"/>
    </row>
    <row r="186" spans="1:28" x14ac:dyDescent="0.25">
      <c r="A186" s="54"/>
      <c r="B186" s="53"/>
      <c r="D186" s="53"/>
      <c r="F186" s="53"/>
      <c r="H186" s="53"/>
      <c r="J186" s="53"/>
      <c r="L186" s="53"/>
      <c r="M186" s="53"/>
      <c r="O186" s="53"/>
      <c r="Q186" s="53"/>
      <c r="S186" s="53"/>
      <c r="U186" s="53"/>
      <c r="W186" s="53"/>
      <c r="Y186" s="53"/>
      <c r="AA186" s="53"/>
    </row>
    <row r="187" spans="1:28" x14ac:dyDescent="0.25">
      <c r="A187" s="54"/>
      <c r="B187" s="53"/>
      <c r="D187" s="53"/>
      <c r="F187" s="53"/>
      <c r="H187" s="53"/>
      <c r="J187" s="53"/>
      <c r="L187" s="53"/>
      <c r="M187" s="53"/>
      <c r="O187" s="53"/>
      <c r="Q187" s="53"/>
      <c r="S187" s="53"/>
      <c r="U187" s="53"/>
      <c r="W187" s="53"/>
      <c r="Y187" s="53"/>
      <c r="AA187" s="53"/>
    </row>
    <row r="188" spans="1:28" x14ac:dyDescent="0.25">
      <c r="A188" s="54"/>
      <c r="B188" s="53"/>
      <c r="D188" s="53"/>
      <c r="F188" s="53"/>
      <c r="H188" s="53"/>
      <c r="J188" s="53"/>
      <c r="L188" s="53"/>
      <c r="M188" s="53"/>
      <c r="O188" s="53"/>
      <c r="Q188" s="53"/>
      <c r="S188" s="53"/>
      <c r="U188" s="53"/>
      <c r="W188" s="53"/>
      <c r="Y188" s="53"/>
      <c r="AA188" s="53"/>
    </row>
    <row r="189" spans="1:28" x14ac:dyDescent="0.25">
      <c r="A189" s="54"/>
      <c r="B189" s="53"/>
      <c r="D189" s="53"/>
      <c r="F189" s="53"/>
      <c r="H189" s="53"/>
      <c r="J189" s="53"/>
      <c r="L189" s="53"/>
      <c r="M189" s="53"/>
      <c r="O189" s="53"/>
      <c r="Q189" s="53"/>
      <c r="S189" s="53"/>
      <c r="U189" s="53"/>
      <c r="W189" s="53"/>
      <c r="Y189" s="53"/>
      <c r="AA189" s="53"/>
    </row>
    <row r="190" spans="1:28" x14ac:dyDescent="0.25">
      <c r="A190" s="54"/>
      <c r="B190" s="53"/>
      <c r="D190" s="53"/>
      <c r="F190" s="53"/>
      <c r="H190" s="53"/>
      <c r="J190" s="53"/>
      <c r="L190" s="53"/>
      <c r="M190" s="53"/>
      <c r="O190" s="53"/>
      <c r="Q190" s="53"/>
      <c r="S190" s="53"/>
      <c r="U190" s="53"/>
      <c r="W190" s="53"/>
      <c r="Y190" s="53"/>
      <c r="AA190" s="53"/>
    </row>
    <row r="191" spans="1:28" x14ac:dyDescent="0.25">
      <c r="A191" s="72"/>
      <c r="B191" s="71"/>
      <c r="C191" s="72"/>
      <c r="D191" s="71"/>
      <c r="E191" s="72"/>
      <c r="F191" s="71"/>
      <c r="G191" s="72"/>
      <c r="H191" s="71"/>
      <c r="I191" s="72"/>
      <c r="J191" s="71"/>
      <c r="K191" s="72"/>
      <c r="L191" s="71"/>
      <c r="M191" s="71"/>
      <c r="N191" s="292"/>
      <c r="O191" s="71"/>
      <c r="P191" s="72"/>
      <c r="Q191" s="71"/>
      <c r="R191" s="72"/>
      <c r="S191" s="71"/>
      <c r="T191" s="72"/>
      <c r="U191" s="71"/>
      <c r="V191" s="72"/>
      <c r="W191" s="71"/>
      <c r="X191" s="72"/>
      <c r="Y191" s="71"/>
      <c r="Z191" s="72"/>
      <c r="AA191" s="71"/>
      <c r="AB191" s="72"/>
    </row>
    <row r="192" spans="1:28" x14ac:dyDescent="0.25">
      <c r="AA192" s="53"/>
    </row>
    <row r="193" spans="1:28" x14ac:dyDescent="0.25">
      <c r="A193" s="54"/>
    </row>
    <row r="199" spans="1:28" x14ac:dyDescent="0.25">
      <c r="B199"/>
      <c r="C199"/>
      <c r="D199"/>
      <c r="E199"/>
      <c r="F199"/>
      <c r="G199"/>
      <c r="H199"/>
      <c r="I199"/>
      <c r="J199"/>
      <c r="K199"/>
      <c r="L199"/>
      <c r="M199"/>
      <c r="O199"/>
      <c r="P199"/>
      <c r="Q199"/>
      <c r="R199"/>
      <c r="S199"/>
      <c r="T199"/>
      <c r="U199"/>
      <c r="V199"/>
      <c r="W199"/>
      <c r="X199"/>
      <c r="Y199"/>
      <c r="Z199"/>
      <c r="AB199"/>
    </row>
  </sheetData>
  <sheetProtection selectLockedCells="1"/>
  <mergeCells count="65">
    <mergeCell ref="S183:T183"/>
    <mergeCell ref="Q183:R183"/>
    <mergeCell ref="O183:P183"/>
    <mergeCell ref="B183:C183"/>
    <mergeCell ref="F183:G183"/>
    <mergeCell ref="D183:E183"/>
    <mergeCell ref="L183:M183"/>
    <mergeCell ref="J183:K183"/>
    <mergeCell ref="H183:I183"/>
    <mergeCell ref="A3:A4"/>
    <mergeCell ref="B3:C3"/>
    <mergeCell ref="D3:E3"/>
    <mergeCell ref="F3:G3"/>
    <mergeCell ref="AA3:AB3"/>
    <mergeCell ref="O3:P3"/>
    <mergeCell ref="Q3:R3"/>
    <mergeCell ref="S3:T3"/>
    <mergeCell ref="U3:V3"/>
    <mergeCell ref="W3:X3"/>
    <mergeCell ref="Y3:Z3"/>
    <mergeCell ref="L3:M3"/>
    <mergeCell ref="J3:K3"/>
    <mergeCell ref="H3:I3"/>
    <mergeCell ref="A39:A40"/>
    <mergeCell ref="B39:C39"/>
    <mergeCell ref="D39:E39"/>
    <mergeCell ref="F39:G39"/>
    <mergeCell ref="H39:I39"/>
    <mergeCell ref="J39:K39"/>
    <mergeCell ref="L39:M39"/>
    <mergeCell ref="O39:P39"/>
    <mergeCell ref="Q39:R39"/>
    <mergeCell ref="S39:T39"/>
    <mergeCell ref="U39:V39"/>
    <mergeCell ref="W39:X39"/>
    <mergeCell ref="Y39:Z39"/>
    <mergeCell ref="AA39:AB39"/>
    <mergeCell ref="A76:A77"/>
    <mergeCell ref="B76:C76"/>
    <mergeCell ref="D76:E76"/>
    <mergeCell ref="F76:G76"/>
    <mergeCell ref="H76:I76"/>
    <mergeCell ref="J76:K76"/>
    <mergeCell ref="L76:M76"/>
    <mergeCell ref="O76:P76"/>
    <mergeCell ref="Q76:R76"/>
    <mergeCell ref="S76:T76"/>
    <mergeCell ref="U76:V76"/>
    <mergeCell ref="W76:X76"/>
    <mergeCell ref="Y76:Z76"/>
    <mergeCell ref="AA76:AB76"/>
    <mergeCell ref="A109:A110"/>
    <mergeCell ref="B109:C109"/>
    <mergeCell ref="D109:E109"/>
    <mergeCell ref="F109:G109"/>
    <mergeCell ref="H109:I109"/>
    <mergeCell ref="J109:K109"/>
    <mergeCell ref="L109:M109"/>
    <mergeCell ref="O109:P109"/>
    <mergeCell ref="Q109:R109"/>
    <mergeCell ref="S109:T109"/>
    <mergeCell ref="U109:V109"/>
    <mergeCell ref="W109:X109"/>
    <mergeCell ref="Y109:Z109"/>
    <mergeCell ref="AA109:AB109"/>
  </mergeCells>
  <pageMargins left="0.7" right="0.63" top="0.75" bottom="0.57999999999999996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OF FISH TRADED,BROKER</vt:lpstr>
      <vt:lpstr>SOURCE OF FISH UNLOADED BY.F.G</vt:lpstr>
      <vt:lpstr>FISH UNLOADING OVER LND VEHICLS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PC-2</cp:lastModifiedBy>
  <cp:lastPrinted>2021-05-04T01:01:20Z</cp:lastPrinted>
  <dcterms:created xsi:type="dcterms:W3CDTF">2010-07-07T09:12:52Z</dcterms:created>
  <dcterms:modified xsi:type="dcterms:W3CDTF">2023-05-18T02:44:57Z</dcterms:modified>
</cp:coreProperties>
</file>