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30DA3675-E139-4BF6-A0A1-777AB3C6741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OLUME OF FISH TRADED,BROKER" sheetId="1" r:id="rId1"/>
    <sheet name="SOURCE OF FISH UNLOADED BY.F.G" sheetId="2" r:id="rId2"/>
    <sheet name="FISH UNLOADING OVER LND VEHICLS" sheetId="3" r:id="rId3"/>
  </sheets>
  <calcPr calcId="191029"/>
</workbook>
</file>

<file path=xl/calcChain.xml><?xml version="1.0" encoding="utf-8"?>
<calcChain xmlns="http://schemas.openxmlformats.org/spreadsheetml/2006/main">
  <c r="AA114" i="3" l="1"/>
  <c r="AA65" i="3"/>
  <c r="Y117" i="3" l="1"/>
  <c r="AD156" i="3"/>
  <c r="AD152" i="3"/>
  <c r="AD148" i="3"/>
  <c r="AD145" i="3"/>
  <c r="AD142" i="3"/>
  <c r="AD141" i="3"/>
  <c r="AD139" i="3"/>
  <c r="AD137" i="3"/>
  <c r="AD162" i="3" l="1"/>
  <c r="Y24" i="3"/>
  <c r="Y22" i="3"/>
  <c r="Y97" i="3"/>
  <c r="Y88" i="3"/>
  <c r="Y85" i="3"/>
  <c r="Y86" i="3" s="1"/>
  <c r="Z85" i="3" s="1"/>
  <c r="Z86" i="3" s="1"/>
  <c r="Y45" i="3"/>
  <c r="Y44" i="3"/>
  <c r="W30" i="3" l="1"/>
  <c r="X29" i="3" s="1"/>
  <c r="W54" i="3"/>
  <c r="W117" i="3"/>
  <c r="W98" i="3"/>
  <c r="W88" i="3"/>
  <c r="U88" i="3"/>
  <c r="U37" i="3"/>
  <c r="U120" i="3"/>
  <c r="U117" i="3"/>
  <c r="U24" i="3"/>
  <c r="U98" i="3"/>
  <c r="U85" i="3"/>
  <c r="S120" i="3" l="1"/>
  <c r="S117" i="3"/>
  <c r="S98" i="3"/>
  <c r="S88" i="3"/>
  <c r="S85" i="3"/>
  <c r="O63" i="3" l="1"/>
  <c r="P54" i="3" s="1"/>
  <c r="O51" i="3"/>
  <c r="O24" i="3"/>
  <c r="O9" i="3"/>
  <c r="O121" i="3"/>
  <c r="P120" i="3" s="1"/>
  <c r="O115" i="3"/>
  <c r="P114" i="3" s="1"/>
  <c r="O112" i="3"/>
  <c r="P111" i="3" s="1"/>
  <c r="O95" i="3"/>
  <c r="P94" i="3" s="1"/>
  <c r="P95" i="3" s="1"/>
  <c r="O83" i="3"/>
  <c r="P81" i="3" s="1"/>
  <c r="O78" i="3"/>
  <c r="P77" i="3" s="1"/>
  <c r="O67" i="3"/>
  <c r="P65" i="3" s="1"/>
  <c r="O117" i="3"/>
  <c r="O118" i="3" s="1"/>
  <c r="O98" i="3"/>
  <c r="O99" i="3" s="1"/>
  <c r="O88" i="3"/>
  <c r="O89" i="3" s="1"/>
  <c r="O85" i="3"/>
  <c r="O86" i="3" s="1"/>
  <c r="O30" i="3" l="1"/>
  <c r="O125" i="3" s="1"/>
  <c r="P42" i="3"/>
  <c r="Q98" i="3"/>
  <c r="Q54" i="3"/>
  <c r="Q117" i="3"/>
  <c r="Q88" i="3"/>
  <c r="Q85" i="3"/>
  <c r="Q59" i="3"/>
  <c r="P29" i="3" l="1"/>
  <c r="L117" i="3"/>
  <c r="L29" i="3"/>
  <c r="L27" i="3"/>
  <c r="L24" i="3"/>
  <c r="L9" i="3"/>
  <c r="L97" i="3"/>
  <c r="L91" i="3"/>
  <c r="L88" i="3"/>
  <c r="L85" i="3"/>
  <c r="L61" i="3"/>
  <c r="J24" i="3" l="1"/>
  <c r="J103" i="3"/>
  <c r="K102" i="3" s="1"/>
  <c r="J95" i="3"/>
  <c r="J92" i="3"/>
  <c r="J83" i="3"/>
  <c r="K81" i="3" s="1"/>
  <c r="J78" i="3"/>
  <c r="J63" i="3"/>
  <c r="K54" i="3" s="1"/>
  <c r="J51" i="3"/>
  <c r="K42" i="3" s="1"/>
  <c r="J98" i="3"/>
  <c r="J99" i="3" s="1"/>
  <c r="J117" i="3"/>
  <c r="J118" i="3" s="1"/>
  <c r="J120" i="3"/>
  <c r="J25" i="3"/>
  <c r="J22" i="3"/>
  <c r="J15" i="3"/>
  <c r="J8" i="3"/>
  <c r="K91" i="3"/>
  <c r="K92" i="3" s="1"/>
  <c r="J88" i="3"/>
  <c r="J89" i="3" s="1"/>
  <c r="J85" i="3"/>
  <c r="J86" i="3" s="1"/>
  <c r="K77" i="3"/>
  <c r="J66" i="3"/>
  <c r="H117" i="3"/>
  <c r="H24" i="3"/>
  <c r="H20" i="3"/>
  <c r="H88" i="3"/>
  <c r="H81" i="3"/>
  <c r="H83" i="3" s="1"/>
  <c r="H59" i="3"/>
  <c r="H58" i="3"/>
  <c r="H56" i="3"/>
  <c r="J67" i="3" l="1"/>
  <c r="K66" i="3" s="1"/>
  <c r="AA66" i="3"/>
  <c r="AA67" i="3" s="1"/>
  <c r="H30" i="3"/>
  <c r="I29" i="3" s="1"/>
  <c r="J30" i="3"/>
  <c r="K29" i="3" s="1"/>
  <c r="H63" i="3"/>
  <c r="I54" i="3" s="1"/>
  <c r="J121" i="3"/>
  <c r="K120" i="3" s="1"/>
  <c r="I81" i="3"/>
  <c r="I80" i="3"/>
  <c r="F120" i="3"/>
  <c r="F95" i="3"/>
  <c r="G94" i="3" s="1"/>
  <c r="G95" i="3" s="1"/>
  <c r="F117" i="3"/>
  <c r="F22" i="3"/>
  <c r="F16" i="3"/>
  <c r="F91" i="3"/>
  <c r="F88" i="3"/>
  <c r="F85" i="3"/>
  <c r="F77" i="3"/>
  <c r="F42" i="3"/>
  <c r="D16" i="3"/>
  <c r="D117" i="3"/>
  <c r="D88" i="3"/>
  <c r="D85" i="3"/>
  <c r="D42" i="3"/>
  <c r="I83" i="3" l="1"/>
  <c r="B117" i="3"/>
  <c r="B111" i="3"/>
  <c r="B97" i="3"/>
  <c r="B92" i="3"/>
  <c r="B88" i="3"/>
  <c r="B85" i="3"/>
  <c r="B56" i="3"/>
  <c r="B43" i="3"/>
  <c r="C91" i="3" l="1"/>
  <c r="C92" i="3" s="1"/>
  <c r="AA123" i="3"/>
  <c r="AA120" i="3"/>
  <c r="AA121" i="3" s="1"/>
  <c r="AA117" i="3"/>
  <c r="AA118" i="3" s="1"/>
  <c r="AA111" i="3"/>
  <c r="AA102" i="3"/>
  <c r="AA101" i="3"/>
  <c r="AA98" i="3"/>
  <c r="AA97" i="3"/>
  <c r="AA94" i="3"/>
  <c r="AA91" i="3"/>
  <c r="AA85" i="3"/>
  <c r="AA82" i="3"/>
  <c r="AA81" i="3"/>
  <c r="AA80" i="3"/>
  <c r="AA77" i="3"/>
  <c r="AA62" i="3"/>
  <c r="AA61" i="3"/>
  <c r="AA60" i="3"/>
  <c r="AA59" i="3"/>
  <c r="AA58" i="3"/>
  <c r="AA57" i="3"/>
  <c r="AA56" i="3"/>
  <c r="AA55" i="3"/>
  <c r="AA54" i="3"/>
  <c r="AA53" i="3"/>
  <c r="AA50" i="3"/>
  <c r="AA49" i="3"/>
  <c r="AA48" i="3"/>
  <c r="AA47" i="3"/>
  <c r="AA46" i="3"/>
  <c r="AA45" i="3"/>
  <c r="AA44" i="3"/>
  <c r="AA43" i="3"/>
  <c r="AA42" i="3"/>
  <c r="AA41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Y92" i="3"/>
  <c r="Z91" i="3" s="1"/>
  <c r="Z92" i="3" s="1"/>
  <c r="Y83" i="3"/>
  <c r="Y78" i="3"/>
  <c r="Z77" i="3" s="1"/>
  <c r="Z78" i="3" s="1"/>
  <c r="Y51" i="3"/>
  <c r="W92" i="3"/>
  <c r="X91" i="3" s="1"/>
  <c r="X92" i="3" s="1"/>
  <c r="W86" i="3"/>
  <c r="X85" i="3" s="1"/>
  <c r="W83" i="3"/>
  <c r="W78" i="3"/>
  <c r="X77" i="3" s="1"/>
  <c r="X78" i="3" s="1"/>
  <c r="X103" i="3"/>
  <c r="W103" i="3"/>
  <c r="W89" i="3"/>
  <c r="X88" i="3" s="1"/>
  <c r="X89" i="3" s="1"/>
  <c r="W51" i="3"/>
  <c r="AA30" i="3" l="1"/>
  <c r="AA99" i="3"/>
  <c r="AA103" i="3"/>
  <c r="AA83" i="3"/>
  <c r="AA63" i="3"/>
  <c r="AA51" i="3"/>
  <c r="X50" i="3"/>
  <c r="X42" i="3"/>
  <c r="Z80" i="3"/>
  <c r="Z81" i="3"/>
  <c r="X80" i="3"/>
  <c r="X81" i="3"/>
  <c r="Z50" i="3"/>
  <c r="Z42" i="3"/>
  <c r="Z44" i="3"/>
  <c r="Z45" i="3"/>
  <c r="Z41" i="3"/>
  <c r="Z43" i="3"/>
  <c r="X44" i="3"/>
  <c r="X45" i="3"/>
  <c r="X41" i="3"/>
  <c r="X43" i="3"/>
  <c r="AB101" i="3"/>
  <c r="Y89" i="3"/>
  <c r="Z88" i="3" s="1"/>
  <c r="Z89" i="3" s="1"/>
  <c r="X86" i="3"/>
  <c r="U30" i="3"/>
  <c r="V29" i="3" s="1"/>
  <c r="V92" i="3"/>
  <c r="U92" i="3"/>
  <c r="U89" i="3"/>
  <c r="V88" i="3" s="1"/>
  <c r="V89" i="3" s="1"/>
  <c r="U86" i="3"/>
  <c r="U83" i="3"/>
  <c r="V78" i="3"/>
  <c r="U78" i="3"/>
  <c r="U63" i="3"/>
  <c r="V54" i="3" s="1"/>
  <c r="U51" i="3"/>
  <c r="Z83" i="3" l="1"/>
  <c r="Z51" i="3"/>
  <c r="V85" i="3"/>
  <c r="V86" i="3" s="1"/>
  <c r="X83" i="3"/>
  <c r="V80" i="3"/>
  <c r="V81" i="3"/>
  <c r="V42" i="3"/>
  <c r="V27" i="3"/>
  <c r="V28" i="3"/>
  <c r="V25" i="3"/>
  <c r="V26" i="3"/>
  <c r="V23" i="3"/>
  <c r="V24" i="3"/>
  <c r="V20" i="3"/>
  <c r="V22" i="3"/>
  <c r="V18" i="3"/>
  <c r="V19" i="3"/>
  <c r="V16" i="3"/>
  <c r="V17" i="3"/>
  <c r="V14" i="3"/>
  <c r="V15" i="3"/>
  <c r="V11" i="3"/>
  <c r="V13" i="3"/>
  <c r="V8" i="3"/>
  <c r="V9" i="3"/>
  <c r="V60" i="3"/>
  <c r="V57" i="3"/>
  <c r="V61" i="3"/>
  <c r="V59" i="3"/>
  <c r="V56" i="3"/>
  <c r="V58" i="3"/>
  <c r="V45" i="3"/>
  <c r="V50" i="3"/>
  <c r="V43" i="3"/>
  <c r="V44" i="3"/>
  <c r="S121" i="3"/>
  <c r="T120" i="3" s="1"/>
  <c r="T121" i="3" s="1"/>
  <c r="S118" i="3"/>
  <c r="T117" i="3" s="1"/>
  <c r="T118" i="3" s="1"/>
  <c r="S115" i="3"/>
  <c r="T114" i="3" s="1"/>
  <c r="T115" i="3" s="1"/>
  <c r="S112" i="3"/>
  <c r="T111" i="3" s="1"/>
  <c r="T112" i="3" s="1"/>
  <c r="S99" i="3"/>
  <c r="T98" i="3" s="1"/>
  <c r="T99" i="3" s="1"/>
  <c r="T95" i="3"/>
  <c r="S95" i="3"/>
  <c r="T92" i="3"/>
  <c r="S92" i="3"/>
  <c r="S89" i="3"/>
  <c r="T88" i="3" s="1"/>
  <c r="T89" i="3" s="1"/>
  <c r="S86" i="3"/>
  <c r="T85" i="3" s="1"/>
  <c r="T86" i="3" s="1"/>
  <c r="S83" i="3"/>
  <c r="T78" i="3"/>
  <c r="S78" i="3"/>
  <c r="T67" i="3"/>
  <c r="S67" i="3"/>
  <c r="S63" i="3"/>
  <c r="S51" i="3"/>
  <c r="T42" i="3" s="1"/>
  <c r="S30" i="3"/>
  <c r="P92" i="3"/>
  <c r="O92" i="3"/>
  <c r="P85" i="3"/>
  <c r="P86" i="3" s="1"/>
  <c r="P78" i="3"/>
  <c r="V83" i="3" l="1"/>
  <c r="T80" i="3"/>
  <c r="T81" i="3"/>
  <c r="T57" i="3"/>
  <c r="T54" i="3"/>
  <c r="T27" i="3"/>
  <c r="T29" i="3"/>
  <c r="T24" i="3"/>
  <c r="T26" i="3"/>
  <c r="T22" i="3"/>
  <c r="T23" i="3"/>
  <c r="T20" i="3"/>
  <c r="T21" i="3"/>
  <c r="T18" i="3"/>
  <c r="T19" i="3"/>
  <c r="T16" i="3"/>
  <c r="T17" i="3"/>
  <c r="T14" i="3"/>
  <c r="T15" i="3"/>
  <c r="T11" i="3"/>
  <c r="T13" i="3"/>
  <c r="T8" i="3"/>
  <c r="T9" i="3"/>
  <c r="T59" i="3"/>
  <c r="T60" i="3"/>
  <c r="T55" i="3"/>
  <c r="T61" i="3"/>
  <c r="T48" i="3"/>
  <c r="T50" i="3"/>
  <c r="T43" i="3"/>
  <c r="T45" i="3"/>
  <c r="P80" i="3"/>
  <c r="P83" i="3" s="1"/>
  <c r="P45" i="3"/>
  <c r="P50" i="3"/>
  <c r="P43" i="3"/>
  <c r="P44" i="3"/>
  <c r="S125" i="3"/>
  <c r="Q63" i="3"/>
  <c r="Q51" i="3"/>
  <c r="Q67" i="3"/>
  <c r="Q78" i="3"/>
  <c r="R78" i="3" s="1"/>
  <c r="Q115" i="3"/>
  <c r="R114" i="3" s="1"/>
  <c r="Q89" i="3"/>
  <c r="P121" i="3"/>
  <c r="P115" i="3"/>
  <c r="Q121" i="3"/>
  <c r="R120" i="3" s="1"/>
  <c r="Q83" i="3"/>
  <c r="Q86" i="3"/>
  <c r="R85" i="3" s="1"/>
  <c r="Q103" i="3"/>
  <c r="Q118" i="3"/>
  <c r="R117" i="3" s="1"/>
  <c r="T83" i="3" l="1"/>
  <c r="T63" i="3"/>
  <c r="T51" i="3"/>
  <c r="P117" i="3"/>
  <c r="P118" i="3" s="1"/>
  <c r="P23" i="3"/>
  <c r="P27" i="3"/>
  <c r="P20" i="3"/>
  <c r="P22" i="3"/>
  <c r="P18" i="3"/>
  <c r="P19" i="3"/>
  <c r="P16" i="3"/>
  <c r="P17" i="3"/>
  <c r="P13" i="3"/>
  <c r="P15" i="3"/>
  <c r="P9" i="3"/>
  <c r="P11" i="3"/>
  <c r="P24" i="3"/>
  <c r="P8" i="3"/>
  <c r="P88" i="3"/>
  <c r="P89" i="3" s="1"/>
  <c r="R65" i="3"/>
  <c r="R66" i="3"/>
  <c r="R80" i="3"/>
  <c r="R81" i="3"/>
  <c r="R50" i="3"/>
  <c r="R42" i="3"/>
  <c r="R60" i="3"/>
  <c r="R57" i="3"/>
  <c r="R88" i="3"/>
  <c r="R89" i="3" s="1"/>
  <c r="R54" i="3"/>
  <c r="R59" i="3"/>
  <c r="R53" i="3"/>
  <c r="R61" i="3"/>
  <c r="R43" i="3"/>
  <c r="R45" i="3"/>
  <c r="P51" i="3"/>
  <c r="R103" i="3"/>
  <c r="Q99" i="3"/>
  <c r="Q30" i="3"/>
  <c r="R29" i="3" s="1"/>
  <c r="R86" i="3"/>
  <c r="L95" i="3"/>
  <c r="L92" i="3"/>
  <c r="L89" i="3"/>
  <c r="L86" i="3"/>
  <c r="B83" i="3"/>
  <c r="L83" i="3"/>
  <c r="M81" i="3" s="1"/>
  <c r="L78" i="3"/>
  <c r="M77" i="3" s="1"/>
  <c r="M78" i="3" s="1"/>
  <c r="K85" i="3"/>
  <c r="K80" i="3"/>
  <c r="K78" i="3"/>
  <c r="K50" i="3"/>
  <c r="C82" i="3" l="1"/>
  <c r="M94" i="3"/>
  <c r="M95" i="3" s="1"/>
  <c r="M91" i="3"/>
  <c r="M92" i="3" s="1"/>
  <c r="R98" i="3"/>
  <c r="R25" i="3"/>
  <c r="R27" i="3"/>
  <c r="R23" i="3"/>
  <c r="R24" i="3"/>
  <c r="R21" i="3"/>
  <c r="R22" i="3"/>
  <c r="R19" i="3"/>
  <c r="R20" i="3"/>
  <c r="R17" i="3"/>
  <c r="R18" i="3"/>
  <c r="R15" i="3"/>
  <c r="R16" i="3"/>
  <c r="R13" i="3"/>
  <c r="R14" i="3"/>
  <c r="R9" i="3"/>
  <c r="R11" i="3"/>
  <c r="R8" i="3"/>
  <c r="M88" i="3"/>
  <c r="M89" i="3" s="1"/>
  <c r="M85" i="3"/>
  <c r="M86" i="3" s="1"/>
  <c r="M80" i="3"/>
  <c r="M83" i="3" s="1"/>
  <c r="K94" i="3"/>
  <c r="K95" i="3" s="1"/>
  <c r="J125" i="3"/>
  <c r="K88" i="3"/>
  <c r="K89" i="3" s="1"/>
  <c r="K43" i="3"/>
  <c r="K44" i="3"/>
  <c r="C80" i="3"/>
  <c r="C81" i="3"/>
  <c r="P30" i="3"/>
  <c r="L30" i="3"/>
  <c r="R83" i="3"/>
  <c r="K86" i="3"/>
  <c r="K83" i="3"/>
  <c r="H95" i="3"/>
  <c r="I95" i="3" s="1"/>
  <c r="H92" i="3"/>
  <c r="H51" i="3"/>
  <c r="I50" i="3" s="1"/>
  <c r="H89" i="3"/>
  <c r="I88" i="3" s="1"/>
  <c r="H86" i="3"/>
  <c r="I85" i="3" s="1"/>
  <c r="H78" i="3"/>
  <c r="F30" i="3"/>
  <c r="F121" i="3"/>
  <c r="G120" i="3" s="1"/>
  <c r="F118" i="3"/>
  <c r="G117" i="3" s="1"/>
  <c r="I77" i="3" l="1"/>
  <c r="I78" i="3" s="1"/>
  <c r="M27" i="3"/>
  <c r="M29" i="3"/>
  <c r="I91" i="3"/>
  <c r="I92" i="3" s="1"/>
  <c r="G27" i="3"/>
  <c r="G29" i="3"/>
  <c r="M22" i="3"/>
  <c r="M23" i="3"/>
  <c r="M19" i="3"/>
  <c r="M20" i="3"/>
  <c r="M17" i="3"/>
  <c r="M18" i="3"/>
  <c r="M15" i="3"/>
  <c r="M16" i="3"/>
  <c r="M9" i="3"/>
  <c r="M11" i="3"/>
  <c r="M8" i="3"/>
  <c r="M24" i="3"/>
  <c r="I60" i="3"/>
  <c r="I57" i="3"/>
  <c r="I23" i="3"/>
  <c r="I27" i="3"/>
  <c r="I21" i="3"/>
  <c r="I22" i="3"/>
  <c r="I19" i="3"/>
  <c r="I20" i="3"/>
  <c r="I17" i="3"/>
  <c r="I18" i="3"/>
  <c r="I15" i="3"/>
  <c r="I16" i="3"/>
  <c r="I12" i="3"/>
  <c r="I13" i="3"/>
  <c r="I9" i="3"/>
  <c r="I11" i="3"/>
  <c r="I24" i="3"/>
  <c r="I8" i="3"/>
  <c r="I61" i="3"/>
  <c r="I59" i="3"/>
  <c r="I56" i="3"/>
  <c r="I58" i="3"/>
  <c r="I43" i="3"/>
  <c r="I44" i="3"/>
  <c r="G23" i="3"/>
  <c r="G24" i="3"/>
  <c r="G20" i="3"/>
  <c r="G21" i="3"/>
  <c r="G18" i="3"/>
  <c r="G19" i="3"/>
  <c r="G16" i="3"/>
  <c r="G17" i="3"/>
  <c r="G13" i="3"/>
  <c r="G15" i="3"/>
  <c r="G11" i="3"/>
  <c r="G12" i="3"/>
  <c r="G8" i="3"/>
  <c r="G9" i="3"/>
  <c r="G10" i="3"/>
  <c r="G22" i="3"/>
  <c r="H99" i="3"/>
  <c r="I98" i="3" s="1"/>
  <c r="I89" i="3"/>
  <c r="I86" i="3"/>
  <c r="F99" i="3"/>
  <c r="G97" i="3" s="1"/>
  <c r="F92" i="3"/>
  <c r="F89" i="3"/>
  <c r="G88" i="3" s="1"/>
  <c r="F86" i="3"/>
  <c r="G85" i="3" s="1"/>
  <c r="F83" i="3"/>
  <c r="G81" i="3" s="1"/>
  <c r="F78" i="3"/>
  <c r="F67" i="3"/>
  <c r="F51" i="3"/>
  <c r="D121" i="3"/>
  <c r="E120" i="3" s="1"/>
  <c r="D99" i="3"/>
  <c r="D95" i="3"/>
  <c r="D51" i="3"/>
  <c r="E42" i="3" s="1"/>
  <c r="D67" i="3"/>
  <c r="E66" i="3" s="1"/>
  <c r="D78" i="3"/>
  <c r="D83" i="3"/>
  <c r="D92" i="3"/>
  <c r="AD92" i="3" s="1"/>
  <c r="D103" i="3"/>
  <c r="D86" i="3"/>
  <c r="D63" i="3"/>
  <c r="B51" i="3"/>
  <c r="E81" i="3" l="1"/>
  <c r="AD83" i="3"/>
  <c r="G65" i="3"/>
  <c r="G67" i="3" s="1"/>
  <c r="E97" i="3"/>
  <c r="E98" i="3"/>
  <c r="E91" i="3"/>
  <c r="E92" i="3" s="1"/>
  <c r="I30" i="3"/>
  <c r="E77" i="3"/>
  <c r="E78" i="3" s="1"/>
  <c r="G77" i="3"/>
  <c r="G78" i="3" s="1"/>
  <c r="E57" i="3"/>
  <c r="E54" i="3"/>
  <c r="G91" i="3"/>
  <c r="G92" i="3" s="1"/>
  <c r="G50" i="3"/>
  <c r="G42" i="3"/>
  <c r="G80" i="3"/>
  <c r="G83" i="3" s="1"/>
  <c r="G47" i="3"/>
  <c r="G48" i="3"/>
  <c r="G43" i="3"/>
  <c r="G46" i="3"/>
  <c r="E85" i="3"/>
  <c r="E86" i="3" s="1"/>
  <c r="E80" i="3"/>
  <c r="E83" i="3" s="1"/>
  <c r="E59" i="3"/>
  <c r="E60" i="3"/>
  <c r="E61" i="3"/>
  <c r="E62" i="3"/>
  <c r="E56" i="3"/>
  <c r="E58" i="3"/>
  <c r="E49" i="3"/>
  <c r="E50" i="3"/>
  <c r="E43" i="3"/>
  <c r="E45" i="3"/>
  <c r="C43" i="3"/>
  <c r="C50" i="3"/>
  <c r="C42" i="3"/>
  <c r="C45" i="3"/>
  <c r="D30" i="3"/>
  <c r="D118" i="3"/>
  <c r="E117" i="3" s="1"/>
  <c r="D89" i="3"/>
  <c r="G86" i="3"/>
  <c r="E95" i="3"/>
  <c r="G89" i="3"/>
  <c r="B103" i="3"/>
  <c r="B78" i="3"/>
  <c r="B67" i="3"/>
  <c r="B63" i="3"/>
  <c r="C54" i="3" s="1"/>
  <c r="B99" i="3"/>
  <c r="B89" i="3"/>
  <c r="B95" i="3"/>
  <c r="B118" i="3"/>
  <c r="B121" i="3"/>
  <c r="B30" i="3"/>
  <c r="C117" i="3" l="1"/>
  <c r="C94" i="3"/>
  <c r="C95" i="3" s="1"/>
  <c r="AD95" i="3"/>
  <c r="C66" i="3"/>
  <c r="C88" i="3"/>
  <c r="C89" i="3" s="1"/>
  <c r="AD89" i="3"/>
  <c r="C77" i="3"/>
  <c r="AD78" i="3"/>
  <c r="C120" i="3"/>
  <c r="C29" i="3"/>
  <c r="E27" i="3"/>
  <c r="E29" i="3"/>
  <c r="E24" i="3"/>
  <c r="E26" i="3"/>
  <c r="E22" i="3"/>
  <c r="E23" i="3"/>
  <c r="E19" i="3"/>
  <c r="E20" i="3"/>
  <c r="E17" i="3"/>
  <c r="E18" i="3"/>
  <c r="E13" i="3"/>
  <c r="E15" i="3"/>
  <c r="E9" i="3"/>
  <c r="E11" i="3"/>
  <c r="E16" i="3"/>
  <c r="E8" i="3"/>
  <c r="E88" i="3"/>
  <c r="E89" i="3" s="1"/>
  <c r="C60" i="3"/>
  <c r="C57" i="3"/>
  <c r="C27" i="3"/>
  <c r="C28" i="3"/>
  <c r="C24" i="3"/>
  <c r="C25" i="3"/>
  <c r="C22" i="3"/>
  <c r="C23" i="3"/>
  <c r="C19" i="3"/>
  <c r="C20" i="3"/>
  <c r="C17" i="3"/>
  <c r="C18" i="3"/>
  <c r="C15" i="3"/>
  <c r="C16" i="3"/>
  <c r="C11" i="3"/>
  <c r="C13" i="3"/>
  <c r="C8" i="3"/>
  <c r="C9" i="3"/>
  <c r="C98" i="3"/>
  <c r="C97" i="3"/>
  <c r="C61" i="3"/>
  <c r="C59" i="3"/>
  <c r="C56" i="3"/>
  <c r="C58" i="3"/>
  <c r="B86" i="3"/>
  <c r="AD86" i="3" s="1"/>
  <c r="C78" i="3"/>
  <c r="C85" i="3" l="1"/>
  <c r="C86" i="3" s="1"/>
  <c r="C83" i="3"/>
  <c r="Q209" i="3"/>
  <c r="B208" i="3"/>
  <c r="D208" i="3"/>
  <c r="F208" i="3"/>
  <c r="Q208" i="3"/>
  <c r="S208" i="3"/>
  <c r="U208" i="3"/>
  <c r="W208" i="3"/>
  <c r="Y208" i="3"/>
  <c r="AA205" i="3"/>
  <c r="AA206" i="3"/>
  <c r="AA207" i="3"/>
  <c r="AA208" i="3"/>
  <c r="AA209" i="3"/>
  <c r="AA210" i="3"/>
  <c r="AA211" i="3"/>
  <c r="AA212" i="3" l="1"/>
  <c r="AB211" i="3" s="1"/>
  <c r="L208" i="3"/>
  <c r="H208" i="3"/>
  <c r="J208" i="3"/>
  <c r="Y67" i="3"/>
  <c r="U67" i="3"/>
  <c r="L67" i="3"/>
  <c r="Z65" i="3" l="1"/>
  <c r="Z66" i="3"/>
  <c r="V66" i="3"/>
  <c r="M65" i="3"/>
  <c r="M66" i="3"/>
  <c r="AB209" i="3"/>
  <c r="AB207" i="3"/>
  <c r="AB208" i="3"/>
  <c r="AB206" i="3"/>
  <c r="AB210" i="3"/>
  <c r="AB205" i="3"/>
  <c r="Y63" i="3"/>
  <c r="Z54" i="3" l="1"/>
  <c r="Z60" i="3"/>
  <c r="Z57" i="3"/>
  <c r="Z61" i="3"/>
  <c r="Z59" i="3"/>
  <c r="Z56" i="3"/>
  <c r="Z58" i="3"/>
  <c r="P60" i="3"/>
  <c r="P57" i="3"/>
  <c r="P61" i="3"/>
  <c r="P59" i="3"/>
  <c r="P56" i="3"/>
  <c r="P58" i="3"/>
  <c r="K60" i="3"/>
  <c r="K57" i="3"/>
  <c r="K61" i="3"/>
  <c r="K59" i="3"/>
  <c r="Y207" i="3"/>
  <c r="U207" i="3"/>
  <c r="V63" i="3"/>
  <c r="S207" i="3"/>
  <c r="AB212" i="3"/>
  <c r="Q207" i="3"/>
  <c r="J207" i="3"/>
  <c r="H207" i="3"/>
  <c r="D207" i="3"/>
  <c r="B207" i="3"/>
  <c r="Y99" i="3"/>
  <c r="Z97" i="3" s="1"/>
  <c r="Y121" i="3"/>
  <c r="Y118" i="3"/>
  <c r="Y206" i="3"/>
  <c r="Y30" i="3"/>
  <c r="W99" i="3"/>
  <c r="X98" i="3" s="1"/>
  <c r="W112" i="3"/>
  <c r="W67" i="3"/>
  <c r="W121" i="3"/>
  <c r="W118" i="3"/>
  <c r="X117" i="3" s="1"/>
  <c r="W63" i="3"/>
  <c r="Z29" i="3" l="1"/>
  <c r="AD30" i="3"/>
  <c r="X120" i="3"/>
  <c r="X111" i="3"/>
  <c r="Z120" i="3"/>
  <c r="X65" i="3"/>
  <c r="X66" i="3"/>
  <c r="X57" i="3"/>
  <c r="Z117" i="3"/>
  <c r="Z23" i="3"/>
  <c r="Z27" i="3"/>
  <c r="Z19" i="3"/>
  <c r="Z20" i="3"/>
  <c r="Z16" i="3"/>
  <c r="Z18" i="3"/>
  <c r="Z14" i="3"/>
  <c r="Z15" i="3"/>
  <c r="Z11" i="3"/>
  <c r="Z13" i="3"/>
  <c r="Z8" i="3"/>
  <c r="Z9" i="3"/>
  <c r="Z24" i="3"/>
  <c r="Z22" i="3"/>
  <c r="X27" i="3"/>
  <c r="X28" i="3"/>
  <c r="X24" i="3"/>
  <c r="X26" i="3"/>
  <c r="X22" i="3"/>
  <c r="X23" i="3"/>
  <c r="X19" i="3"/>
  <c r="X20" i="3"/>
  <c r="X17" i="3"/>
  <c r="X18" i="3"/>
  <c r="X15" i="3"/>
  <c r="X16" i="3"/>
  <c r="X13" i="3"/>
  <c r="X14" i="3"/>
  <c r="X9" i="3"/>
  <c r="X11" i="3"/>
  <c r="X8" i="3"/>
  <c r="X59" i="3"/>
  <c r="X60" i="3"/>
  <c r="X58" i="3"/>
  <c r="X61" i="3"/>
  <c r="X54" i="3"/>
  <c r="X56" i="3"/>
  <c r="Y205" i="3"/>
  <c r="Z99" i="3"/>
  <c r="W205" i="3"/>
  <c r="W207" i="3"/>
  <c r="U206" i="3"/>
  <c r="W210" i="3"/>
  <c r="W206" i="3"/>
  <c r="Y209" i="3"/>
  <c r="V51" i="3" l="1"/>
  <c r="Y212" i="3"/>
  <c r="Z205" i="3" s="1"/>
  <c r="S210" i="3"/>
  <c r="W209" i="3"/>
  <c r="U209" i="3"/>
  <c r="W212" i="3"/>
  <c r="X208" i="3" s="1"/>
  <c r="S103" i="3"/>
  <c r="Z209" i="3" l="1"/>
  <c r="X206" i="3"/>
  <c r="X209" i="3"/>
  <c r="X210" i="3"/>
  <c r="X207" i="3"/>
  <c r="X205" i="3"/>
  <c r="S209" i="3"/>
  <c r="S206" i="3"/>
  <c r="Z208" i="3"/>
  <c r="Z207" i="3"/>
  <c r="Z206" i="3"/>
  <c r="T103" i="3"/>
  <c r="Q112" i="3"/>
  <c r="R111" i="3" l="1"/>
  <c r="Q125" i="3"/>
  <c r="Q206" i="3"/>
  <c r="Q205" i="3"/>
  <c r="L51" i="3"/>
  <c r="M42" i="3" s="1"/>
  <c r="M103" i="3"/>
  <c r="L121" i="3"/>
  <c r="M120" i="3" s="1"/>
  <c r="L118" i="3"/>
  <c r="M117" i="3" s="1"/>
  <c r="L99" i="3"/>
  <c r="M97" i="3" l="1"/>
  <c r="M48" i="3"/>
  <c r="M50" i="3"/>
  <c r="M43" i="3"/>
  <c r="M46" i="3"/>
  <c r="L205" i="3"/>
  <c r="L206" i="3"/>
  <c r="Q212" i="3"/>
  <c r="L63" i="3"/>
  <c r="M54" i="3" s="1"/>
  <c r="M60" i="3" l="1"/>
  <c r="M57" i="3"/>
  <c r="M61" i="3"/>
  <c r="M59" i="3"/>
  <c r="M56" i="3"/>
  <c r="M58" i="3"/>
  <c r="M30" i="3"/>
  <c r="L207" i="3"/>
  <c r="R209" i="3"/>
  <c r="R208" i="3"/>
  <c r="R207" i="3"/>
  <c r="R205" i="3"/>
  <c r="R206" i="3"/>
  <c r="F112" i="3"/>
  <c r="F103" i="3"/>
  <c r="AB41" i="3"/>
  <c r="G101" i="3" l="1"/>
  <c r="G103" i="3" s="1"/>
  <c r="H206" i="3"/>
  <c r="H205" i="3"/>
  <c r="F205" i="3"/>
  <c r="G30" i="3"/>
  <c r="F206" i="3"/>
  <c r="B205" i="3"/>
  <c r="B206" i="3"/>
  <c r="F210" i="3"/>
  <c r="J206" i="3"/>
  <c r="L209" i="3"/>
  <c r="L212" i="3" s="1"/>
  <c r="F63" i="3"/>
  <c r="AB98" i="3"/>
  <c r="H67" i="3"/>
  <c r="AD67" i="3" s="1"/>
  <c r="I65" i="3" l="1"/>
  <c r="I66" i="3"/>
  <c r="G54" i="3"/>
  <c r="F125" i="3"/>
  <c r="G60" i="3"/>
  <c r="G57" i="3"/>
  <c r="G61" i="3"/>
  <c r="G59" i="3"/>
  <c r="G56" i="3"/>
  <c r="G58" i="3"/>
  <c r="F207" i="3"/>
  <c r="F212" i="3" s="1"/>
  <c r="G208" i="3" s="1"/>
  <c r="E30" i="3"/>
  <c r="H209" i="3"/>
  <c r="AD51" i="3"/>
  <c r="H212" i="3"/>
  <c r="I205" i="3" s="1"/>
  <c r="D205" i="3"/>
  <c r="F209" i="3"/>
  <c r="AA86" i="3"/>
  <c r="AB85" i="3" s="1"/>
  <c r="AB43" i="3"/>
  <c r="I209" i="3" l="1"/>
  <c r="G205" i="3"/>
  <c r="I208" i="3"/>
  <c r="I207" i="3"/>
  <c r="G207" i="3"/>
  <c r="I206" i="3"/>
  <c r="G209" i="3"/>
  <c r="G210" i="3"/>
  <c r="G206" i="3"/>
  <c r="D206" i="3"/>
  <c r="U99" i="3"/>
  <c r="AD99" i="3" s="1"/>
  <c r="U103" i="3"/>
  <c r="V98" i="3" l="1"/>
  <c r="U205" i="3"/>
  <c r="V103" i="3"/>
  <c r="V30" i="3" l="1"/>
  <c r="U212" i="3"/>
  <c r="O103" i="3"/>
  <c r="P98" i="3"/>
  <c r="V208" i="3" l="1"/>
  <c r="V207" i="3"/>
  <c r="V206" i="3"/>
  <c r="V209" i="3"/>
  <c r="P99" i="3"/>
  <c r="V205" i="3"/>
  <c r="L112" i="3" l="1"/>
  <c r="L103" i="3"/>
  <c r="K103" i="3" l="1"/>
  <c r="K117" i="3"/>
  <c r="J112" i="3"/>
  <c r="K98" i="3"/>
  <c r="K27" i="3"/>
  <c r="K23" i="3" l="1"/>
  <c r="K25" i="3"/>
  <c r="K19" i="3"/>
  <c r="K20" i="3"/>
  <c r="K17" i="3"/>
  <c r="K18" i="3"/>
  <c r="K15" i="3"/>
  <c r="K16" i="3"/>
  <c r="K11" i="3"/>
  <c r="K12" i="3"/>
  <c r="K8" i="3"/>
  <c r="K9" i="3"/>
  <c r="K24" i="3"/>
  <c r="K22" i="3"/>
  <c r="J210" i="3"/>
  <c r="J205" i="3" l="1"/>
  <c r="E103" i="3" l="1"/>
  <c r="P103" i="3" l="1"/>
  <c r="R99" i="3" l="1"/>
  <c r="L210" i="3" l="1"/>
  <c r="M99" i="3"/>
  <c r="H103" i="3"/>
  <c r="AD103" i="3" s="1"/>
  <c r="J124" i="3"/>
  <c r="K124" i="3" s="1"/>
  <c r="J209" i="3" l="1"/>
  <c r="AB102" i="3"/>
  <c r="I103" i="3"/>
  <c r="H112" i="3"/>
  <c r="H118" i="3"/>
  <c r="H121" i="3"/>
  <c r="J212" i="3" l="1"/>
  <c r="I117" i="3"/>
  <c r="I118" i="3" s="1"/>
  <c r="I120" i="3"/>
  <c r="I111" i="3"/>
  <c r="H125" i="3"/>
  <c r="H211" i="3"/>
  <c r="I211" i="3" s="1"/>
  <c r="I99" i="3"/>
  <c r="I121" i="3"/>
  <c r="I67" i="3"/>
  <c r="K208" i="3" l="1"/>
  <c r="K205" i="3"/>
  <c r="K207" i="3"/>
  <c r="K206" i="3"/>
  <c r="K210" i="3"/>
  <c r="K209" i="3"/>
  <c r="H210" i="3"/>
  <c r="I210" i="3" s="1"/>
  <c r="I212" i="3" s="1"/>
  <c r="AB103" i="3"/>
  <c r="I63" i="3"/>
  <c r="I51" i="3"/>
  <c r="I112" i="3"/>
  <c r="D210" i="3" l="1"/>
  <c r="B112" i="3" l="1"/>
  <c r="B125" i="3" l="1"/>
  <c r="C111" i="3"/>
  <c r="B210" i="3"/>
  <c r="AA88" i="3"/>
  <c r="C99" i="3"/>
  <c r="Q124" i="3"/>
  <c r="R124" i="3" s="1"/>
  <c r="B127" i="3" l="1"/>
  <c r="Q211" i="3"/>
  <c r="R211" i="3" s="1"/>
  <c r="Q210" i="3"/>
  <c r="R210" i="3" s="1"/>
  <c r="R212" i="3" l="1"/>
  <c r="R67" i="3"/>
  <c r="R51" i="3"/>
  <c r="M67" i="3" l="1"/>
  <c r="H115" i="3" l="1"/>
  <c r="I115" i="3" l="1"/>
  <c r="K51" i="3"/>
  <c r="F115" i="3"/>
  <c r="G115" i="3" l="1"/>
  <c r="H127" i="3"/>
  <c r="D115" i="3"/>
  <c r="B115" i="3"/>
  <c r="C115" i="3" l="1"/>
  <c r="Y115" i="3"/>
  <c r="Z114" i="3" l="1"/>
  <c r="AB81" i="3"/>
  <c r="AA78" i="3" l="1"/>
  <c r="AB77" i="3" s="1"/>
  <c r="AA92" i="3"/>
  <c r="W115" i="3"/>
  <c r="X114" i="3" l="1"/>
  <c r="W125" i="3"/>
  <c r="AB55" i="3"/>
  <c r="AB60" i="3"/>
  <c r="AB58" i="3"/>
  <c r="AB56" i="3"/>
  <c r="AB62" i="3"/>
  <c r="AB57" i="3"/>
  <c r="AB59" i="3"/>
  <c r="AB53" i="3"/>
  <c r="AB61" i="3"/>
  <c r="AB54" i="3"/>
  <c r="X99" i="3"/>
  <c r="U115" i="3"/>
  <c r="V114" i="3" l="1"/>
  <c r="AA115" i="3"/>
  <c r="L115" i="3" l="1"/>
  <c r="M114" i="3" s="1"/>
  <c r="M115" i="3" s="1"/>
  <c r="AB21" i="3" l="1"/>
  <c r="AB26" i="3"/>
  <c r="L125" i="3"/>
  <c r="AB10" i="3"/>
  <c r="AB28" i="3"/>
  <c r="J211" i="3" l="1"/>
  <c r="K211" i="3" s="1"/>
  <c r="K212" i="3" s="1"/>
  <c r="AA95" i="3" l="1"/>
  <c r="AB94" i="3" s="1"/>
  <c r="AB115" i="3" l="1"/>
  <c r="AB95" i="3"/>
  <c r="J115" i="3" l="1"/>
  <c r="K115" i="3"/>
  <c r="E115" i="3"/>
  <c r="AD115" i="3" l="1"/>
  <c r="Q127" i="3"/>
  <c r="R112" i="3"/>
  <c r="V115" i="3"/>
  <c r="R63" i="3" l="1"/>
  <c r="R115" i="3"/>
  <c r="K99" i="3"/>
  <c r="X115" i="3"/>
  <c r="Z115" i="3"/>
  <c r="G99" i="3" l="1"/>
  <c r="E99" i="3" l="1"/>
  <c r="C30" i="3" l="1"/>
  <c r="V99" i="3" l="1"/>
  <c r="M112" i="3" l="1"/>
  <c r="M118" i="3"/>
  <c r="U121" i="3"/>
  <c r="AD121" i="3" s="1"/>
  <c r="V120" i="3" l="1"/>
  <c r="V121" i="3" s="1"/>
  <c r="L211" i="3"/>
  <c r="M121" i="3"/>
  <c r="R121" i="3"/>
  <c r="Z121" i="3"/>
  <c r="X121" i="3"/>
  <c r="K121" i="3"/>
  <c r="G121" i="3"/>
  <c r="E121" i="3"/>
  <c r="AA89" i="3"/>
  <c r="C121" i="3"/>
  <c r="AB120" i="3"/>
  <c r="AB121" i="3" s="1"/>
  <c r="AB67" i="3" l="1"/>
  <c r="M63" i="3"/>
  <c r="M51" i="3"/>
  <c r="AB97" i="3"/>
  <c r="AB99" i="3" s="1"/>
  <c r="AB82" i="3"/>
  <c r="AA112" i="3"/>
  <c r="AA125" i="3" s="1"/>
  <c r="Y112" i="3"/>
  <c r="Z111" i="3" l="1"/>
  <c r="Y125" i="3"/>
  <c r="Y210" i="3"/>
  <c r="J127" i="3"/>
  <c r="AB80" i="3"/>
  <c r="AB83" i="3" s="1"/>
  <c r="AB91" i="3"/>
  <c r="D112" i="3"/>
  <c r="AD112" i="3" s="1"/>
  <c r="U112" i="3"/>
  <c r="U118" i="3"/>
  <c r="AD118" i="3" s="1"/>
  <c r="Y211" i="3"/>
  <c r="W211" i="3"/>
  <c r="X211" i="3" s="1"/>
  <c r="X212" i="3" s="1"/>
  <c r="U211" i="3"/>
  <c r="V211" i="3" s="1"/>
  <c r="S211" i="3"/>
  <c r="B211" i="3"/>
  <c r="V117" i="3" l="1"/>
  <c r="V118" i="3" s="1"/>
  <c r="U125" i="3"/>
  <c r="E111" i="3"/>
  <c r="E112" i="3" s="1"/>
  <c r="D125" i="3"/>
  <c r="AD125" i="3" s="1"/>
  <c r="Z211" i="3"/>
  <c r="F211" i="3"/>
  <c r="G211" i="3" s="1"/>
  <c r="G212" i="3" s="1"/>
  <c r="D211" i="3"/>
  <c r="D209" i="3"/>
  <c r="B209" i="3"/>
  <c r="Z210" i="3"/>
  <c r="Z63" i="3"/>
  <c r="O127" i="3"/>
  <c r="G51" i="3"/>
  <c r="E63" i="3"/>
  <c r="G63" i="3"/>
  <c r="E51" i="3"/>
  <c r="E118" i="3"/>
  <c r="X118" i="3"/>
  <c r="X30" i="3"/>
  <c r="X63" i="3"/>
  <c r="P63" i="3"/>
  <c r="V112" i="3"/>
  <c r="G112" i="3"/>
  <c r="V67" i="3"/>
  <c r="R118" i="3"/>
  <c r="K112" i="3"/>
  <c r="X112" i="3"/>
  <c r="G118" i="3"/>
  <c r="E67" i="3"/>
  <c r="P112" i="3"/>
  <c r="Z30" i="3"/>
  <c r="Z112" i="3"/>
  <c r="Z118" i="3"/>
  <c r="K118" i="3"/>
  <c r="AB117" i="3"/>
  <c r="C112" i="3"/>
  <c r="C118" i="3"/>
  <c r="AB111" i="3"/>
  <c r="B212" i="3" l="1"/>
  <c r="D212" i="3"/>
  <c r="Z212" i="3"/>
  <c r="U210" i="3"/>
  <c r="V210" i="3" s="1"/>
  <c r="V212" i="3" s="1"/>
  <c r="D127" i="3"/>
  <c r="K67" i="3"/>
  <c r="L127" i="3"/>
  <c r="AB63" i="3"/>
  <c r="X51" i="3"/>
  <c r="Z67" i="3"/>
  <c r="X67" i="3"/>
  <c r="C67" i="3"/>
  <c r="AB112" i="3"/>
  <c r="R30" i="3"/>
  <c r="AB88" i="3"/>
  <c r="AB89" i="3" s="1"/>
  <c r="P67" i="3"/>
  <c r="AB118" i="3"/>
  <c r="C205" i="3" l="1"/>
  <c r="C206" i="3"/>
  <c r="C207" i="3"/>
  <c r="C208" i="3"/>
  <c r="C210" i="3"/>
  <c r="C211" i="3"/>
  <c r="E207" i="3"/>
  <c r="E205" i="3"/>
  <c r="E208" i="3"/>
  <c r="E206" i="3"/>
  <c r="E210" i="3"/>
  <c r="E209" i="3"/>
  <c r="E211" i="3"/>
  <c r="C209" i="3"/>
  <c r="Y127" i="3"/>
  <c r="W127" i="3"/>
  <c r="U127" i="3"/>
  <c r="AB92" i="3"/>
  <c r="AB86" i="3"/>
  <c r="E212" i="3" l="1"/>
  <c r="C212" i="3"/>
  <c r="AB78" i="3"/>
  <c r="AB14" i="3" l="1"/>
  <c r="AB19" i="3"/>
  <c r="AB9" i="3"/>
  <c r="AB20" i="3"/>
  <c r="AB23" i="3"/>
  <c r="AB11" i="3"/>
  <c r="AB29" i="3"/>
  <c r="AB13" i="3"/>
  <c r="AB12" i="3"/>
  <c r="AB16" i="3"/>
  <c r="AB8" i="3"/>
  <c r="AB17" i="3"/>
  <c r="AB18" i="3"/>
  <c r="AB24" i="3"/>
  <c r="AB25" i="3"/>
  <c r="AB27" i="3"/>
  <c r="AB15" i="3"/>
  <c r="AB22" i="3"/>
  <c r="AB30" i="3" l="1"/>
  <c r="AB42" i="3" l="1"/>
  <c r="AB45" i="3" l="1"/>
  <c r="AB47" i="3"/>
  <c r="AB44" i="3"/>
  <c r="AB50" i="3"/>
  <c r="AB48" i="3"/>
  <c r="AB49" i="3"/>
  <c r="AB46" i="3"/>
  <c r="AB51" i="3" l="1"/>
  <c r="K63" i="3" l="1"/>
  <c r="AD63" i="3"/>
  <c r="C63" i="3" l="1"/>
  <c r="K30" i="3" l="1"/>
  <c r="F127" i="3" l="1"/>
  <c r="C103" i="3"/>
  <c r="S205" i="3"/>
  <c r="T30" i="3" l="1"/>
  <c r="S212" i="3"/>
  <c r="S127" i="3"/>
  <c r="AA127" i="3" s="1"/>
  <c r="T211" i="3" l="1"/>
  <c r="T209" i="3"/>
  <c r="T206" i="3"/>
  <c r="T210" i="3"/>
  <c r="T207" i="3"/>
  <c r="T208" i="3"/>
  <c r="T205" i="3"/>
  <c r="T212" i="3" l="1"/>
</calcChain>
</file>

<file path=xl/sharedStrings.xml><?xml version="1.0" encoding="utf-8"?>
<sst xmlns="http://schemas.openxmlformats.org/spreadsheetml/2006/main" count="338" uniqueCount="143">
  <si>
    <t>VOLUME OF FISH TRADED / BROKER</t>
  </si>
  <si>
    <t>NAME OF BROKER</t>
  </si>
  <si>
    <t>BL</t>
  </si>
  <si>
    <t>DL</t>
  </si>
  <si>
    <t>D &amp; D</t>
  </si>
  <si>
    <t>JMP ( FORMER G &amp; G)</t>
  </si>
  <si>
    <t>LJL ( FORMER HABIBI )</t>
  </si>
  <si>
    <t>JRM</t>
  </si>
  <si>
    <t>LCM</t>
  </si>
  <si>
    <t>PM ( FR )</t>
  </si>
  <si>
    <t>MJR</t>
  </si>
  <si>
    <t>ELY/DAISY ( FORMER NLS )</t>
  </si>
  <si>
    <t>OPM</t>
  </si>
  <si>
    <t>RAT</t>
  </si>
  <si>
    <t xml:space="preserve">ROMELA </t>
  </si>
  <si>
    <t>ST.DOMINIC</t>
  </si>
  <si>
    <t>SMN</t>
  </si>
  <si>
    <t>STAR LALA</t>
  </si>
  <si>
    <t>TD</t>
  </si>
  <si>
    <t>WNNW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</si>
  <si>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</si>
  <si>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</si>
  <si>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</si>
  <si>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</si>
  <si>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</si>
  <si>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</si>
  <si>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</si>
  <si>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</si>
  <si>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</si>
  <si>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</si>
  <si>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</si>
  <si>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DECENBER</t>
  </si>
  <si>
    <t>CY:2010</t>
  </si>
  <si>
    <t>FISHING GROUND</t>
  </si>
  <si>
    <t>MARINDUQUE</t>
  </si>
  <si>
    <t>BURIAS</t>
  </si>
  <si>
    <t>ROMBLON</t>
  </si>
  <si>
    <t>AUGUST</t>
  </si>
  <si>
    <t>DECEMBER</t>
  </si>
  <si>
    <t>ORIGIN</t>
  </si>
  <si>
    <t xml:space="preserve">JUNE </t>
  </si>
  <si>
    <t>CALAUAG</t>
  </si>
  <si>
    <t>GENERAL LUNA</t>
  </si>
  <si>
    <t>GUMACA</t>
  </si>
  <si>
    <t>INFANTA</t>
  </si>
  <si>
    <t>MACALELON</t>
  </si>
  <si>
    <t>MAUBAN</t>
  </si>
  <si>
    <t>PADRE BURGOS</t>
  </si>
  <si>
    <t>PAGBILAO</t>
  </si>
  <si>
    <t>PITOGO</t>
  </si>
  <si>
    <t>SAN ANDRES</t>
  </si>
  <si>
    <t>TAGKAWAYAN</t>
  </si>
  <si>
    <t>STA.ROSA</t>
  </si>
  <si>
    <t xml:space="preserve">SOURCE OF FISH UNLOADED BY FISHING GROUND </t>
  </si>
  <si>
    <t>ATIMONAN</t>
  </si>
  <si>
    <t>TALISAY</t>
  </si>
  <si>
    <t>PARACALE</t>
  </si>
  <si>
    <t>PASACAO</t>
  </si>
  <si>
    <t>STA.ELENA</t>
  </si>
  <si>
    <t xml:space="preserve">BULACAN </t>
  </si>
  <si>
    <t>T  O  T  A  L</t>
  </si>
  <si>
    <t>SAN NARCISO</t>
  </si>
  <si>
    <t>PANGANIBAN</t>
  </si>
  <si>
    <t>LAGUNA</t>
  </si>
  <si>
    <t>RAGAY</t>
  </si>
  <si>
    <t xml:space="preserve">METRO MANILA </t>
  </si>
  <si>
    <t>NAVOTAS</t>
  </si>
  <si>
    <t>PALAWAN</t>
  </si>
  <si>
    <t>MINDANAO</t>
  </si>
  <si>
    <t>CATANUAN</t>
  </si>
  <si>
    <t>SUBTOTAL</t>
  </si>
  <si>
    <t>Total</t>
  </si>
  <si>
    <t>Volume</t>
  </si>
  <si>
    <t>QUEZON</t>
  </si>
  <si>
    <t>BATANGAS</t>
  </si>
  <si>
    <t>BICOL</t>
  </si>
  <si>
    <t>BULACAN</t>
  </si>
  <si>
    <t>MINDORO</t>
  </si>
  <si>
    <t>Jan</t>
  </si>
  <si>
    <t>Feb</t>
  </si>
  <si>
    <t>Mar</t>
  </si>
  <si>
    <t>Apr</t>
  </si>
  <si>
    <t>May</t>
  </si>
  <si>
    <t>June</t>
  </si>
  <si>
    <t>July</t>
  </si>
  <si>
    <t>Sept</t>
  </si>
  <si>
    <t>Oct</t>
  </si>
  <si>
    <t>Nov</t>
  </si>
  <si>
    <t>Dec</t>
  </si>
  <si>
    <t>%</t>
  </si>
  <si>
    <t>Visayas Region</t>
  </si>
  <si>
    <t>Mindanao Region</t>
  </si>
  <si>
    <t>Metro Manila</t>
  </si>
  <si>
    <t>Others (Luzon Area)</t>
  </si>
  <si>
    <t>AGDANGAN</t>
  </si>
  <si>
    <t>MASBATE</t>
  </si>
  <si>
    <t>PALAWAN SEA</t>
  </si>
  <si>
    <t>ROMBLON SEA</t>
  </si>
  <si>
    <t>MARINDUQUE ISLAND</t>
  </si>
  <si>
    <t>BULAN</t>
  </si>
  <si>
    <t>HAGONOY</t>
  </si>
  <si>
    <t>RIZAL</t>
  </si>
  <si>
    <t>BURIAS BAY</t>
  </si>
  <si>
    <t>LAUREL</t>
  </si>
  <si>
    <t>STA. CRUZ</t>
  </si>
  <si>
    <t>LIPA</t>
  </si>
  <si>
    <t>UNISAN</t>
  </si>
  <si>
    <t>CAVITE</t>
  </si>
  <si>
    <r>
      <t>SAN FRANCISCO (</t>
    </r>
    <r>
      <rPr>
        <b/>
        <i/>
        <sz val="8"/>
        <color theme="1"/>
        <rFont val="Arial"/>
        <family val="2"/>
      </rPr>
      <t>Aurora</t>
    </r>
    <r>
      <rPr>
        <b/>
        <sz val="8"/>
        <color theme="1"/>
        <rFont val="Arial"/>
        <family val="2"/>
      </rPr>
      <t>)</t>
    </r>
  </si>
  <si>
    <t>SAN JUAN</t>
  </si>
  <si>
    <t>SOUTHERN TAGALOG</t>
  </si>
  <si>
    <t>TAYABAS BAY</t>
  </si>
  <si>
    <t xml:space="preserve"> </t>
  </si>
  <si>
    <t>LEMERY</t>
  </si>
  <si>
    <t>MERCEDEZ</t>
  </si>
  <si>
    <t xml:space="preserve">ROMBLON </t>
  </si>
  <si>
    <t>BUENAVISTA</t>
  </si>
  <si>
    <t>ALBAY</t>
  </si>
  <si>
    <t>BATANGAS BAY</t>
  </si>
  <si>
    <t>BATANGAS CITY (Capital)</t>
  </si>
  <si>
    <t>LIAN</t>
  </si>
  <si>
    <t>TAYABAS</t>
  </si>
  <si>
    <t>CAVITE CITY</t>
  </si>
  <si>
    <t>MINDORO STRAIT</t>
  </si>
  <si>
    <t>VARIOUS MUNICIPALITIES</t>
  </si>
  <si>
    <t>NORTHERN LUZON</t>
  </si>
  <si>
    <t>MAMBURAO/CALAPAN</t>
  </si>
  <si>
    <t>CALATAGAN</t>
  </si>
  <si>
    <t>BATAAN/ISABELA/N.VISCAYA</t>
  </si>
  <si>
    <t>SURIGAO /AGUSAN</t>
  </si>
  <si>
    <t>8I</t>
  </si>
  <si>
    <t>LUCENA CITY (capital)</t>
  </si>
  <si>
    <t>VISAYA</t>
  </si>
  <si>
    <t>SAN PABLO</t>
  </si>
  <si>
    <t>Isabela/Aurora/CAGAYAN</t>
  </si>
  <si>
    <t>AGONCILLO</t>
  </si>
  <si>
    <t>CAPALONGA</t>
  </si>
  <si>
    <t>PEREZ</t>
  </si>
  <si>
    <t>SARIAYA</t>
  </si>
  <si>
    <t>TANAY/CARDONA/ANGONO</t>
  </si>
  <si>
    <t>FISH UNLOADING (in KGS) BY ORIGIN CY - 2021.</t>
  </si>
  <si>
    <t>in TUBS</t>
  </si>
  <si>
    <t>Continuation of Fish Unloading by Origin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</si>
</sst>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#,##0.00;[Red]#,##0.00"/>
    <numFmt numFmtId="165" formatCode="#,##0.000"/>
    <numFmt numFmtId="166" formatCode="#,##0;[Red]#,##0"/>
    <numFmt numFmtId="167" formatCode="_(* #,##0_);_(* \(#,##0\);_(* &quot;-&quot;??_);_(@_)"/>
    <numFmt numFmtId="168" formatCode="0.00;[Red]0.00"/>
    <numFmt numFmtId="169" formatCode="0;[Red]0"/>
    <numFmt numFmtId="170" formatCode="#,##0.000;[Red]#,##0.000"/>
    <numFmt numFmtId="171" formatCode="_(* #,##0.000_);_(* \(#,##0.000\);_(* &quot;-&quot;??_);_(@_)"/>
    <numFmt numFmtId="172" formatCode="0.000;[Red]0.000"/>
    <numFmt numFmtId="173" formatCode="0.000"/>
    <numFmt numFmtId="174" formatCode="#,##0.0"/>
    <numFmt numFmtId="175" formatCode="#,##0.0000;[Red]#,##0.0000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theme="6" tint="0.79998168889431442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6"/>
      <color rgb="FF00B050"/>
      <name val="Arial"/>
      <family val="2"/>
    </font>
    <font>
      <b/>
      <sz val="10"/>
      <color rgb="FF00206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rgb="FFFF0000"/>
      <name val="Arial"/>
      <family val="2"/>
    </font>
    <font>
      <sz val="20"/>
      <color theme="1"/>
      <name val="Calibri"/>
      <family val="2"/>
      <scheme val="minor"/>
    </font>
    <font>
      <b/>
      <sz val="12"/>
      <color rgb="FF7030A0"/>
      <name val="Arial"/>
      <family val="2"/>
    </font>
    <font>
      <b/>
      <sz val="12"/>
      <color rgb="FF61349C"/>
      <name val="Arial"/>
      <family val="2"/>
    </font>
    <font>
      <b/>
      <sz val="16"/>
      <color rgb="FF61349C"/>
      <name val="Arial"/>
      <family val="2"/>
    </font>
    <font>
      <b/>
      <sz val="16"/>
      <color rgb="FFFF0000"/>
      <name val="Arial"/>
      <family val="2"/>
    </font>
    <font>
      <b/>
      <sz val="9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11"/>
      <color rgb="FF61349C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i/>
      <sz val="8"/>
      <name val="Arial"/>
      <family val="2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7" fillId="0" borderId="0" applyFont="0" applyFill="0" applyBorder="0" applyAlignment="0" applyProtection="0"/>
  </cellStyleXfs>
  <cellXfs count="386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2" borderId="1" xfId="3" applyFont="1" applyFill="1" applyBorder="1" applyAlignment="1">
      <alignment horizontal="left"/>
    </xf>
    <xf numFmtId="0" fontId="2" fillId="2" borderId="1" xfId="6" applyFont="1" applyFill="1" applyBorder="1" applyAlignment="1">
      <alignment horizontal="left"/>
    </xf>
    <xf numFmtId="0" fontId="2" fillId="2" borderId="1" xfId="4" applyFont="1" applyFill="1" applyBorder="1" applyAlignment="1">
      <alignment horizontal="left"/>
    </xf>
    <xf numFmtId="0" fontId="2" fillId="2" borderId="1" xfId="5" applyFont="1" applyFill="1" applyBorder="1" applyAlignment="1">
      <alignment horizontal="left"/>
    </xf>
    <xf numFmtId="0" fontId="2" fillId="2" borderId="1" xfId="7" applyFont="1" applyFill="1" applyBorder="1" applyAlignment="1">
      <alignment horizontal="left"/>
    </xf>
    <xf numFmtId="0" fontId="2" fillId="2" borderId="1" xfId="8" applyFont="1" applyFill="1" applyBorder="1" applyAlignment="1">
      <alignment horizontal="left"/>
    </xf>
    <xf numFmtId="0" fontId="2" fillId="2" borderId="1" xfId="9" applyFont="1" applyFill="1" applyBorder="1" applyAlignment="1">
      <alignment horizontal="left"/>
    </xf>
    <xf numFmtId="0" fontId="2" fillId="2" borderId="1" xfId="10" applyFont="1" applyFill="1" applyBorder="1" applyAlignment="1">
      <alignment horizontal="left"/>
    </xf>
    <xf numFmtId="0" fontId="2" fillId="2" borderId="1" xfId="11" applyFont="1" applyFill="1" applyBorder="1" applyAlignment="1">
      <alignment horizontal="left"/>
    </xf>
    <xf numFmtId="0" fontId="2" fillId="2" borderId="1" xfId="12" applyFont="1" applyFill="1" applyBorder="1" applyAlignment="1">
      <alignment horizontal="left"/>
    </xf>
    <xf numFmtId="0" fontId="2" fillId="2" borderId="1" xfId="13" applyFont="1" applyFill="1" applyBorder="1" applyAlignment="1">
      <alignment horizontal="left"/>
    </xf>
    <xf numFmtId="0" fontId="2" fillId="2" borderId="1" xfId="14" applyFont="1" applyFill="1" applyBorder="1" applyAlignment="1">
      <alignment horizontal="left"/>
    </xf>
    <xf numFmtId="0" fontId="3" fillId="2" borderId="1" xfId="2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7" fillId="2" borderId="1" xfId="2" applyFont="1" applyFill="1" applyBorder="1" applyAlignment="1">
      <alignment horizontal="left"/>
    </xf>
    <xf numFmtId="0" fontId="8" fillId="2" borderId="1" xfId="3" applyFont="1" applyFill="1" applyBorder="1" applyAlignment="1">
      <alignment horizontal="left"/>
    </xf>
    <xf numFmtId="0" fontId="8" fillId="2" borderId="1" xfId="6" applyFont="1" applyFill="1" applyBorder="1" applyAlignment="1">
      <alignment horizontal="left"/>
    </xf>
    <xf numFmtId="0" fontId="8" fillId="2" borderId="1" xfId="4" applyFont="1" applyFill="1" applyBorder="1" applyAlignment="1">
      <alignment horizontal="left"/>
    </xf>
    <xf numFmtId="0" fontId="8" fillId="2" borderId="1" xfId="5" applyFont="1" applyFill="1" applyBorder="1" applyAlignment="1">
      <alignment horizontal="left"/>
    </xf>
    <xf numFmtId="0" fontId="8" fillId="2" borderId="1" xfId="7" applyFont="1" applyFill="1" applyBorder="1" applyAlignment="1">
      <alignment horizontal="left"/>
    </xf>
    <xf numFmtId="0" fontId="8" fillId="2" borderId="1" xfId="8" applyFont="1" applyFill="1" applyBorder="1" applyAlignment="1">
      <alignment horizontal="left"/>
    </xf>
    <xf numFmtId="0" fontId="8" fillId="2" borderId="1" xfId="9" applyFont="1" applyFill="1" applyBorder="1" applyAlignment="1">
      <alignment horizontal="left"/>
    </xf>
    <xf numFmtId="0" fontId="8" fillId="2" borderId="1" xfId="10" applyFont="1" applyFill="1" applyBorder="1" applyAlignment="1">
      <alignment horizontal="left"/>
    </xf>
    <xf numFmtId="0" fontId="8" fillId="2" borderId="1" xfId="11" applyFont="1" applyFill="1" applyBorder="1" applyAlignment="1">
      <alignment horizontal="left"/>
    </xf>
    <xf numFmtId="0" fontId="8" fillId="2" borderId="1" xfId="12" applyFont="1" applyFill="1" applyBorder="1" applyAlignment="1">
      <alignment horizontal="left"/>
    </xf>
    <xf numFmtId="0" fontId="8" fillId="2" borderId="1" xfId="13" applyFont="1" applyFill="1" applyBorder="1" applyAlignment="1">
      <alignment horizontal="left"/>
    </xf>
    <xf numFmtId="0" fontId="8" fillId="2" borderId="1" xfId="14" applyFont="1" applyFill="1" applyBorder="1" applyAlignment="1">
      <alignment horizontal="left"/>
    </xf>
    <xf numFmtId="0" fontId="0" fillId="0" borderId="0" xfId="0" applyAlignment="1">
      <alignment horizontal="left"/>
    </xf>
    <xf numFmtId="0" fontId="10" fillId="2" borderId="1" xfId="1" applyFont="1" applyFill="1" applyBorder="1" applyAlignment="1">
      <alignment horizontal="center"/>
    </xf>
    <xf numFmtId="0" fontId="10" fillId="2" borderId="1" xfId="14" applyFont="1" applyFill="1" applyBorder="1" applyAlignment="1">
      <alignment horizontal="left"/>
    </xf>
    <xf numFmtId="0" fontId="10" fillId="2" borderId="1" xfId="2" applyFont="1" applyFill="1" applyBorder="1" applyAlignment="1">
      <alignment horizontal="left"/>
    </xf>
    <xf numFmtId="0" fontId="11" fillId="0" borderId="0" xfId="0" applyFont="1"/>
    <xf numFmtId="3" fontId="5" fillId="2" borderId="1" xfId="3" applyNumberFormat="1" applyFont="1" applyFill="1" applyBorder="1" applyAlignment="1">
      <alignment horizontal="left"/>
    </xf>
    <xf numFmtId="0" fontId="5" fillId="2" borderId="1" xfId="3" applyFont="1" applyFill="1" applyBorder="1" applyAlignment="1">
      <alignment horizontal="left"/>
    </xf>
    <xf numFmtId="0" fontId="3" fillId="2" borderId="1" xfId="6" applyFont="1" applyFill="1" applyBorder="1" applyAlignment="1">
      <alignment horizontal="left"/>
    </xf>
    <xf numFmtId="3" fontId="3" fillId="2" borderId="1" xfId="6" applyNumberFormat="1" applyFont="1" applyFill="1" applyBorder="1" applyAlignment="1">
      <alignment horizontal="left"/>
    </xf>
    <xf numFmtId="0" fontId="3" fillId="2" borderId="1" xfId="4" applyFont="1" applyFill="1" applyBorder="1" applyAlignment="1">
      <alignment horizontal="left"/>
    </xf>
    <xf numFmtId="3" fontId="3" fillId="2" borderId="1" xfId="4" applyNumberFormat="1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3" fontId="3" fillId="2" borderId="1" xfId="5" applyNumberFormat="1" applyFont="1" applyFill="1" applyBorder="1" applyAlignment="1">
      <alignment horizontal="left"/>
    </xf>
    <xf numFmtId="0" fontId="3" fillId="2" borderId="1" xfId="7" applyFont="1" applyFill="1" applyBorder="1" applyAlignment="1">
      <alignment horizontal="left"/>
    </xf>
    <xf numFmtId="3" fontId="3" fillId="2" borderId="1" xfId="7" applyNumberFormat="1" applyFont="1" applyFill="1" applyBorder="1" applyAlignment="1">
      <alignment horizontal="left"/>
    </xf>
    <xf numFmtId="0" fontId="13" fillId="0" borderId="0" xfId="0" applyFont="1"/>
    <xf numFmtId="0" fontId="14" fillId="0" borderId="0" xfId="0" applyFont="1"/>
    <xf numFmtId="0" fontId="16" fillId="0" borderId="0" xfId="0" applyFont="1"/>
    <xf numFmtId="3" fontId="3" fillId="2" borderId="1" xfId="28" applyNumberFormat="1" applyFont="1" applyFill="1" applyBorder="1" applyAlignment="1">
      <alignment horizontal="right"/>
    </xf>
    <xf numFmtId="3" fontId="0" fillId="0" borderId="0" xfId="0" applyNumberFormat="1"/>
    <xf numFmtId="10" fontId="0" fillId="0" borderId="0" xfId="0" applyNumberFormat="1"/>
    <xf numFmtId="0" fontId="13" fillId="0" borderId="0" xfId="0" applyFont="1" applyAlignment="1">
      <alignment vertical="center" shrinkToFit="1"/>
    </xf>
    <xf numFmtId="0" fontId="0" fillId="0" borderId="0" xfId="0" applyProtection="1">
      <protection locked="0"/>
    </xf>
    <xf numFmtId="3" fontId="3" fillId="2" borderId="1" xfId="29" applyNumberFormat="1" applyFont="1" applyFill="1" applyBorder="1" applyAlignment="1" applyProtection="1">
      <alignment horizontal="right"/>
      <protection locked="0"/>
    </xf>
    <xf numFmtId="3" fontId="3" fillId="2" borderId="1" xfId="16" applyNumberFormat="1" applyFont="1" applyFill="1" applyBorder="1" applyAlignment="1" applyProtection="1">
      <alignment horizontal="right"/>
      <protection locked="0"/>
    </xf>
    <xf numFmtId="3" fontId="0" fillId="0" borderId="0" xfId="0" applyNumberFormat="1" applyProtection="1">
      <protection locked="0"/>
    </xf>
    <xf numFmtId="0" fontId="13" fillId="0" borderId="0" xfId="0" applyFont="1" applyAlignment="1" applyProtection="1">
      <alignment vertical="center" shrinkToFit="1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3" fontId="3" fillId="2" borderId="1" xfId="21" applyNumberFormat="1" applyFont="1" applyFill="1" applyBorder="1" applyAlignment="1" applyProtection="1">
      <alignment horizontal="right"/>
      <protection locked="0"/>
    </xf>
    <xf numFmtId="3" fontId="3" fillId="2" borderId="1" xfId="23" applyNumberFormat="1" applyFont="1" applyFill="1" applyBorder="1" applyAlignment="1" applyProtection="1">
      <alignment horizontal="right"/>
      <protection locked="0"/>
    </xf>
    <xf numFmtId="3" fontId="3" fillId="2" borderId="1" xfId="25" applyNumberFormat="1" applyFont="1" applyFill="1" applyBorder="1" applyAlignment="1" applyProtection="1">
      <alignment horizontal="right"/>
      <protection locked="0"/>
    </xf>
    <xf numFmtId="3" fontId="3" fillId="2" borderId="1" xfId="26" applyNumberFormat="1" applyFont="1" applyFill="1" applyBorder="1" applyAlignment="1" applyProtection="1">
      <alignment horizontal="right"/>
      <protection locked="0"/>
    </xf>
    <xf numFmtId="0" fontId="9" fillId="2" borderId="1" xfId="15" applyFont="1" applyFill="1" applyBorder="1" applyAlignment="1">
      <alignment horizontal="left"/>
    </xf>
    <xf numFmtId="3" fontId="19" fillId="2" borderId="1" xfId="29" applyNumberFormat="1" applyFont="1" applyFill="1" applyBorder="1" applyAlignment="1" applyProtection="1">
      <alignment horizontal="right"/>
    </xf>
    <xf numFmtId="0" fontId="12" fillId="0" borderId="0" xfId="0" applyFont="1"/>
    <xf numFmtId="3" fontId="19" fillId="2" borderId="1" xfId="16" applyNumberFormat="1" applyFont="1" applyFill="1" applyBorder="1" applyAlignment="1">
      <alignment horizontal="right"/>
    </xf>
    <xf numFmtId="3" fontId="3" fillId="2" borderId="1" xfId="16" applyNumberFormat="1" applyFont="1" applyFill="1" applyBorder="1" applyAlignment="1">
      <alignment horizontal="right"/>
    </xf>
    <xf numFmtId="3" fontId="13" fillId="0" borderId="0" xfId="0" applyNumberFormat="1" applyFont="1"/>
    <xf numFmtId="10" fontId="13" fillId="0" borderId="0" xfId="0" applyNumberFormat="1" applyFont="1"/>
    <xf numFmtId="0" fontId="3" fillId="0" borderId="1" xfId="15" applyFont="1" applyBorder="1" applyAlignment="1" applyProtection="1">
      <alignment horizontal="left"/>
      <protection locked="0"/>
    </xf>
    <xf numFmtId="0" fontId="5" fillId="2" borderId="1" xfId="15" applyFont="1" applyFill="1" applyBorder="1" applyAlignment="1" applyProtection="1">
      <alignment horizontal="left"/>
      <protection locked="0"/>
    </xf>
    <xf numFmtId="0" fontId="5" fillId="2" borderId="1" xfId="20" applyFont="1" applyFill="1" applyBorder="1" applyAlignment="1" applyProtection="1">
      <alignment horizontal="left"/>
      <protection locked="0"/>
    </xf>
    <xf numFmtId="0" fontId="3" fillId="2" borderId="1" xfId="20" applyFont="1" applyFill="1" applyBorder="1" applyAlignment="1" applyProtection="1">
      <alignment horizontal="left"/>
      <protection locked="0"/>
    </xf>
    <xf numFmtId="0" fontId="3" fillId="2" borderId="1" xfId="17" applyFont="1" applyFill="1" applyBorder="1" applyAlignment="1" applyProtection="1">
      <alignment horizontal="left"/>
      <protection locked="0"/>
    </xf>
    <xf numFmtId="0" fontId="3" fillId="2" borderId="1" xfId="16" applyFont="1" applyFill="1" applyBorder="1" applyAlignment="1" applyProtection="1">
      <alignment horizontal="left"/>
      <protection locked="0"/>
    </xf>
    <xf numFmtId="0" fontId="3" fillId="2" borderId="1" xfId="16" applyFont="1" applyFill="1" applyBorder="1" applyProtection="1">
      <protection locked="0"/>
    </xf>
    <xf numFmtId="0" fontId="9" fillId="2" borderId="6" xfId="15" applyFont="1" applyFill="1" applyBorder="1" applyAlignment="1">
      <alignment horizontal="left"/>
    </xf>
    <xf numFmtId="10" fontId="19" fillId="2" borderId="6" xfId="29" applyNumberFormat="1" applyFont="1" applyFill="1" applyBorder="1" applyAlignment="1" applyProtection="1">
      <alignment horizontal="right"/>
    </xf>
    <xf numFmtId="10" fontId="19" fillId="2" borderId="0" xfId="29" applyNumberFormat="1" applyFont="1" applyFill="1" applyBorder="1" applyAlignment="1" applyProtection="1">
      <alignment horizontal="right"/>
    </xf>
    <xf numFmtId="0" fontId="9" fillId="2" borderId="0" xfId="15" applyFont="1" applyFill="1" applyAlignment="1">
      <alignment horizontal="left"/>
    </xf>
    <xf numFmtId="3" fontId="19" fillId="2" borderId="0" xfId="16" applyNumberFormat="1" applyFont="1" applyFill="1" applyAlignment="1">
      <alignment horizontal="right"/>
    </xf>
    <xf numFmtId="3" fontId="19" fillId="2" borderId="7" xfId="16" applyNumberFormat="1" applyFont="1" applyFill="1" applyBorder="1" applyAlignment="1">
      <alignment horizontal="right"/>
    </xf>
    <xf numFmtId="2" fontId="3" fillId="2" borderId="1" xfId="16" applyNumberFormat="1" applyFont="1" applyFill="1" applyBorder="1" applyAlignment="1">
      <alignment horizontal="right"/>
    </xf>
    <xf numFmtId="3" fontId="19" fillId="2" borderId="6" xfId="29" applyNumberFormat="1" applyFont="1" applyFill="1" applyBorder="1" applyAlignment="1" applyProtection="1">
      <alignment horizontal="right"/>
    </xf>
    <xf numFmtId="3" fontId="19" fillId="2" borderId="0" xfId="29" applyNumberFormat="1" applyFont="1" applyFill="1" applyBorder="1" applyAlignment="1" applyProtection="1">
      <alignment horizontal="right"/>
    </xf>
    <xf numFmtId="3" fontId="12" fillId="0" borderId="0" xfId="0" applyNumberFormat="1" applyFont="1"/>
    <xf numFmtId="2" fontId="3" fillId="2" borderId="1" xfId="29" applyNumberFormat="1" applyFont="1" applyFill="1" applyBorder="1" applyAlignment="1">
      <alignment horizontal="right"/>
    </xf>
    <xf numFmtId="43" fontId="3" fillId="2" borderId="1" xfId="29" applyFont="1" applyFill="1" applyBorder="1" applyAlignment="1">
      <alignment horizontal="right"/>
    </xf>
    <xf numFmtId="2" fontId="19" fillId="2" borderId="1" xfId="29" applyNumberFormat="1" applyFont="1" applyFill="1" applyBorder="1" applyAlignment="1" applyProtection="1">
      <alignment horizontal="right"/>
    </xf>
    <xf numFmtId="2" fontId="19" fillId="2" borderId="1" xfId="16" applyNumberFormat="1" applyFont="1" applyFill="1" applyBorder="1" applyAlignment="1">
      <alignment horizontal="right"/>
    </xf>
    <xf numFmtId="2" fontId="19" fillId="2" borderId="0" xfId="16" applyNumberFormat="1" applyFont="1" applyFill="1" applyAlignment="1">
      <alignment horizontal="right"/>
    </xf>
    <xf numFmtId="0" fontId="9" fillId="2" borderId="4" xfId="15" applyFont="1" applyFill="1" applyBorder="1" applyAlignment="1">
      <alignment horizontal="left"/>
    </xf>
    <xf numFmtId="3" fontId="19" fillId="2" borderId="4" xfId="16" applyNumberFormat="1" applyFont="1" applyFill="1" applyBorder="1" applyAlignment="1">
      <alignment horizontal="right"/>
    </xf>
    <xf numFmtId="2" fontId="19" fillId="2" borderId="4" xfId="16" applyNumberFormat="1" applyFont="1" applyFill="1" applyBorder="1" applyAlignment="1">
      <alignment horizontal="right"/>
    </xf>
    <xf numFmtId="2" fontId="0" fillId="0" borderId="0" xfId="0" applyNumberFormat="1"/>
    <xf numFmtId="2" fontId="13" fillId="0" borderId="0" xfId="0" applyNumberFormat="1" applyFont="1"/>
    <xf numFmtId="0" fontId="13" fillId="0" borderId="0" xfId="0" applyFont="1" applyAlignment="1">
      <alignment horizontal="center" vertical="center" shrinkToFit="1"/>
    </xf>
    <xf numFmtId="4" fontId="19" fillId="2" borderId="1" xfId="29" applyNumberFormat="1" applyFont="1" applyFill="1" applyBorder="1" applyAlignment="1" applyProtection="1">
      <alignment horizontal="right"/>
    </xf>
    <xf numFmtId="4" fontId="3" fillId="2" borderId="1" xfId="16" applyNumberFormat="1" applyFont="1" applyFill="1" applyBorder="1" applyAlignment="1" applyProtection="1">
      <alignment horizontal="right"/>
      <protection locked="0"/>
    </xf>
    <xf numFmtId="1" fontId="0" fillId="0" borderId="0" xfId="0" applyNumberFormat="1"/>
    <xf numFmtId="2" fontId="19" fillId="2" borderId="6" xfId="29" applyNumberFormat="1" applyFont="1" applyFill="1" applyBorder="1" applyAlignment="1" applyProtection="1">
      <alignment horizontal="right"/>
    </xf>
    <xf numFmtId="2" fontId="19" fillId="2" borderId="0" xfId="29" applyNumberFormat="1" applyFont="1" applyFill="1" applyBorder="1" applyAlignment="1" applyProtection="1">
      <alignment horizontal="right"/>
    </xf>
    <xf numFmtId="0" fontId="24" fillId="3" borderId="1" xfId="17" applyFont="1" applyFill="1" applyBorder="1" applyAlignment="1">
      <alignment horizontal="left"/>
    </xf>
    <xf numFmtId="3" fontId="19" fillId="3" borderId="1" xfId="16" applyNumberFormat="1" applyFont="1" applyFill="1" applyBorder="1" applyAlignment="1">
      <alignment horizontal="right"/>
    </xf>
    <xf numFmtId="10" fontId="19" fillId="3" borderId="1" xfId="16" applyNumberFormat="1" applyFont="1" applyFill="1" applyBorder="1" applyAlignment="1">
      <alignment horizontal="right"/>
    </xf>
    <xf numFmtId="2" fontId="19" fillId="3" borderId="1" xfId="16" applyNumberFormat="1" applyFont="1" applyFill="1" applyBorder="1" applyAlignment="1">
      <alignment horizontal="right"/>
    </xf>
    <xf numFmtId="3" fontId="25" fillId="3" borderId="1" xfId="16" applyNumberFormat="1" applyFont="1" applyFill="1" applyBorder="1" applyAlignment="1">
      <alignment horizontal="center"/>
    </xf>
    <xf numFmtId="3" fontId="25" fillId="3" borderId="1" xfId="28" applyNumberFormat="1" applyFont="1" applyFill="1" applyBorder="1" applyAlignment="1">
      <alignment horizontal="center"/>
    </xf>
    <xf numFmtId="3" fontId="3" fillId="2" borderId="1" xfId="27" applyNumberFormat="1" applyFont="1" applyFill="1" applyBorder="1" applyAlignment="1" applyProtection="1">
      <alignment horizontal="right"/>
      <protection locked="0"/>
    </xf>
    <xf numFmtId="0" fontId="20" fillId="0" borderId="0" xfId="0" applyFont="1" applyAlignment="1" applyProtection="1">
      <alignment vertical="center"/>
      <protection locked="0"/>
    </xf>
    <xf numFmtId="10" fontId="20" fillId="0" borderId="0" xfId="0" applyNumberFormat="1" applyFont="1" applyAlignment="1">
      <alignment vertical="center"/>
    </xf>
    <xf numFmtId="0" fontId="14" fillId="0" borderId="0" xfId="0" applyFont="1" applyAlignment="1" applyProtection="1">
      <alignment horizontal="left" vertical="center"/>
      <protection locked="0"/>
    </xf>
    <xf numFmtId="10" fontId="0" fillId="0" borderId="0" xfId="0" applyNumberFormat="1" applyAlignment="1">
      <alignment vertical="center"/>
    </xf>
    <xf numFmtId="0" fontId="13" fillId="0" borderId="0" xfId="0" applyFont="1" applyAlignment="1" applyProtection="1">
      <alignment horizontal="left" vertical="center"/>
      <protection locked="0"/>
    </xf>
    <xf numFmtId="10" fontId="26" fillId="0" borderId="0" xfId="0" applyNumberFormat="1" applyFont="1"/>
    <xf numFmtId="3" fontId="3" fillId="4" borderId="1" xfId="16" applyNumberFormat="1" applyFont="1" applyFill="1" applyBorder="1" applyAlignment="1" applyProtection="1">
      <alignment horizontal="right"/>
      <protection locked="0"/>
    </xf>
    <xf numFmtId="10" fontId="3" fillId="4" borderId="1" xfId="16" applyNumberFormat="1" applyFont="1" applyFill="1" applyBorder="1" applyAlignment="1">
      <alignment horizontal="right"/>
    </xf>
    <xf numFmtId="3" fontId="3" fillId="4" borderId="1" xfId="17" applyNumberFormat="1" applyFont="1" applyFill="1" applyBorder="1" applyAlignment="1" applyProtection="1">
      <alignment horizontal="right"/>
      <protection locked="0"/>
    </xf>
    <xf numFmtId="3" fontId="3" fillId="4" borderId="1" xfId="18" applyNumberFormat="1" applyFont="1" applyFill="1" applyBorder="1" applyAlignment="1" applyProtection="1">
      <alignment horizontal="right"/>
      <protection locked="0"/>
    </xf>
    <xf numFmtId="3" fontId="3" fillId="4" borderId="1" xfId="19" applyNumberFormat="1" applyFont="1" applyFill="1" applyBorder="1" applyAlignment="1" applyProtection="1">
      <alignment horizontal="right"/>
      <protection locked="0"/>
    </xf>
    <xf numFmtId="3" fontId="3" fillId="4" borderId="1" xfId="20" applyNumberFormat="1" applyFont="1" applyFill="1" applyBorder="1" applyAlignment="1" applyProtection="1">
      <alignment horizontal="right"/>
      <protection locked="0"/>
    </xf>
    <xf numFmtId="3" fontId="3" fillId="4" borderId="1" xfId="21" applyNumberFormat="1" applyFont="1" applyFill="1" applyBorder="1" applyAlignment="1" applyProtection="1">
      <alignment horizontal="right"/>
      <protection locked="0"/>
    </xf>
    <xf numFmtId="3" fontId="3" fillId="4" borderId="1" xfId="22" applyNumberFormat="1" applyFont="1" applyFill="1" applyBorder="1" applyAlignment="1" applyProtection="1">
      <alignment horizontal="right"/>
      <protection locked="0"/>
    </xf>
    <xf numFmtId="3" fontId="3" fillId="4" borderId="1" xfId="23" applyNumberFormat="1" applyFont="1" applyFill="1" applyBorder="1" applyAlignment="1" applyProtection="1">
      <alignment horizontal="right"/>
      <protection locked="0"/>
    </xf>
    <xf numFmtId="3" fontId="3" fillId="4" borderId="1" xfId="24" applyNumberFormat="1" applyFont="1" applyFill="1" applyBorder="1" applyAlignment="1" applyProtection="1">
      <alignment horizontal="right"/>
      <protection locked="0"/>
    </xf>
    <xf numFmtId="3" fontId="3" fillId="4" borderId="1" xfId="25" applyNumberFormat="1" applyFont="1" applyFill="1" applyBorder="1" applyAlignment="1" applyProtection="1">
      <alignment horizontal="right"/>
      <protection locked="0"/>
    </xf>
    <xf numFmtId="3" fontId="3" fillId="4" borderId="1" xfId="26" applyNumberFormat="1" applyFont="1" applyFill="1" applyBorder="1" applyAlignment="1" applyProtection="1">
      <alignment horizontal="right"/>
      <protection locked="0"/>
    </xf>
    <xf numFmtId="3" fontId="3" fillId="4" borderId="1" xfId="27" applyNumberFormat="1" applyFont="1" applyFill="1" applyBorder="1" applyAlignment="1" applyProtection="1">
      <alignment horizontal="right"/>
      <protection locked="0"/>
    </xf>
    <xf numFmtId="3" fontId="3" fillId="4" borderId="1" xfId="28" applyNumberFormat="1" applyFont="1" applyFill="1" applyBorder="1" applyAlignment="1">
      <alignment horizontal="right"/>
    </xf>
    <xf numFmtId="0" fontId="21" fillId="4" borderId="1" xfId="15" applyFont="1" applyFill="1" applyBorder="1" applyAlignment="1">
      <alignment horizontal="left" vertical="center"/>
    </xf>
    <xf numFmtId="3" fontId="3" fillId="4" borderId="1" xfId="16" applyNumberFormat="1" applyFont="1" applyFill="1" applyBorder="1" applyAlignment="1" applyProtection="1">
      <alignment horizontal="right" vertical="center"/>
      <protection locked="0"/>
    </xf>
    <xf numFmtId="10" fontId="3" fillId="4" borderId="1" xfId="16" applyNumberFormat="1" applyFont="1" applyFill="1" applyBorder="1" applyAlignment="1">
      <alignment horizontal="right" vertical="center"/>
    </xf>
    <xf numFmtId="3" fontId="3" fillId="4" borderId="1" xfId="17" applyNumberFormat="1" applyFont="1" applyFill="1" applyBorder="1" applyAlignment="1" applyProtection="1">
      <alignment horizontal="right" vertical="center"/>
      <protection locked="0"/>
    </xf>
    <xf numFmtId="3" fontId="3" fillId="4" borderId="1" xfId="18" applyNumberFormat="1" applyFont="1" applyFill="1" applyBorder="1" applyAlignment="1" applyProtection="1">
      <alignment horizontal="right" vertical="center"/>
      <protection locked="0"/>
    </xf>
    <xf numFmtId="3" fontId="3" fillId="4" borderId="1" xfId="19" applyNumberFormat="1" applyFont="1" applyFill="1" applyBorder="1" applyAlignment="1" applyProtection="1">
      <alignment horizontal="right" vertical="center"/>
      <protection locked="0"/>
    </xf>
    <xf numFmtId="3" fontId="3" fillId="4" borderId="1" xfId="20" applyNumberFormat="1" applyFont="1" applyFill="1" applyBorder="1" applyAlignment="1" applyProtection="1">
      <alignment horizontal="right" vertical="center"/>
      <protection locked="0"/>
    </xf>
    <xf numFmtId="3" fontId="3" fillId="4" borderId="1" xfId="21" applyNumberFormat="1" applyFont="1" applyFill="1" applyBorder="1" applyAlignment="1" applyProtection="1">
      <alignment horizontal="right" vertical="center"/>
      <protection locked="0"/>
    </xf>
    <xf numFmtId="10" fontId="18" fillId="5" borderId="1" xfId="16" applyNumberFormat="1" applyFont="1" applyFill="1" applyBorder="1" applyAlignment="1">
      <alignment horizontal="center"/>
    </xf>
    <xf numFmtId="0" fontId="0" fillId="2" borderId="0" xfId="0" applyFill="1" applyAlignment="1">
      <alignment shrinkToFit="1"/>
    </xf>
    <xf numFmtId="0" fontId="22" fillId="4" borderId="1" xfId="15" applyFont="1" applyFill="1" applyBorder="1" applyAlignment="1">
      <alignment horizontal="left" vertical="top"/>
    </xf>
    <xf numFmtId="3" fontId="0" fillId="2" borderId="0" xfId="0" applyNumberFormat="1" applyFill="1" applyAlignment="1">
      <alignment shrinkToFit="1"/>
    </xf>
    <xf numFmtId="0" fontId="12" fillId="2" borderId="0" xfId="0" applyFont="1" applyFill="1"/>
    <xf numFmtId="3" fontId="27" fillId="0" borderId="0" xfId="0" applyNumberFormat="1" applyFont="1"/>
    <xf numFmtId="164" fontId="3" fillId="2" borderId="1" xfId="29" applyNumberFormat="1" applyFont="1" applyFill="1" applyBorder="1" applyAlignment="1">
      <alignment horizontal="right"/>
    </xf>
    <xf numFmtId="165" fontId="3" fillId="4" borderId="1" xfId="16" applyNumberFormat="1" applyFont="1" applyFill="1" applyBorder="1" applyAlignment="1" applyProtection="1">
      <alignment horizontal="right" vertical="center"/>
      <protection locked="0"/>
    </xf>
    <xf numFmtId="166" fontId="3" fillId="2" borderId="1" xfId="29" applyNumberFormat="1" applyFont="1" applyFill="1" applyBorder="1" applyAlignment="1" applyProtection="1">
      <alignment horizontal="right"/>
      <protection locked="0"/>
    </xf>
    <xf numFmtId="166" fontId="3" fillId="2" borderId="1" xfId="29" applyNumberFormat="1" applyFont="1" applyFill="1" applyBorder="1" applyAlignment="1" applyProtection="1">
      <alignment horizontal="right" wrapText="1"/>
      <protection locked="0"/>
    </xf>
    <xf numFmtId="165" fontId="19" fillId="2" borderId="0" xfId="29" applyNumberFormat="1" applyFont="1" applyFill="1" applyBorder="1" applyAlignment="1" applyProtection="1">
      <alignment horizontal="right"/>
    </xf>
    <xf numFmtId="166" fontId="12" fillId="0" borderId="0" xfId="0" applyNumberFormat="1" applyFont="1"/>
    <xf numFmtId="4" fontId="19" fillId="2" borderId="6" xfId="29" applyNumberFormat="1" applyFont="1" applyFill="1" applyBorder="1" applyAlignment="1" applyProtection="1">
      <alignment horizontal="right"/>
    </xf>
    <xf numFmtId="166" fontId="19" fillId="2" borderId="1" xfId="29" applyNumberFormat="1" applyFont="1" applyFill="1" applyBorder="1" applyAlignment="1" applyProtection="1">
      <alignment horizontal="right"/>
    </xf>
    <xf numFmtId="166" fontId="3" fillId="2" borderId="1" xfId="29" applyNumberFormat="1" applyFont="1" applyFill="1" applyBorder="1" applyAlignment="1">
      <alignment horizontal="right"/>
    </xf>
    <xf numFmtId="165" fontId="19" fillId="2" borderId="6" xfId="29" applyNumberFormat="1" applyFont="1" applyFill="1" applyBorder="1" applyAlignment="1" applyProtection="1">
      <alignment horizontal="right"/>
    </xf>
    <xf numFmtId="167" fontId="0" fillId="0" borderId="0" xfId="29" applyNumberFormat="1" applyFont="1" applyBorder="1" applyProtection="1">
      <protection locked="0"/>
    </xf>
    <xf numFmtId="166" fontId="3" fillId="2" borderId="8" xfId="29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0" fillId="0" borderId="0" xfId="29" applyNumberFormat="1" applyFont="1" applyBorder="1" applyProtection="1">
      <protection locked="0"/>
    </xf>
    <xf numFmtId="3" fontId="3" fillId="0" borderId="1" xfId="16" applyNumberFormat="1" applyFont="1" applyBorder="1" applyAlignment="1" applyProtection="1">
      <alignment horizontal="right"/>
      <protection locked="0"/>
    </xf>
    <xf numFmtId="10" fontId="3" fillId="0" borderId="1" xfId="16" applyNumberFormat="1" applyFont="1" applyBorder="1" applyAlignment="1">
      <alignment horizontal="right"/>
    </xf>
    <xf numFmtId="3" fontId="3" fillId="0" borderId="1" xfId="17" applyNumberFormat="1" applyFont="1" applyBorder="1" applyAlignment="1" applyProtection="1">
      <alignment horizontal="right"/>
      <protection locked="0"/>
    </xf>
    <xf numFmtId="3" fontId="3" fillId="0" borderId="1" xfId="18" applyNumberFormat="1" applyFont="1" applyBorder="1" applyAlignment="1" applyProtection="1">
      <alignment horizontal="right"/>
      <protection locked="0"/>
    </xf>
    <xf numFmtId="3" fontId="3" fillId="0" borderId="1" xfId="19" applyNumberFormat="1" applyFont="1" applyBorder="1" applyAlignment="1" applyProtection="1">
      <alignment horizontal="right"/>
      <protection locked="0"/>
    </xf>
    <xf numFmtId="3" fontId="3" fillId="0" borderId="1" xfId="20" applyNumberFormat="1" applyFont="1" applyBorder="1" applyAlignment="1" applyProtection="1">
      <alignment horizontal="right"/>
      <protection locked="0"/>
    </xf>
    <xf numFmtId="3" fontId="3" fillId="0" borderId="1" xfId="21" applyNumberFormat="1" applyFont="1" applyBorder="1" applyAlignment="1" applyProtection="1">
      <alignment horizontal="right"/>
      <protection locked="0"/>
    </xf>
    <xf numFmtId="3" fontId="3" fillId="0" borderId="1" xfId="22" applyNumberFormat="1" applyFont="1" applyBorder="1" applyAlignment="1" applyProtection="1">
      <alignment horizontal="right"/>
      <protection locked="0"/>
    </xf>
    <xf numFmtId="3" fontId="3" fillId="0" borderId="1" xfId="23" applyNumberFormat="1" applyFont="1" applyBorder="1" applyAlignment="1" applyProtection="1">
      <alignment horizontal="right"/>
      <protection locked="0"/>
    </xf>
    <xf numFmtId="3" fontId="3" fillId="0" borderId="1" xfId="24" applyNumberFormat="1" applyFont="1" applyBorder="1" applyAlignment="1" applyProtection="1">
      <alignment horizontal="right"/>
      <protection locked="0"/>
    </xf>
    <xf numFmtId="3" fontId="3" fillId="0" borderId="1" xfId="25" applyNumberFormat="1" applyFont="1" applyBorder="1" applyAlignment="1" applyProtection="1">
      <alignment horizontal="right"/>
      <protection locked="0"/>
    </xf>
    <xf numFmtId="3" fontId="3" fillId="0" borderId="1" xfId="26" applyNumberFormat="1" applyFont="1" applyBorder="1" applyAlignment="1" applyProtection="1">
      <alignment horizontal="right"/>
      <protection locked="0"/>
    </xf>
    <xf numFmtId="3" fontId="3" fillId="0" borderId="1" xfId="27" applyNumberFormat="1" applyFont="1" applyBorder="1" applyAlignment="1" applyProtection="1">
      <alignment horizontal="right"/>
      <protection locked="0"/>
    </xf>
    <xf numFmtId="166" fontId="31" fillId="0" borderId="0" xfId="0" applyNumberFormat="1" applyFont="1"/>
    <xf numFmtId="168" fontId="0" fillId="0" borderId="0" xfId="0" applyNumberFormat="1"/>
    <xf numFmtId="166" fontId="30" fillId="0" borderId="0" xfId="29" applyNumberFormat="1" applyFont="1" applyBorder="1"/>
    <xf numFmtId="167" fontId="0" fillId="0" borderId="0" xfId="0" applyNumberFormat="1"/>
    <xf numFmtId="169" fontId="0" fillId="0" borderId="0" xfId="0" applyNumberFormat="1"/>
    <xf numFmtId="164" fontId="19" fillId="2" borderId="1" xfId="29" applyNumberFormat="1" applyFont="1" applyFill="1" applyBorder="1" applyAlignment="1" applyProtection="1">
      <alignment horizontal="right"/>
    </xf>
    <xf numFmtId="166" fontId="25" fillId="3" borderId="1" xfId="16" applyNumberFormat="1" applyFont="1" applyFill="1" applyBorder="1" applyAlignment="1">
      <alignment horizontal="center"/>
    </xf>
    <xf numFmtId="167" fontId="12" fillId="0" borderId="0" xfId="0" applyNumberFormat="1" applyFont="1"/>
    <xf numFmtId="166" fontId="0" fillId="0" borderId="0" xfId="0" applyNumberFormat="1"/>
    <xf numFmtId="168" fontId="3" fillId="0" borderId="1" xfId="16" applyNumberFormat="1" applyFont="1" applyBorder="1" applyAlignment="1">
      <alignment horizontal="right"/>
    </xf>
    <xf numFmtId="168" fontId="3" fillId="2" borderId="1" xfId="29" applyNumberFormat="1" applyFont="1" applyFill="1" applyBorder="1" applyAlignment="1">
      <alignment horizontal="right"/>
    </xf>
    <xf numFmtId="168" fontId="19" fillId="2" borderId="1" xfId="16" applyNumberFormat="1" applyFont="1" applyFill="1" applyBorder="1" applyAlignment="1">
      <alignment horizontal="right"/>
    </xf>
    <xf numFmtId="168" fontId="19" fillId="2" borderId="1" xfId="29" applyNumberFormat="1" applyFont="1" applyFill="1" applyBorder="1" applyAlignment="1" applyProtection="1">
      <alignment horizontal="right"/>
    </xf>
    <xf numFmtId="4" fontId="19" fillId="2" borderId="1" xfId="16" applyNumberFormat="1" applyFont="1" applyFill="1" applyBorder="1" applyAlignment="1">
      <alignment horizontal="right"/>
    </xf>
    <xf numFmtId="0" fontId="33" fillId="0" borderId="0" xfId="0" applyFont="1" applyAlignment="1">
      <alignment horizontal="left" vertical="center"/>
    </xf>
    <xf numFmtId="0" fontId="34" fillId="2" borderId="0" xfId="15" applyFont="1" applyFill="1" applyAlignment="1">
      <alignment horizontal="left"/>
    </xf>
    <xf numFmtId="3" fontId="3" fillId="2" borderId="1" xfId="18" applyNumberFormat="1" applyFont="1" applyFill="1" applyBorder="1" applyAlignment="1" applyProtection="1">
      <alignment horizontal="right"/>
      <protection locked="0"/>
    </xf>
    <xf numFmtId="168" fontId="3" fillId="2" borderId="1" xfId="16" applyNumberFormat="1" applyFont="1" applyFill="1" applyBorder="1" applyAlignment="1">
      <alignment horizontal="right"/>
    </xf>
    <xf numFmtId="168" fontId="19" fillId="2" borderId="4" xfId="16" applyNumberFormat="1" applyFont="1" applyFill="1" applyBorder="1" applyAlignment="1">
      <alignment horizontal="right"/>
    </xf>
    <xf numFmtId="0" fontId="18" fillId="2" borderId="1" xfId="15" applyFont="1" applyFill="1" applyBorder="1" applyAlignment="1">
      <alignment horizontal="left"/>
    </xf>
    <xf numFmtId="0" fontId="3" fillId="2" borderId="1" xfId="15" applyFont="1" applyFill="1" applyBorder="1" applyAlignment="1">
      <alignment horizontal="left"/>
    </xf>
    <xf numFmtId="0" fontId="0" fillId="0" borderId="0" xfId="0" applyAlignment="1">
      <alignment horizontal="right"/>
    </xf>
    <xf numFmtId="171" fontId="0" fillId="0" borderId="0" xfId="29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Protection="1">
      <protection locked="0"/>
    </xf>
    <xf numFmtId="168" fontId="30" fillId="0" borderId="0" xfId="0" applyNumberFormat="1" applyFont="1"/>
    <xf numFmtId="172" fontId="30" fillId="0" borderId="0" xfId="0" applyNumberFormat="1" applyFont="1"/>
    <xf numFmtId="4" fontId="19" fillId="2" borderId="0" xfId="16" applyNumberFormat="1" applyFont="1" applyFill="1" applyAlignment="1">
      <alignment horizontal="right"/>
    </xf>
    <xf numFmtId="172" fontId="0" fillId="0" borderId="0" xfId="0" applyNumberFormat="1"/>
    <xf numFmtId="166" fontId="0" fillId="0" borderId="0" xfId="0" applyNumberFormat="1" applyProtection="1">
      <protection locked="0"/>
    </xf>
    <xf numFmtId="4" fontId="19" fillId="2" borderId="0" xfId="29" applyNumberFormat="1" applyFont="1" applyFill="1" applyBorder="1" applyAlignment="1" applyProtection="1">
      <alignment horizontal="right"/>
    </xf>
    <xf numFmtId="4" fontId="0" fillId="0" borderId="0" xfId="0" applyNumberFormat="1" applyProtection="1">
      <protection locked="0"/>
    </xf>
    <xf numFmtId="166" fontId="0" fillId="0" borderId="0" xfId="29" applyNumberFormat="1" applyFont="1" applyBorder="1" applyProtection="1"/>
    <xf numFmtId="166" fontId="0" fillId="0" borderId="0" xfId="29" applyNumberFormat="1" applyFont="1" applyBorder="1" applyAlignment="1" applyProtection="1">
      <alignment horizontal="right"/>
    </xf>
    <xf numFmtId="166" fontId="35" fillId="0" borderId="0" xfId="29" applyNumberFormat="1" applyFont="1" applyBorder="1" applyProtection="1"/>
    <xf numFmtId="166" fontId="36" fillId="0" borderId="0" xfId="29" applyNumberFormat="1" applyFont="1" applyBorder="1" applyProtection="1"/>
    <xf numFmtId="166" fontId="13" fillId="0" borderId="0" xfId="29" applyNumberFormat="1" applyFont="1" applyBorder="1" applyProtection="1"/>
    <xf numFmtId="166" fontId="0" fillId="0" borderId="0" xfId="29" applyNumberFormat="1" applyFont="1" applyProtection="1">
      <protection locked="0"/>
    </xf>
    <xf numFmtId="168" fontId="19" fillId="2" borderId="0" xfId="29" applyNumberFormat="1" applyFont="1" applyFill="1" applyBorder="1" applyAlignment="1" applyProtection="1">
      <alignment horizontal="right"/>
    </xf>
    <xf numFmtId="172" fontId="19" fillId="2" borderId="0" xfId="29" applyNumberFormat="1" applyFont="1" applyFill="1" applyBorder="1" applyAlignment="1" applyProtection="1">
      <alignment horizontal="right"/>
    </xf>
    <xf numFmtId="169" fontId="19" fillId="2" borderId="6" xfId="29" applyNumberFormat="1" applyFont="1" applyFill="1" applyBorder="1" applyAlignment="1" applyProtection="1">
      <alignment horizontal="right"/>
    </xf>
    <xf numFmtId="166" fontId="31" fillId="0" borderId="0" xfId="29" applyNumberFormat="1" applyFont="1" applyBorder="1"/>
    <xf numFmtId="167" fontId="19" fillId="2" borderId="0" xfId="29" applyNumberFormat="1" applyFont="1" applyFill="1" applyBorder="1" applyAlignment="1" applyProtection="1">
      <alignment horizontal="right"/>
    </xf>
    <xf numFmtId="3" fontId="9" fillId="2" borderId="0" xfId="29" applyNumberFormat="1" applyFont="1" applyFill="1" applyBorder="1" applyAlignment="1" applyProtection="1">
      <alignment horizontal="right"/>
    </xf>
    <xf numFmtId="3" fontId="37" fillId="0" borderId="0" xfId="0" applyNumberFormat="1" applyFont="1" applyProtection="1">
      <protection locked="0"/>
    </xf>
    <xf numFmtId="166" fontId="19" fillId="2" borderId="6" xfId="29" applyNumberFormat="1" applyFont="1" applyFill="1" applyBorder="1" applyAlignment="1" applyProtection="1">
      <alignment horizontal="right"/>
    </xf>
    <xf numFmtId="168" fontId="19" fillId="2" borderId="6" xfId="29" applyNumberFormat="1" applyFont="1" applyFill="1" applyBorder="1" applyAlignment="1" applyProtection="1">
      <alignment horizontal="right"/>
    </xf>
    <xf numFmtId="169" fontId="19" fillId="2" borderId="0" xfId="29" applyNumberFormat="1" applyFont="1" applyFill="1" applyBorder="1" applyAlignment="1" applyProtection="1">
      <alignment horizontal="right"/>
    </xf>
    <xf numFmtId="0" fontId="3" fillId="2" borderId="9" xfId="16" applyFont="1" applyFill="1" applyBorder="1" applyAlignment="1" applyProtection="1">
      <alignment horizontal="left"/>
      <protection locked="0"/>
    </xf>
    <xf numFmtId="167" fontId="3" fillId="4" borderId="1" xfId="29" applyNumberFormat="1" applyFont="1" applyFill="1" applyBorder="1" applyAlignment="1">
      <alignment horizontal="right"/>
    </xf>
    <xf numFmtId="171" fontId="19" fillId="2" borderId="0" xfId="29" applyNumberFormat="1" applyFont="1" applyFill="1" applyBorder="1" applyAlignment="1" applyProtection="1">
      <alignment horizontal="right"/>
    </xf>
    <xf numFmtId="173" fontId="12" fillId="0" borderId="0" xfId="0" applyNumberFormat="1" applyFont="1"/>
    <xf numFmtId="169" fontId="3" fillId="2" borderId="1" xfId="16" applyNumberFormat="1" applyFont="1" applyFill="1" applyBorder="1" applyAlignment="1" applyProtection="1">
      <alignment horizontal="right"/>
      <protection locked="0"/>
    </xf>
    <xf numFmtId="167" fontId="3" fillId="4" borderId="1" xfId="29" applyNumberFormat="1" applyFont="1" applyFill="1" applyBorder="1" applyAlignment="1">
      <alignment horizontal="right" vertical="center"/>
    </xf>
    <xf numFmtId="174" fontId="19" fillId="2" borderId="0" xfId="16" applyNumberFormat="1" applyFont="1" applyFill="1" applyAlignment="1">
      <alignment horizontal="right"/>
    </xf>
    <xf numFmtId="166" fontId="3" fillId="2" borderId="1" xfId="20" applyNumberFormat="1" applyFont="1" applyFill="1" applyBorder="1" applyAlignment="1" applyProtection="1">
      <alignment horizontal="right"/>
      <protection locked="0"/>
    </xf>
    <xf numFmtId="166" fontId="19" fillId="2" borderId="1" xfId="16" applyNumberFormat="1" applyFont="1" applyFill="1" applyBorder="1" applyAlignment="1">
      <alignment horizontal="right"/>
    </xf>
    <xf numFmtId="166" fontId="3" fillId="2" borderId="1" xfId="16" applyNumberFormat="1" applyFont="1" applyFill="1" applyBorder="1" applyAlignment="1" applyProtection="1">
      <alignment horizontal="right"/>
      <protection locked="0"/>
    </xf>
    <xf numFmtId="170" fontId="0" fillId="0" borderId="0" xfId="0" applyNumberForma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5" fontId="3" fillId="4" borderId="1" xfId="22" applyNumberFormat="1" applyFont="1" applyFill="1" applyBorder="1" applyAlignment="1" applyProtection="1">
      <alignment horizontal="right"/>
      <protection locked="0"/>
    </xf>
    <xf numFmtId="166" fontId="32" fillId="0" borderId="0" xfId="0" applyNumberFormat="1" applyFont="1" applyProtection="1">
      <protection locked="0"/>
    </xf>
    <xf numFmtId="167" fontId="0" fillId="0" borderId="0" xfId="29" applyNumberFormat="1" applyFont="1" applyBorder="1" applyProtection="1"/>
    <xf numFmtId="167" fontId="0" fillId="0" borderId="0" xfId="29" applyNumberFormat="1" applyFont="1"/>
    <xf numFmtId="3" fontId="0" fillId="0" borderId="0" xfId="0" applyNumberFormat="1" applyAlignment="1" applyProtection="1">
      <alignment horizontal="right"/>
      <protection locked="0"/>
    </xf>
    <xf numFmtId="167" fontId="0" fillId="0" borderId="0" xfId="29" applyNumberFormat="1" applyFont="1" applyProtection="1">
      <protection locked="0"/>
    </xf>
    <xf numFmtId="173" fontId="0" fillId="0" borderId="0" xfId="0" applyNumberFormat="1"/>
    <xf numFmtId="170" fontId="12" fillId="0" borderId="0" xfId="0" applyNumberFormat="1" applyFont="1"/>
    <xf numFmtId="166" fontId="12" fillId="0" borderId="0" xfId="0" applyNumberFormat="1" applyFont="1" applyAlignment="1">
      <alignment horizontal="center"/>
    </xf>
    <xf numFmtId="170" fontId="31" fillId="0" borderId="0" xfId="0" applyNumberFormat="1" applyFont="1" applyProtection="1">
      <protection locked="0"/>
    </xf>
    <xf numFmtId="10" fontId="0" fillId="0" borderId="0" xfId="0" applyNumberFormat="1" applyAlignment="1">
      <alignment horizontal="right"/>
    </xf>
    <xf numFmtId="166" fontId="3" fillId="4" borderId="1" xfId="17" applyNumberFormat="1" applyFont="1" applyFill="1" applyBorder="1" applyAlignment="1" applyProtection="1">
      <alignment horizontal="right" vertical="center"/>
      <protection locked="0"/>
    </xf>
    <xf numFmtId="0" fontId="12" fillId="0" borderId="1" xfId="0" applyFont="1" applyBorder="1"/>
    <xf numFmtId="4" fontId="3" fillId="0" borderId="1" xfId="21" applyNumberFormat="1" applyFont="1" applyBorder="1" applyAlignment="1" applyProtection="1">
      <alignment horizontal="right"/>
      <protection locked="0"/>
    </xf>
    <xf numFmtId="175" fontId="12" fillId="0" borderId="0" xfId="0" applyNumberFormat="1" applyFont="1"/>
    <xf numFmtId="3" fontId="19" fillId="2" borderId="1" xfId="28" applyNumberFormat="1" applyFont="1" applyFill="1" applyBorder="1" applyAlignment="1">
      <alignment horizontal="right"/>
    </xf>
    <xf numFmtId="3" fontId="19" fillId="2" borderId="6" xfId="16" applyNumberFormat="1" applyFont="1" applyFill="1" applyBorder="1" applyAlignment="1">
      <alignment horizontal="right"/>
    </xf>
    <xf numFmtId="2" fontId="19" fillId="2" borderId="6" xfId="16" applyNumberFormat="1" applyFont="1" applyFill="1" applyBorder="1" applyAlignment="1">
      <alignment horizontal="right"/>
    </xf>
    <xf numFmtId="166" fontId="19" fillId="2" borderId="6" xfId="16" applyNumberFormat="1" applyFont="1" applyFill="1" applyBorder="1" applyAlignment="1">
      <alignment horizontal="right"/>
    </xf>
    <xf numFmtId="168" fontId="19" fillId="2" borderId="6" xfId="16" applyNumberFormat="1" applyFont="1" applyFill="1" applyBorder="1" applyAlignment="1">
      <alignment horizontal="right"/>
    </xf>
    <xf numFmtId="3" fontId="19" fillId="2" borderId="6" xfId="28" applyNumberFormat="1" applyFont="1" applyFill="1" applyBorder="1" applyAlignment="1">
      <alignment horizontal="right"/>
    </xf>
    <xf numFmtId="166" fontId="19" fillId="2" borderId="0" xfId="16" applyNumberFormat="1" applyFont="1" applyFill="1" applyAlignment="1">
      <alignment horizontal="right"/>
    </xf>
    <xf numFmtId="168" fontId="19" fillId="2" borderId="0" xfId="16" applyNumberFormat="1" applyFont="1" applyFill="1" applyAlignment="1">
      <alignment horizontal="right"/>
    </xf>
    <xf numFmtId="3" fontId="19" fillId="2" borderId="0" xfId="28" applyNumberFormat="1" applyFont="1" applyFill="1" applyAlignment="1">
      <alignment horizontal="right"/>
    </xf>
    <xf numFmtId="0" fontId="0" fillId="2" borderId="9" xfId="0" applyFill="1" applyBorder="1" applyAlignment="1">
      <alignment shrinkToFit="1"/>
    </xf>
    <xf numFmtId="0" fontId="0" fillId="2" borderId="0" xfId="0" applyFill="1"/>
    <xf numFmtId="10" fontId="0" fillId="2" borderId="0" xfId="0" applyNumberFormat="1" applyFill="1" applyAlignment="1">
      <alignment shrinkToFit="1"/>
    </xf>
    <xf numFmtId="10" fontId="0" fillId="2" borderId="9" xfId="0" applyNumberFormat="1" applyFill="1" applyBorder="1"/>
    <xf numFmtId="10" fontId="0" fillId="2" borderId="0" xfId="0" applyNumberFormat="1" applyFill="1"/>
    <xf numFmtId="0" fontId="13" fillId="2" borderId="0" xfId="0" applyFont="1" applyFill="1" applyAlignment="1">
      <alignment vertical="center" shrinkToFit="1"/>
    </xf>
    <xf numFmtId="10" fontId="13" fillId="2" borderId="0" xfId="0" applyNumberFormat="1" applyFont="1" applyFill="1"/>
    <xf numFmtId="0" fontId="0" fillId="2" borderId="0" xfId="0" applyFill="1" applyAlignment="1">
      <alignment horizontal="center"/>
    </xf>
    <xf numFmtId="0" fontId="18" fillId="6" borderId="1" xfId="16" applyFont="1" applyFill="1" applyBorder="1" applyAlignment="1" applyProtection="1">
      <alignment horizontal="center"/>
      <protection locked="0"/>
    </xf>
    <xf numFmtId="0" fontId="18" fillId="6" borderId="1" xfId="16" applyFont="1" applyFill="1" applyBorder="1" applyAlignment="1">
      <alignment horizontal="center"/>
    </xf>
    <xf numFmtId="166" fontId="19" fillId="2" borderId="0" xfId="29" applyNumberFormat="1" applyFont="1" applyFill="1" applyBorder="1" applyAlignment="1" applyProtection="1">
      <alignment horizontal="right"/>
    </xf>
    <xf numFmtId="165" fontId="12" fillId="0" borderId="0" xfId="0" applyNumberFormat="1" applyFont="1"/>
    <xf numFmtId="168" fontId="5" fillId="0" borderId="9" xfId="0" applyNumberFormat="1" applyFont="1" applyBorder="1"/>
    <xf numFmtId="166" fontId="5" fillId="0" borderId="9" xfId="29" applyNumberFormat="1" applyFont="1" applyBorder="1" applyProtection="1">
      <protection locked="0"/>
    </xf>
    <xf numFmtId="166" fontId="0" fillId="0" borderId="0" xfId="0" applyNumberFormat="1" applyAlignment="1">
      <alignment horizontal="right"/>
    </xf>
    <xf numFmtId="171" fontId="0" fillId="0" borderId="0" xfId="29" applyNumberFormat="1" applyFont="1"/>
    <xf numFmtId="171" fontId="17" fillId="0" borderId="0" xfId="29" applyNumberFormat="1" applyFont="1"/>
    <xf numFmtId="170" fontId="17" fillId="0" borderId="0" xfId="29" applyNumberFormat="1" applyFont="1"/>
    <xf numFmtId="43" fontId="30" fillId="0" borderId="0" xfId="29" applyFont="1"/>
    <xf numFmtId="170" fontId="0" fillId="0" borderId="0" xfId="29" applyNumberFormat="1" applyFont="1"/>
    <xf numFmtId="168" fontId="0" fillId="0" borderId="1" xfId="0" applyNumberFormat="1" applyBorder="1"/>
    <xf numFmtId="166" fontId="0" fillId="0" borderId="1" xfId="29" applyNumberFormat="1" applyFont="1" applyBorder="1" applyProtection="1">
      <protection locked="0"/>
    </xf>
    <xf numFmtId="166" fontId="5" fillId="0" borderId="1" xfId="29" applyNumberFormat="1" applyFont="1" applyBorder="1" applyProtection="1">
      <protection locked="0"/>
    </xf>
    <xf numFmtId="164" fontId="12" fillId="0" borderId="0" xfId="0" applyNumberFormat="1" applyFont="1"/>
    <xf numFmtId="0" fontId="12" fillId="2" borderId="0" xfId="0" applyFont="1" applyFill="1" applyAlignment="1">
      <alignment shrinkToFit="1"/>
    </xf>
    <xf numFmtId="3" fontId="12" fillId="2" borderId="0" xfId="0" applyNumberFormat="1" applyFont="1" applyFill="1"/>
    <xf numFmtId="166" fontId="3" fillId="4" borderId="1" xfId="23" applyNumberFormat="1" applyFont="1" applyFill="1" applyBorder="1" applyAlignment="1" applyProtection="1">
      <alignment horizontal="right"/>
      <protection locked="0"/>
    </xf>
    <xf numFmtId="167" fontId="12" fillId="0" borderId="0" xfId="29" applyNumberFormat="1" applyFont="1" applyProtection="1"/>
    <xf numFmtId="167" fontId="0" fillId="2" borderId="0" xfId="29" applyNumberFormat="1" applyFont="1" applyFill="1"/>
    <xf numFmtId="171" fontId="12" fillId="0" borderId="0" xfId="29" applyNumberFormat="1" applyFont="1" applyProtection="1"/>
    <xf numFmtId="43" fontId="0" fillId="0" borderId="0" xfId="29" applyFont="1"/>
    <xf numFmtId="167" fontId="38" fillId="0" borderId="0" xfId="29" applyNumberFormat="1" applyFont="1" applyBorder="1" applyProtection="1">
      <protection locked="0"/>
    </xf>
    <xf numFmtId="10" fontId="38" fillId="0" borderId="0" xfId="0" applyNumberFormat="1" applyFont="1"/>
    <xf numFmtId="166" fontId="38" fillId="0" borderId="0" xfId="29" applyNumberFormat="1" applyFont="1" applyBorder="1" applyProtection="1">
      <protection locked="0"/>
    </xf>
    <xf numFmtId="2" fontId="38" fillId="0" borderId="0" xfId="0" applyNumberFormat="1" applyFont="1"/>
    <xf numFmtId="3" fontId="38" fillId="0" borderId="0" xfId="0" applyNumberFormat="1" applyFont="1" applyProtection="1">
      <protection locked="0"/>
    </xf>
    <xf numFmtId="0" fontId="38" fillId="0" borderId="0" xfId="0" applyFont="1" applyProtection="1">
      <protection locked="0"/>
    </xf>
    <xf numFmtId="0" fontId="39" fillId="2" borderId="0" xfId="0" applyFont="1" applyFill="1"/>
    <xf numFmtId="167" fontId="40" fillId="0" borderId="0" xfId="29" applyNumberFormat="1" applyFont="1" applyBorder="1" applyProtection="1">
      <protection locked="0"/>
    </xf>
    <xf numFmtId="1" fontId="38" fillId="0" borderId="0" xfId="0" applyNumberFormat="1" applyFont="1"/>
    <xf numFmtId="166" fontId="41" fillId="0" borderId="0" xfId="0" applyNumberFormat="1" applyFont="1"/>
    <xf numFmtId="173" fontId="38" fillId="0" borderId="0" xfId="0" applyNumberFormat="1" applyFont="1" applyAlignment="1">
      <alignment horizontal="right"/>
    </xf>
    <xf numFmtId="166" fontId="38" fillId="0" borderId="0" xfId="29" applyNumberFormat="1" applyFont="1" applyBorder="1" applyAlignment="1" applyProtection="1">
      <alignment horizontal="right"/>
      <protection locked="0"/>
    </xf>
    <xf numFmtId="0" fontId="22" fillId="7" borderId="1" xfId="15" applyFont="1" applyFill="1" applyBorder="1" applyAlignment="1">
      <alignment horizontal="left" vertical="center"/>
    </xf>
    <xf numFmtId="3" fontId="3" fillId="7" borderId="1" xfId="16" applyNumberFormat="1" applyFont="1" applyFill="1" applyBorder="1" applyAlignment="1" applyProtection="1">
      <alignment horizontal="right" vertical="center"/>
      <protection locked="0"/>
    </xf>
    <xf numFmtId="10" fontId="3" fillId="7" borderId="1" xfId="16" applyNumberFormat="1" applyFont="1" applyFill="1" applyBorder="1" applyAlignment="1">
      <alignment horizontal="right" vertical="center"/>
    </xf>
    <xf numFmtId="3" fontId="3" fillId="7" borderId="1" xfId="17" applyNumberFormat="1" applyFont="1" applyFill="1" applyBorder="1" applyAlignment="1" applyProtection="1">
      <alignment horizontal="right" vertical="center"/>
      <protection locked="0"/>
    </xf>
    <xf numFmtId="3" fontId="3" fillId="7" borderId="1" xfId="18" applyNumberFormat="1" applyFont="1" applyFill="1" applyBorder="1" applyAlignment="1" applyProtection="1">
      <alignment horizontal="right" vertical="center"/>
      <protection locked="0"/>
    </xf>
    <xf numFmtId="3" fontId="3" fillId="7" borderId="1" xfId="19" applyNumberFormat="1" applyFont="1" applyFill="1" applyBorder="1" applyAlignment="1" applyProtection="1">
      <alignment horizontal="right" vertical="center"/>
      <protection locked="0"/>
    </xf>
    <xf numFmtId="3" fontId="3" fillId="7" borderId="1" xfId="20" applyNumberFormat="1" applyFont="1" applyFill="1" applyBorder="1" applyAlignment="1" applyProtection="1">
      <alignment horizontal="right" vertical="center"/>
      <protection locked="0"/>
    </xf>
    <xf numFmtId="3" fontId="3" fillId="7" borderId="1" xfId="21" applyNumberFormat="1" applyFont="1" applyFill="1" applyBorder="1" applyAlignment="1" applyProtection="1">
      <alignment horizontal="right" vertical="center"/>
      <protection locked="0"/>
    </xf>
    <xf numFmtId="0" fontId="0" fillId="7" borderId="0" xfId="0" applyFill="1" applyAlignment="1">
      <alignment shrinkToFit="1"/>
    </xf>
    <xf numFmtId="3" fontId="3" fillId="7" borderId="1" xfId="23" applyNumberFormat="1" applyFont="1" applyFill="1" applyBorder="1" applyAlignment="1" applyProtection="1">
      <alignment horizontal="right"/>
      <protection locked="0"/>
    </xf>
    <xf numFmtId="10" fontId="3" fillId="7" borderId="1" xfId="16" applyNumberFormat="1" applyFont="1" applyFill="1" applyBorder="1" applyAlignment="1">
      <alignment horizontal="right"/>
    </xf>
    <xf numFmtId="3" fontId="3" fillId="7" borderId="1" xfId="22" applyNumberFormat="1" applyFont="1" applyFill="1" applyBorder="1" applyAlignment="1" applyProtection="1">
      <alignment horizontal="right"/>
      <protection locked="0"/>
    </xf>
    <xf numFmtId="3" fontId="3" fillId="7" borderId="1" xfId="24" applyNumberFormat="1" applyFont="1" applyFill="1" applyBorder="1" applyAlignment="1" applyProtection="1">
      <alignment horizontal="right"/>
      <protection locked="0"/>
    </xf>
    <xf numFmtId="3" fontId="3" fillId="7" borderId="1" xfId="25" applyNumberFormat="1" applyFont="1" applyFill="1" applyBorder="1" applyAlignment="1" applyProtection="1">
      <alignment horizontal="right"/>
      <protection locked="0"/>
    </xf>
    <xf numFmtId="3" fontId="3" fillId="7" borderId="1" xfId="26" applyNumberFormat="1" applyFont="1" applyFill="1" applyBorder="1" applyAlignment="1" applyProtection="1">
      <alignment horizontal="right"/>
      <protection locked="0"/>
    </xf>
    <xf numFmtId="3" fontId="3" fillId="7" borderId="1" xfId="27" applyNumberFormat="1" applyFont="1" applyFill="1" applyBorder="1" applyAlignment="1" applyProtection="1">
      <alignment horizontal="right"/>
      <protection locked="0"/>
    </xf>
    <xf numFmtId="3" fontId="3" fillId="7" borderId="1" xfId="28" applyNumberFormat="1" applyFont="1" applyFill="1" applyBorder="1" applyAlignment="1">
      <alignment horizontal="right"/>
    </xf>
    <xf numFmtId="0" fontId="12" fillId="7" borderId="0" xfId="0" applyFont="1" applyFill="1"/>
    <xf numFmtId="0" fontId="22" fillId="7" borderId="1" xfId="15" applyFont="1" applyFill="1" applyBorder="1" applyAlignment="1">
      <alignment horizontal="left"/>
    </xf>
    <xf numFmtId="3" fontId="3" fillId="7" borderId="1" xfId="16" applyNumberFormat="1" applyFont="1" applyFill="1" applyBorder="1" applyAlignment="1" applyProtection="1">
      <alignment horizontal="right"/>
      <protection locked="0"/>
    </xf>
    <xf numFmtId="3" fontId="3" fillId="7" borderId="1" xfId="17" applyNumberFormat="1" applyFont="1" applyFill="1" applyBorder="1" applyAlignment="1" applyProtection="1">
      <alignment horizontal="right"/>
      <protection locked="0"/>
    </xf>
    <xf numFmtId="3" fontId="3" fillId="7" borderId="1" xfId="18" applyNumberFormat="1" applyFont="1" applyFill="1" applyBorder="1" applyAlignment="1" applyProtection="1">
      <alignment horizontal="right"/>
      <protection locked="0"/>
    </xf>
    <xf numFmtId="3" fontId="3" fillId="7" borderId="1" xfId="19" applyNumberFormat="1" applyFont="1" applyFill="1" applyBorder="1" applyAlignment="1" applyProtection="1">
      <alignment horizontal="right"/>
      <protection locked="0"/>
    </xf>
    <xf numFmtId="3" fontId="3" fillId="7" borderId="1" xfId="20" applyNumberFormat="1" applyFont="1" applyFill="1" applyBorder="1" applyAlignment="1" applyProtection="1">
      <alignment horizontal="right"/>
      <protection locked="0"/>
    </xf>
    <xf numFmtId="3" fontId="3" fillId="7" borderId="1" xfId="21" applyNumberFormat="1" applyFont="1" applyFill="1" applyBorder="1" applyAlignment="1" applyProtection="1">
      <alignment horizontal="right"/>
      <protection locked="0"/>
    </xf>
    <xf numFmtId="0" fontId="0" fillId="7" borderId="0" xfId="0" applyFill="1"/>
    <xf numFmtId="169" fontId="3" fillId="7" borderId="1" xfId="16" applyNumberFormat="1" applyFont="1" applyFill="1" applyBorder="1" applyAlignment="1">
      <alignment horizontal="right"/>
    </xf>
    <xf numFmtId="167" fontId="3" fillId="7" borderId="1" xfId="29" applyNumberFormat="1" applyFont="1" applyFill="1" applyBorder="1" applyAlignment="1">
      <alignment horizontal="right"/>
    </xf>
    <xf numFmtId="173" fontId="12" fillId="7" borderId="0" xfId="0" applyNumberFormat="1" applyFont="1" applyFill="1"/>
    <xf numFmtId="4" fontId="3" fillId="7" borderId="1" xfId="19" applyNumberFormat="1" applyFont="1" applyFill="1" applyBorder="1" applyAlignment="1" applyProtection="1">
      <alignment horizontal="right"/>
      <protection locked="0"/>
    </xf>
    <xf numFmtId="174" fontId="3" fillId="7" borderId="1" xfId="19" applyNumberFormat="1" applyFont="1" applyFill="1" applyBorder="1" applyAlignment="1" applyProtection="1">
      <alignment horizontal="right"/>
      <protection locked="0"/>
    </xf>
    <xf numFmtId="165" fontId="3" fillId="7" borderId="1" xfId="20" applyNumberFormat="1" applyFont="1" applyFill="1" applyBorder="1" applyAlignment="1" applyProtection="1">
      <alignment horizontal="right"/>
      <protection locked="0"/>
    </xf>
    <xf numFmtId="3" fontId="19" fillId="7" borderId="0" xfId="29" applyNumberFormat="1" applyFont="1" applyFill="1" applyBorder="1" applyAlignment="1" applyProtection="1">
      <alignment horizontal="right"/>
    </xf>
    <xf numFmtId="0" fontId="22" fillId="7" borderId="5" xfId="15" applyFont="1" applyFill="1" applyBorder="1" applyAlignment="1">
      <alignment horizontal="left"/>
    </xf>
    <xf numFmtId="3" fontId="3" fillId="7" borderId="5" xfId="16" applyNumberFormat="1" applyFont="1" applyFill="1" applyBorder="1" applyAlignment="1" applyProtection="1">
      <alignment horizontal="right"/>
      <protection locked="0"/>
    </xf>
    <xf numFmtId="10" fontId="3" fillId="7" borderId="5" xfId="16" applyNumberFormat="1" applyFont="1" applyFill="1" applyBorder="1" applyAlignment="1">
      <alignment horizontal="right"/>
    </xf>
    <xf numFmtId="3" fontId="3" fillId="7" borderId="5" xfId="17" applyNumberFormat="1" applyFont="1" applyFill="1" applyBorder="1" applyAlignment="1" applyProtection="1">
      <alignment horizontal="right"/>
      <protection locked="0"/>
    </xf>
    <xf numFmtId="3" fontId="3" fillId="7" borderId="5" xfId="18" applyNumberFormat="1" applyFont="1" applyFill="1" applyBorder="1" applyAlignment="1" applyProtection="1">
      <alignment horizontal="right"/>
      <protection locked="0"/>
    </xf>
    <xf numFmtId="3" fontId="3" fillId="7" borderId="5" xfId="19" applyNumberFormat="1" applyFont="1" applyFill="1" applyBorder="1" applyAlignment="1" applyProtection="1">
      <alignment horizontal="right"/>
      <protection locked="0"/>
    </xf>
    <xf numFmtId="3" fontId="3" fillId="7" borderId="5" xfId="20" applyNumberFormat="1" applyFont="1" applyFill="1" applyBorder="1" applyAlignment="1" applyProtection="1">
      <alignment horizontal="right"/>
      <protection locked="0"/>
    </xf>
    <xf numFmtId="167" fontId="3" fillId="7" borderId="5" xfId="29" applyNumberFormat="1" applyFont="1" applyFill="1" applyBorder="1" applyAlignment="1">
      <alignment horizontal="right"/>
    </xf>
    <xf numFmtId="3" fontId="3" fillId="7" borderId="5" xfId="21" applyNumberFormat="1" applyFont="1" applyFill="1" applyBorder="1" applyAlignment="1" applyProtection="1">
      <alignment horizontal="right"/>
      <protection locked="0"/>
    </xf>
    <xf numFmtId="3" fontId="3" fillId="7" borderId="5" xfId="23" applyNumberFormat="1" applyFont="1" applyFill="1" applyBorder="1" applyAlignment="1" applyProtection="1">
      <alignment horizontal="right"/>
      <protection locked="0"/>
    </xf>
    <xf numFmtId="3" fontId="3" fillId="7" borderId="5" xfId="22" applyNumberFormat="1" applyFont="1" applyFill="1" applyBorder="1" applyAlignment="1" applyProtection="1">
      <alignment horizontal="right"/>
      <protection locked="0"/>
    </xf>
    <xf numFmtId="3" fontId="3" fillId="7" borderId="5" xfId="24" applyNumberFormat="1" applyFont="1" applyFill="1" applyBorder="1" applyAlignment="1" applyProtection="1">
      <alignment horizontal="right"/>
      <protection locked="0"/>
    </xf>
    <xf numFmtId="3" fontId="3" fillId="7" borderId="5" xfId="25" applyNumberFormat="1" applyFont="1" applyFill="1" applyBorder="1" applyAlignment="1" applyProtection="1">
      <alignment horizontal="right"/>
      <protection locked="0"/>
    </xf>
    <xf numFmtId="3" fontId="3" fillId="7" borderId="5" xfId="26" applyNumberFormat="1" applyFont="1" applyFill="1" applyBorder="1" applyAlignment="1" applyProtection="1">
      <alignment horizontal="right"/>
      <protection locked="0"/>
    </xf>
    <xf numFmtId="3" fontId="3" fillId="7" borderId="5" xfId="27" applyNumberFormat="1" applyFont="1" applyFill="1" applyBorder="1" applyAlignment="1" applyProtection="1">
      <alignment horizontal="right"/>
      <protection locked="0"/>
    </xf>
    <xf numFmtId="3" fontId="3" fillId="7" borderId="5" xfId="28" applyNumberFormat="1" applyFont="1" applyFill="1" applyBorder="1" applyAlignment="1">
      <alignment horizontal="right"/>
    </xf>
    <xf numFmtId="0" fontId="29" fillId="7" borderId="1" xfId="15" applyFont="1" applyFill="1" applyBorder="1" applyAlignment="1">
      <alignment horizontal="left"/>
    </xf>
    <xf numFmtId="166" fontId="3" fillId="7" borderId="1" xfId="20" applyNumberFormat="1" applyFont="1" applyFill="1" applyBorder="1" applyAlignment="1" applyProtection="1">
      <alignment horizontal="right"/>
      <protection locked="0"/>
    </xf>
    <xf numFmtId="166" fontId="3" fillId="7" borderId="1" xfId="16" applyNumberFormat="1" applyFont="1" applyFill="1" applyBorder="1" applyAlignment="1">
      <alignment horizontal="right"/>
    </xf>
    <xf numFmtId="0" fontId="18" fillId="2" borderId="2" xfId="27" applyFont="1" applyFill="1" applyBorder="1" applyAlignment="1" applyProtection="1">
      <alignment horizontal="center"/>
      <protection locked="0"/>
    </xf>
    <xf numFmtId="0" fontId="18" fillId="2" borderId="3" xfId="27" applyFont="1" applyFill="1" applyBorder="1" applyAlignment="1" applyProtection="1">
      <alignment horizontal="center"/>
      <protection locked="0"/>
    </xf>
    <xf numFmtId="0" fontId="10" fillId="2" borderId="2" xfId="28" applyFont="1" applyFill="1" applyBorder="1" applyAlignment="1">
      <alignment horizontal="center" vertical="center"/>
    </xf>
    <xf numFmtId="0" fontId="10" fillId="2" borderId="3" xfId="28" applyFont="1" applyFill="1" applyBorder="1" applyAlignment="1">
      <alignment horizontal="center" vertical="center"/>
    </xf>
    <xf numFmtId="0" fontId="23" fillId="2" borderId="4" xfId="15" applyFont="1" applyFill="1" applyBorder="1" applyAlignment="1">
      <alignment horizontal="center" vertical="center"/>
    </xf>
    <xf numFmtId="0" fontId="23" fillId="2" borderId="5" xfId="15" applyFont="1" applyFill="1" applyBorder="1" applyAlignment="1">
      <alignment horizontal="center" vertical="center"/>
    </xf>
    <xf numFmtId="0" fontId="18" fillId="2" borderId="2" xfId="16" applyFont="1" applyFill="1" applyBorder="1" applyAlignment="1" applyProtection="1">
      <alignment horizontal="center"/>
      <protection locked="0"/>
    </xf>
    <xf numFmtId="0" fontId="18" fillId="2" borderId="3" xfId="16" applyFont="1" applyFill="1" applyBorder="1" applyAlignment="1" applyProtection="1">
      <alignment horizontal="center"/>
      <protection locked="0"/>
    </xf>
    <xf numFmtId="0" fontId="18" fillId="2" borderId="2" xfId="17" applyFont="1" applyFill="1" applyBorder="1" applyAlignment="1" applyProtection="1">
      <alignment horizontal="center"/>
      <protection locked="0"/>
    </xf>
    <xf numFmtId="0" fontId="18" fillId="2" borderId="3" xfId="17" applyFont="1" applyFill="1" applyBorder="1" applyAlignment="1" applyProtection="1">
      <alignment horizontal="center"/>
      <protection locked="0"/>
    </xf>
    <xf numFmtId="0" fontId="18" fillId="2" borderId="2" xfId="18" applyFont="1" applyFill="1" applyBorder="1" applyAlignment="1" applyProtection="1">
      <alignment horizontal="center"/>
      <protection locked="0"/>
    </xf>
    <xf numFmtId="0" fontId="18" fillId="2" borderId="3" xfId="18" applyFont="1" applyFill="1" applyBorder="1" applyAlignment="1" applyProtection="1">
      <alignment horizontal="center"/>
      <protection locked="0"/>
    </xf>
    <xf numFmtId="0" fontId="18" fillId="2" borderId="2" xfId="19" applyFont="1" applyFill="1" applyBorder="1" applyAlignment="1" applyProtection="1">
      <alignment horizontal="center"/>
      <protection locked="0"/>
    </xf>
    <xf numFmtId="0" fontId="18" fillId="2" borderId="3" xfId="19" applyFont="1" applyFill="1" applyBorder="1" applyAlignment="1" applyProtection="1">
      <alignment horizontal="center"/>
      <protection locked="0"/>
    </xf>
    <xf numFmtId="0" fontId="18" fillId="2" borderId="2" xfId="20" applyFont="1" applyFill="1" applyBorder="1" applyAlignment="1" applyProtection="1">
      <alignment horizontal="center"/>
      <protection locked="0"/>
    </xf>
    <xf numFmtId="0" fontId="18" fillId="2" borderId="3" xfId="20" applyFont="1" applyFill="1" applyBorder="1" applyAlignment="1" applyProtection="1">
      <alignment horizontal="center"/>
      <protection locked="0"/>
    </xf>
    <xf numFmtId="0" fontId="18" fillId="2" borderId="2" xfId="21" applyFont="1" applyFill="1" applyBorder="1" applyAlignment="1" applyProtection="1">
      <alignment horizontal="center" wrapText="1"/>
      <protection locked="0"/>
    </xf>
    <xf numFmtId="0" fontId="11" fillId="2" borderId="3" xfId="0" applyFont="1" applyFill="1" applyBorder="1" applyAlignment="1">
      <alignment horizontal="center" wrapText="1"/>
    </xf>
    <xf numFmtId="0" fontId="18" fillId="2" borderId="2" xfId="22" applyFont="1" applyFill="1" applyBorder="1" applyAlignment="1" applyProtection="1">
      <alignment horizontal="center"/>
      <protection locked="0"/>
    </xf>
    <xf numFmtId="0" fontId="18" fillId="2" borderId="3" xfId="22" applyFont="1" applyFill="1" applyBorder="1" applyAlignment="1" applyProtection="1">
      <alignment horizontal="center"/>
      <protection locked="0"/>
    </xf>
    <xf numFmtId="0" fontId="18" fillId="2" borderId="2" xfId="23" applyFont="1" applyFill="1" applyBorder="1" applyAlignment="1" applyProtection="1">
      <alignment horizontal="center"/>
      <protection locked="0"/>
    </xf>
    <xf numFmtId="0" fontId="18" fillId="2" borderId="3" xfId="23" applyFont="1" applyFill="1" applyBorder="1" applyAlignment="1" applyProtection="1">
      <alignment horizontal="center"/>
      <protection locked="0"/>
    </xf>
    <xf numFmtId="0" fontId="18" fillId="2" borderId="2" xfId="24" applyFont="1" applyFill="1" applyBorder="1" applyAlignment="1" applyProtection="1">
      <alignment horizontal="center"/>
      <protection locked="0"/>
    </xf>
    <xf numFmtId="0" fontId="18" fillId="2" borderId="3" xfId="24" applyFont="1" applyFill="1" applyBorder="1" applyAlignment="1" applyProtection="1">
      <alignment horizontal="center"/>
      <protection locked="0"/>
    </xf>
    <xf numFmtId="0" fontId="18" fillId="2" borderId="2" xfId="25" applyFont="1" applyFill="1" applyBorder="1" applyAlignment="1" applyProtection="1">
      <alignment horizontal="center"/>
      <protection locked="0"/>
    </xf>
    <xf numFmtId="0" fontId="18" fillId="2" borderId="3" xfId="25" applyFont="1" applyFill="1" applyBorder="1" applyAlignment="1" applyProtection="1">
      <alignment horizontal="center"/>
      <protection locked="0"/>
    </xf>
    <xf numFmtId="0" fontId="18" fillId="2" borderId="2" xfId="26" applyFont="1" applyFill="1" applyBorder="1" applyAlignment="1" applyProtection="1">
      <alignment horizontal="center"/>
      <protection locked="0"/>
    </xf>
    <xf numFmtId="0" fontId="18" fillId="2" borderId="3" xfId="26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30">
    <cellStyle name="Comma" xfId="29" builtinId="3"/>
    <cellStyle name="Normal" xfId="0" builtinId="0"/>
    <cellStyle name="Normal 12" xfId="1" xr:uid="{00000000-0005-0000-0000-000002000000}"/>
    <cellStyle name="Normal 14" xfId="2" xr:uid="{00000000-0005-0000-0000-000003000000}"/>
    <cellStyle name="Normal 15" xfId="3" xr:uid="{00000000-0005-0000-0000-000004000000}"/>
    <cellStyle name="Normal 17" xfId="4" xr:uid="{00000000-0005-0000-0000-000005000000}"/>
    <cellStyle name="Normal 18" xfId="5" xr:uid="{00000000-0005-0000-0000-000006000000}"/>
    <cellStyle name="Normal 27" xfId="6" xr:uid="{00000000-0005-0000-0000-000007000000}"/>
    <cellStyle name="Normal 28" xfId="7" xr:uid="{00000000-0005-0000-0000-000008000000}"/>
    <cellStyle name="Normal 29" xfId="8" xr:uid="{00000000-0005-0000-0000-000009000000}"/>
    <cellStyle name="Normal 30" xfId="9" xr:uid="{00000000-0005-0000-0000-00000A000000}"/>
    <cellStyle name="Normal 31" xfId="10" xr:uid="{00000000-0005-0000-0000-00000B000000}"/>
    <cellStyle name="Normal 32" xfId="11" xr:uid="{00000000-0005-0000-0000-00000C000000}"/>
    <cellStyle name="Normal 33" xfId="12" xr:uid="{00000000-0005-0000-0000-00000D000000}"/>
    <cellStyle name="Normal 34" xfId="13" xr:uid="{00000000-0005-0000-0000-00000E000000}"/>
    <cellStyle name="Normal 35" xfId="14" xr:uid="{00000000-0005-0000-0000-00000F000000}"/>
    <cellStyle name="Normal 38" xfId="15" xr:uid="{00000000-0005-0000-0000-000010000000}"/>
    <cellStyle name="Normal 39" xfId="16" xr:uid="{00000000-0005-0000-0000-000011000000}"/>
    <cellStyle name="Normal 40" xfId="17" xr:uid="{00000000-0005-0000-0000-000012000000}"/>
    <cellStyle name="Normal 41" xfId="18" xr:uid="{00000000-0005-0000-0000-000013000000}"/>
    <cellStyle name="Normal 42" xfId="19" xr:uid="{00000000-0005-0000-0000-000014000000}"/>
    <cellStyle name="Normal 43" xfId="20" xr:uid="{00000000-0005-0000-0000-000015000000}"/>
    <cellStyle name="Normal 44" xfId="21" xr:uid="{00000000-0005-0000-0000-000016000000}"/>
    <cellStyle name="Normal 45" xfId="22" xr:uid="{00000000-0005-0000-0000-000017000000}"/>
    <cellStyle name="Normal 46" xfId="23" xr:uid="{00000000-0005-0000-0000-000018000000}"/>
    <cellStyle name="Normal 47" xfId="24" xr:uid="{00000000-0005-0000-0000-000019000000}"/>
    <cellStyle name="Normal 48" xfId="25" xr:uid="{00000000-0005-0000-0000-00001A000000}"/>
    <cellStyle name="Normal 49" xfId="26" xr:uid="{00000000-0005-0000-0000-00001B000000}"/>
    <cellStyle name="Normal 50" xfId="27" xr:uid="{00000000-0005-0000-0000-00001C000000}"/>
    <cellStyle name="Normal 51" xfId="28" xr:uid="{00000000-0005-0000-0000-00001D000000}"/>
  </cellStyles>
  <dxfs count="0"/>
  <tableStyles count="0" defaultTableStyle="TableStyleMedium9" defaultPivotStyle="PivotStyleLight16"/>
  <colors>
    <mruColors>
      <color rgb="FF99FF99"/>
      <color rgb="FF99FF33"/>
      <color rgb="FF00FF99"/>
      <color rgb="FF66FF33"/>
      <color rgb="FF30DDF4"/>
      <color rgb="FF000000"/>
      <color rgb="FF0CCAE4"/>
      <color rgb="FFFFFF66"/>
      <color rgb="FF61349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1424951881014835"/>
                  <c:y val="0.1353557888597259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CD-4A54-BFBF-CC77B727C164}"/>
                </c:ext>
              </c:extLst>
            </c:dLbl>
            <c:dLbl>
              <c:idx val="1"/>
              <c:layout>
                <c:manualLayout>
                  <c:x val="-4.0939107611548564E-2"/>
                  <c:y val="-0.227538276465442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CD-4A54-BFBF-CC77B727C164}"/>
                </c:ext>
              </c:extLst>
            </c:dLbl>
            <c:dLbl>
              <c:idx val="2"/>
              <c:layout>
                <c:manualLayout>
                  <c:x val="0.12455398075240599"/>
                  <c:y val="4.324511519393385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CD-4A54-BFBF-CC77B727C164}"/>
                </c:ext>
              </c:extLst>
            </c:dLbl>
            <c:dLbl>
              <c:idx val="6"/>
              <c:layout>
                <c:manualLayout>
                  <c:x val="5.9860192475940523E-2"/>
                  <c:y val="0.1703076698745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CD-4A54-BFBF-CC77B727C16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'FISH UNLOADING OVER LND VEHICLS'!$A$205:$A$211</c:f>
              <c:strCache>
                <c:ptCount val="7"/>
                <c:pt idx="0">
                  <c:v>QUEZON</c:v>
                </c:pt>
                <c:pt idx="1">
                  <c:v>BATANGAS</c:v>
                </c:pt>
                <c:pt idx="2">
                  <c:v>BICOL</c:v>
                </c:pt>
                <c:pt idx="3">
                  <c:v>Visayas Region</c:v>
                </c:pt>
                <c:pt idx="4">
                  <c:v>Mindanao Region</c:v>
                </c:pt>
                <c:pt idx="5">
                  <c:v>Metro Manila</c:v>
                </c:pt>
                <c:pt idx="6">
                  <c:v>Others (Luzon Area)</c:v>
                </c:pt>
              </c:strCache>
            </c:strRef>
          </c:cat>
          <c:val>
            <c:numRef>
              <c:f>'FISH UNLOADING OVER LND VEHICLS'!$AB$205:$AB$211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CD-4A54-BFBF-CC77B727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217</xdr:row>
      <xdr:rowOff>180976</xdr:rowOff>
    </xdr:from>
    <xdr:to>
      <xdr:col>25</xdr:col>
      <xdr:colOff>581024</xdr:colOff>
      <xdr:row>226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9"/>
  <sheetViews>
    <sheetView workbookViewId="0">
      <selection activeCell="C28" sqref="C28"/>
    </sheetView>
  </sheetViews>
  <sheetFormatPr defaultRowHeight="15" x14ac:dyDescent="0.25"/>
  <cols>
    <col min="1" max="1" width="4.28515625" customWidth="1"/>
    <col min="2" max="2" width="30.140625" customWidth="1"/>
    <col min="3" max="3" width="12.42578125" customWidth="1"/>
    <col min="4" max="4" width="14.5703125" customWidth="1"/>
    <col min="5" max="5" width="13.28515625" customWidth="1"/>
    <col min="6" max="6" width="15" customWidth="1"/>
    <col min="7" max="7" width="13.7109375" customWidth="1"/>
    <col min="8" max="8" width="12.140625" customWidth="1"/>
    <col min="9" max="9" width="11.7109375" customWidth="1"/>
    <col min="10" max="10" width="11.42578125" customWidth="1"/>
    <col min="11" max="11" width="12" customWidth="1"/>
    <col min="12" max="12" width="11.28515625" customWidth="1"/>
    <col min="13" max="13" width="12.42578125" customWidth="1"/>
    <col min="14" max="14" width="12.85546875" customWidth="1"/>
    <col min="15" max="15" width="14" customWidth="1"/>
  </cols>
  <sheetData>
    <row r="1" spans="2:15" x14ac:dyDescent="0.25">
      <c r="C1" s="38"/>
    </row>
    <row r="2" spans="2:15" ht="26.25" x14ac:dyDescent="0.4">
      <c r="C2" s="38"/>
      <c r="E2" s="50" t="s">
        <v>0</v>
      </c>
      <c r="F2" s="49"/>
      <c r="G2" s="49"/>
      <c r="H2" s="49"/>
      <c r="I2" s="49"/>
    </row>
    <row r="3" spans="2:15" x14ac:dyDescent="0.25">
      <c r="E3" s="49"/>
      <c r="F3" s="49"/>
      <c r="G3" s="49"/>
      <c r="H3" s="49"/>
      <c r="I3" s="49"/>
    </row>
    <row r="5" spans="2:15" ht="20.25" x14ac:dyDescent="0.3">
      <c r="B5" s="19" t="s">
        <v>1</v>
      </c>
      <c r="C5" s="20" t="s">
        <v>21</v>
      </c>
      <c r="D5" s="20" t="s">
        <v>22</v>
      </c>
      <c r="E5" s="20" t="s">
        <v>23</v>
      </c>
      <c r="F5" s="20" t="s">
        <v>24</v>
      </c>
      <c r="G5" s="20" t="s">
        <v>25</v>
      </c>
      <c r="H5" s="20" t="s">
        <v>26</v>
      </c>
      <c r="I5" s="20" t="s">
        <v>27</v>
      </c>
      <c r="J5" s="20" t="s">
        <v>37</v>
      </c>
      <c r="K5" s="20" t="s">
        <v>28</v>
      </c>
      <c r="L5" s="20" t="s">
        <v>29</v>
      </c>
      <c r="M5" s="20" t="s">
        <v>30</v>
      </c>
      <c r="N5" s="20" t="s">
        <v>31</v>
      </c>
      <c r="O5" s="35" t="s">
        <v>20</v>
      </c>
    </row>
    <row r="6" spans="2:15" x14ac:dyDescent="0.25">
      <c r="B6" s="17" t="s">
        <v>2</v>
      </c>
      <c r="C6" s="2">
        <v>121</v>
      </c>
      <c r="D6" s="3">
        <v>132</v>
      </c>
      <c r="E6" s="3">
        <v>74</v>
      </c>
      <c r="F6" s="3">
        <v>69</v>
      </c>
      <c r="G6" s="3">
        <v>15</v>
      </c>
      <c r="H6" s="1"/>
      <c r="I6" s="1"/>
      <c r="J6" s="1"/>
      <c r="K6" s="1"/>
      <c r="L6" s="1"/>
      <c r="M6" s="1"/>
      <c r="N6" s="1"/>
      <c r="O6" s="1"/>
    </row>
    <row r="7" spans="2:15" x14ac:dyDescent="0.25">
      <c r="B7" s="18" t="s">
        <v>3</v>
      </c>
      <c r="C7" s="2">
        <v>238</v>
      </c>
      <c r="D7" s="3">
        <v>377</v>
      </c>
      <c r="E7" s="3">
        <v>218</v>
      </c>
      <c r="F7" s="3">
        <v>167</v>
      </c>
      <c r="G7" s="3">
        <v>148</v>
      </c>
      <c r="H7" s="1"/>
      <c r="I7" s="1"/>
      <c r="J7" s="1"/>
      <c r="K7" s="1"/>
      <c r="L7" s="1"/>
      <c r="M7" s="1"/>
      <c r="N7" s="1"/>
      <c r="O7" s="1"/>
    </row>
    <row r="8" spans="2:15" x14ac:dyDescent="0.25">
      <c r="B8" s="18" t="s">
        <v>4</v>
      </c>
      <c r="C8" s="2">
        <v>7</v>
      </c>
      <c r="D8" s="3">
        <v>8</v>
      </c>
      <c r="E8" s="3">
        <v>4</v>
      </c>
      <c r="F8" s="3">
        <v>7</v>
      </c>
      <c r="G8" s="3">
        <v>12</v>
      </c>
      <c r="H8" s="1"/>
      <c r="I8" s="1"/>
      <c r="J8" s="1"/>
      <c r="K8" s="1"/>
      <c r="L8" s="1"/>
      <c r="M8" s="1"/>
      <c r="N8" s="1"/>
      <c r="O8" s="1"/>
    </row>
    <row r="9" spans="2:15" x14ac:dyDescent="0.25">
      <c r="B9" s="18" t="s">
        <v>5</v>
      </c>
      <c r="C9" s="2">
        <v>9</v>
      </c>
      <c r="D9" s="3">
        <v>12</v>
      </c>
      <c r="E9" s="3">
        <v>9</v>
      </c>
      <c r="F9" s="3">
        <v>10</v>
      </c>
      <c r="G9" s="3">
        <v>19</v>
      </c>
      <c r="H9" s="1"/>
      <c r="I9" s="1"/>
      <c r="J9" s="1"/>
      <c r="K9" s="1"/>
      <c r="L9" s="1"/>
      <c r="M9" s="1"/>
      <c r="N9" s="1"/>
      <c r="O9" s="1"/>
    </row>
    <row r="10" spans="2:15" x14ac:dyDescent="0.25">
      <c r="B10" s="18" t="s">
        <v>6</v>
      </c>
      <c r="C10" s="2">
        <v>67</v>
      </c>
      <c r="D10" s="3">
        <v>54</v>
      </c>
      <c r="E10" s="3">
        <v>81</v>
      </c>
      <c r="F10" s="3">
        <v>91</v>
      </c>
      <c r="G10" s="3">
        <v>64</v>
      </c>
      <c r="H10" s="1"/>
      <c r="I10" s="1"/>
      <c r="J10" s="1"/>
      <c r="K10" s="1"/>
      <c r="L10" s="1"/>
      <c r="M10" s="1"/>
      <c r="N10" s="1"/>
      <c r="O10" s="1"/>
    </row>
    <row r="11" spans="2:15" x14ac:dyDescent="0.25">
      <c r="B11" s="18" t="s">
        <v>7</v>
      </c>
      <c r="C11" s="2">
        <v>10</v>
      </c>
      <c r="D11" s="3">
        <v>3</v>
      </c>
      <c r="E11" s="3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x14ac:dyDescent="0.25">
      <c r="B12" s="18" t="s">
        <v>8</v>
      </c>
      <c r="C12" s="2">
        <v>1</v>
      </c>
      <c r="D12" s="3">
        <v>2</v>
      </c>
      <c r="E12" s="3">
        <v>2</v>
      </c>
      <c r="F12" s="3">
        <v>1</v>
      </c>
      <c r="G12" s="3">
        <v>1</v>
      </c>
      <c r="H12" s="1"/>
      <c r="I12" s="1"/>
      <c r="J12" s="1"/>
      <c r="K12" s="1"/>
      <c r="L12" s="1"/>
      <c r="M12" s="1"/>
      <c r="N12" s="1"/>
      <c r="O12" s="1"/>
    </row>
    <row r="13" spans="2:15" x14ac:dyDescent="0.25">
      <c r="B13" s="18" t="s">
        <v>9</v>
      </c>
      <c r="C13" s="2">
        <v>2</v>
      </c>
      <c r="D13" s="3">
        <v>8</v>
      </c>
      <c r="E13" s="3">
        <v>2</v>
      </c>
      <c r="F13" s="3">
        <v>3</v>
      </c>
      <c r="G13" s="3">
        <v>2</v>
      </c>
      <c r="H13" s="1"/>
      <c r="I13" s="1"/>
      <c r="J13" s="1"/>
      <c r="K13" s="1"/>
      <c r="L13" s="1"/>
      <c r="M13" s="1"/>
      <c r="N13" s="1"/>
      <c r="O13" s="1"/>
    </row>
    <row r="14" spans="2:15" x14ac:dyDescent="0.25">
      <c r="B14" s="18" t="s">
        <v>10</v>
      </c>
      <c r="C14" s="2">
        <v>471</v>
      </c>
      <c r="D14" s="3">
        <v>985</v>
      </c>
      <c r="E14" s="3">
        <v>785</v>
      </c>
      <c r="F14" s="3">
        <v>783</v>
      </c>
      <c r="G14" s="3">
        <v>637</v>
      </c>
      <c r="H14" s="1"/>
      <c r="I14" s="1"/>
      <c r="J14" s="1"/>
      <c r="K14" s="1"/>
      <c r="L14" s="1"/>
      <c r="M14" s="1"/>
      <c r="N14" s="1"/>
      <c r="O14" s="1"/>
    </row>
    <row r="15" spans="2:15" x14ac:dyDescent="0.25">
      <c r="B15" s="18" t="s">
        <v>11</v>
      </c>
      <c r="C15" s="2">
        <v>64</v>
      </c>
      <c r="D15" s="3">
        <v>123</v>
      </c>
      <c r="E15" s="3">
        <v>104</v>
      </c>
      <c r="F15" s="3">
        <v>94</v>
      </c>
      <c r="G15" s="3">
        <v>71</v>
      </c>
      <c r="H15" s="1"/>
      <c r="I15" s="1"/>
      <c r="J15" s="1"/>
      <c r="K15" s="1"/>
      <c r="L15" s="1"/>
      <c r="M15" s="1"/>
      <c r="N15" s="1"/>
      <c r="O15" s="1"/>
    </row>
    <row r="16" spans="2:15" x14ac:dyDescent="0.25">
      <c r="B16" s="18" t="s">
        <v>12</v>
      </c>
      <c r="C16" s="2">
        <v>158</v>
      </c>
      <c r="D16" s="3">
        <v>184</v>
      </c>
      <c r="E16" s="3">
        <v>206</v>
      </c>
      <c r="F16" s="3">
        <v>267</v>
      </c>
      <c r="G16" s="3">
        <v>227</v>
      </c>
      <c r="H16" s="1"/>
      <c r="I16" s="1"/>
      <c r="J16" s="1"/>
      <c r="K16" s="1"/>
      <c r="L16" s="1"/>
      <c r="M16" s="1"/>
      <c r="N16" s="1"/>
      <c r="O16" s="1"/>
    </row>
    <row r="17" spans="2:15" x14ac:dyDescent="0.25">
      <c r="B17" s="18" t="s">
        <v>13</v>
      </c>
      <c r="C17" s="2">
        <v>129</v>
      </c>
      <c r="D17" s="3">
        <v>112</v>
      </c>
      <c r="E17" s="3">
        <v>129</v>
      </c>
      <c r="F17" s="3">
        <v>126</v>
      </c>
      <c r="G17" s="3">
        <v>90</v>
      </c>
      <c r="H17" s="1"/>
      <c r="I17" s="1"/>
      <c r="J17" s="1"/>
      <c r="K17" s="1"/>
      <c r="L17" s="1"/>
      <c r="M17" s="1"/>
      <c r="N17" s="1"/>
      <c r="O17" s="1"/>
    </row>
    <row r="18" spans="2:15" x14ac:dyDescent="0.25">
      <c r="B18" s="18" t="s">
        <v>14</v>
      </c>
      <c r="C18" s="2">
        <v>76</v>
      </c>
      <c r="D18" s="3">
        <v>61</v>
      </c>
      <c r="E18" s="3">
        <v>50</v>
      </c>
      <c r="F18" s="3">
        <v>49</v>
      </c>
      <c r="G18" s="3">
        <v>80</v>
      </c>
      <c r="H18" s="1"/>
      <c r="I18" s="1"/>
      <c r="J18" s="1"/>
      <c r="K18" s="1"/>
      <c r="L18" s="1"/>
      <c r="M18" s="1"/>
      <c r="N18" s="1"/>
      <c r="O18" s="1"/>
    </row>
    <row r="19" spans="2:15" x14ac:dyDescent="0.25">
      <c r="B19" s="18" t="s">
        <v>15</v>
      </c>
      <c r="C19" s="2">
        <v>433</v>
      </c>
      <c r="D19" s="3">
        <v>761</v>
      </c>
      <c r="E19" s="3">
        <v>783</v>
      </c>
      <c r="F19" s="3">
        <v>649</v>
      </c>
      <c r="G19" s="3">
        <v>720</v>
      </c>
      <c r="H19" s="1"/>
      <c r="I19" s="1"/>
      <c r="J19" s="1"/>
      <c r="K19" s="1"/>
      <c r="L19" s="1"/>
      <c r="M19" s="1"/>
      <c r="N19" s="1"/>
      <c r="O19" s="1"/>
    </row>
    <row r="20" spans="2:15" x14ac:dyDescent="0.25">
      <c r="B20" s="18" t="s">
        <v>16</v>
      </c>
      <c r="C20" s="2">
        <v>59</v>
      </c>
      <c r="D20" s="3">
        <v>105</v>
      </c>
      <c r="E20" s="3">
        <v>116</v>
      </c>
      <c r="F20" s="3">
        <v>100</v>
      </c>
      <c r="G20" s="3">
        <v>86</v>
      </c>
      <c r="H20" s="1"/>
      <c r="I20" s="1"/>
      <c r="J20" s="1"/>
      <c r="K20" s="1"/>
      <c r="L20" s="1"/>
      <c r="M20" s="1"/>
      <c r="N20" s="1"/>
      <c r="O20" s="1"/>
    </row>
    <row r="21" spans="2:15" x14ac:dyDescent="0.25">
      <c r="B21" s="18" t="s">
        <v>17</v>
      </c>
      <c r="C21" s="2">
        <v>72</v>
      </c>
      <c r="D21" s="3">
        <v>47</v>
      </c>
      <c r="E21" s="3">
        <v>55</v>
      </c>
      <c r="F21" s="3">
        <v>62</v>
      </c>
      <c r="G21" s="3">
        <v>58</v>
      </c>
      <c r="H21" s="1"/>
      <c r="I21" s="1"/>
      <c r="J21" s="1"/>
      <c r="K21" s="1"/>
      <c r="L21" s="1"/>
      <c r="M21" s="1"/>
      <c r="N21" s="1"/>
      <c r="O21" s="1"/>
    </row>
    <row r="22" spans="2:15" x14ac:dyDescent="0.25">
      <c r="B22" s="18" t="s">
        <v>52</v>
      </c>
      <c r="C22" s="2">
        <v>50</v>
      </c>
      <c r="D22" s="3">
        <v>40</v>
      </c>
      <c r="E22" s="3">
        <v>74</v>
      </c>
      <c r="F22" s="3">
        <v>49</v>
      </c>
      <c r="G22" s="3">
        <v>62</v>
      </c>
      <c r="H22" s="1"/>
      <c r="I22" s="1"/>
      <c r="J22" s="1"/>
      <c r="K22" s="1"/>
      <c r="L22" s="1"/>
      <c r="M22" s="1"/>
      <c r="N22" s="1"/>
      <c r="O22" s="1"/>
    </row>
    <row r="23" spans="2:15" x14ac:dyDescent="0.25">
      <c r="B23" s="18" t="s">
        <v>18</v>
      </c>
      <c r="C23" s="2">
        <v>69</v>
      </c>
      <c r="D23" s="3">
        <v>137</v>
      </c>
      <c r="E23" s="3">
        <v>50</v>
      </c>
      <c r="F23" s="3">
        <v>46</v>
      </c>
      <c r="G23" s="3">
        <v>29</v>
      </c>
      <c r="H23" s="1"/>
      <c r="I23" s="1"/>
      <c r="J23" s="1"/>
      <c r="K23" s="1"/>
      <c r="L23" s="1"/>
      <c r="M23" s="1"/>
      <c r="N23" s="1"/>
      <c r="O23" s="1"/>
    </row>
    <row r="24" spans="2:15" x14ac:dyDescent="0.25">
      <c r="B24" s="18" t="s">
        <v>19</v>
      </c>
      <c r="C24" s="2">
        <v>27</v>
      </c>
      <c r="D24" s="3">
        <v>60</v>
      </c>
      <c r="E24" s="3">
        <v>52</v>
      </c>
      <c r="F24" s="3">
        <v>40</v>
      </c>
      <c r="G24" s="3">
        <v>46</v>
      </c>
      <c r="H24" s="1"/>
      <c r="I24" s="1"/>
      <c r="J24" s="1"/>
      <c r="K24" s="1"/>
      <c r="L24" s="1"/>
      <c r="M24" s="1"/>
      <c r="N24" s="1"/>
      <c r="O24" s="1"/>
    </row>
    <row r="25" spans="2:15" ht="15.75" x14ac:dyDescent="0.25">
      <c r="B25" s="35" t="s">
        <v>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9" spans="2:15" x14ac:dyDescent="0.25">
      <c r="B29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O15"/>
  <sheetViews>
    <sheetView topLeftCell="A4" workbookViewId="0">
      <selection activeCell="F37" sqref="F37"/>
    </sheetView>
  </sheetViews>
  <sheetFormatPr defaultRowHeight="15" x14ac:dyDescent="0.25"/>
  <cols>
    <col min="2" max="2" width="27.5703125" customWidth="1"/>
    <col min="3" max="3" width="11.85546875" customWidth="1"/>
    <col min="4" max="4" width="13.5703125" customWidth="1"/>
    <col min="5" max="5" width="10.28515625" customWidth="1"/>
    <col min="6" max="6" width="11.42578125" customWidth="1"/>
    <col min="7" max="7" width="11" customWidth="1"/>
    <col min="8" max="8" width="12.5703125" customWidth="1"/>
    <col min="9" max="9" width="13" customWidth="1"/>
    <col min="10" max="10" width="11.42578125" customWidth="1"/>
    <col min="11" max="11" width="13.28515625" customWidth="1"/>
    <col min="12" max="12" width="12.140625" customWidth="1"/>
    <col min="13" max="13" width="11.85546875" customWidth="1"/>
    <col min="14" max="14" width="11.5703125" customWidth="1"/>
  </cols>
  <sheetData>
    <row r="4" spans="2:15" ht="26.25" x14ac:dyDescent="0.4">
      <c r="D4" s="49"/>
      <c r="E4" s="50" t="s">
        <v>53</v>
      </c>
      <c r="F4" s="49"/>
      <c r="G4" s="50"/>
      <c r="H4" s="49"/>
      <c r="I4" s="49"/>
      <c r="J4" s="49"/>
      <c r="K4" s="49"/>
    </row>
    <row r="5" spans="2:15" ht="15.75" x14ac:dyDescent="0.25">
      <c r="D5" s="49"/>
      <c r="E5" s="49"/>
      <c r="F5" s="51" t="s">
        <v>32</v>
      </c>
      <c r="G5" s="49"/>
      <c r="H5" s="49"/>
      <c r="I5" s="49"/>
      <c r="J5" s="49"/>
      <c r="K5" s="49"/>
    </row>
    <row r="10" spans="2:15" ht="20.25" x14ac:dyDescent="0.3">
      <c r="B10" s="21" t="s">
        <v>33</v>
      </c>
      <c r="C10" s="22" t="s">
        <v>21</v>
      </c>
      <c r="D10" s="23" t="s">
        <v>22</v>
      </c>
      <c r="E10" s="24" t="s">
        <v>23</v>
      </c>
      <c r="F10" s="25" t="s">
        <v>24</v>
      </c>
      <c r="G10" s="26" t="s">
        <v>25</v>
      </c>
      <c r="H10" s="27" t="s">
        <v>26</v>
      </c>
      <c r="I10" s="28" t="s">
        <v>27</v>
      </c>
      <c r="J10" s="29" t="s">
        <v>37</v>
      </c>
      <c r="K10" s="30" t="s">
        <v>28</v>
      </c>
      <c r="L10" s="31" t="s">
        <v>29</v>
      </c>
      <c r="M10" s="32" t="s">
        <v>30</v>
      </c>
      <c r="N10" s="33" t="s">
        <v>38</v>
      </c>
      <c r="O10" s="36" t="s">
        <v>20</v>
      </c>
    </row>
    <row r="11" spans="2:15" x14ac:dyDescent="0.25">
      <c r="B11" s="16" t="s">
        <v>34</v>
      </c>
      <c r="C11" s="39">
        <v>1294</v>
      </c>
      <c r="D11" s="42">
        <v>2413</v>
      </c>
      <c r="E11" s="44">
        <v>1605</v>
      </c>
      <c r="F11" s="46">
        <v>1517</v>
      </c>
      <c r="G11" s="48">
        <v>1480</v>
      </c>
      <c r="H11" s="9"/>
      <c r="I11" s="10"/>
      <c r="J11" s="11"/>
      <c r="K11" s="12"/>
      <c r="L11" s="13"/>
      <c r="M11" s="14"/>
      <c r="N11" s="15"/>
      <c r="O11" s="15"/>
    </row>
    <row r="12" spans="2:15" x14ac:dyDescent="0.25">
      <c r="B12" s="16" t="s">
        <v>35</v>
      </c>
      <c r="C12" s="40">
        <v>115</v>
      </c>
      <c r="D12" s="41">
        <v>147</v>
      </c>
      <c r="E12" s="44">
        <v>375</v>
      </c>
      <c r="F12" s="45">
        <v>270</v>
      </c>
      <c r="G12" s="47">
        <v>80</v>
      </c>
      <c r="H12" s="9"/>
      <c r="I12" s="10"/>
      <c r="J12" s="11"/>
      <c r="K12" s="12"/>
      <c r="L12" s="13"/>
      <c r="M12" s="14"/>
      <c r="N12" s="15"/>
      <c r="O12" s="15"/>
    </row>
    <row r="13" spans="2:15" x14ac:dyDescent="0.25">
      <c r="B13" s="16" t="s">
        <v>67</v>
      </c>
      <c r="C13" s="40"/>
      <c r="D13" s="41"/>
      <c r="E13" s="43">
        <v>2</v>
      </c>
      <c r="F13" s="45"/>
      <c r="G13" s="8"/>
      <c r="H13" s="9"/>
      <c r="I13" s="10"/>
      <c r="J13" s="11"/>
      <c r="K13" s="12"/>
      <c r="L13" s="13"/>
      <c r="M13" s="14"/>
      <c r="N13" s="15"/>
      <c r="O13" s="15"/>
    </row>
    <row r="14" spans="2:15" x14ac:dyDescent="0.25">
      <c r="B14" s="16" t="s">
        <v>36</v>
      </c>
      <c r="C14" s="40">
        <v>17</v>
      </c>
      <c r="D14" s="41">
        <v>63</v>
      </c>
      <c r="E14" s="44">
        <v>26</v>
      </c>
      <c r="F14" s="45">
        <v>63</v>
      </c>
      <c r="G14" s="47">
        <v>54</v>
      </c>
      <c r="H14" s="9"/>
      <c r="I14" s="10"/>
      <c r="J14" s="11"/>
      <c r="K14" s="12"/>
      <c r="L14" s="13"/>
      <c r="M14" s="14"/>
      <c r="N14" s="15"/>
      <c r="O14" s="15"/>
    </row>
    <row r="15" spans="2:15" ht="15.75" x14ac:dyDescent="0.25">
      <c r="B15" s="37" t="s">
        <v>20</v>
      </c>
      <c r="C15" s="4"/>
      <c r="D15" s="5"/>
      <c r="E15" s="6"/>
      <c r="F15" s="7"/>
      <c r="G15" s="8"/>
      <c r="H15" s="9"/>
      <c r="I15" s="10"/>
      <c r="J15" s="11"/>
      <c r="K15" s="12"/>
      <c r="L15" s="13"/>
      <c r="M15" s="14"/>
      <c r="N15" s="15"/>
      <c r="O1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220"/>
  <sheetViews>
    <sheetView tabSelected="1" workbookViewId="0">
      <selection activeCell="A168" sqref="A168:AI195"/>
    </sheetView>
  </sheetViews>
  <sheetFormatPr defaultRowHeight="15" x14ac:dyDescent="0.25"/>
  <cols>
    <col min="1" max="1" width="24.85546875" customWidth="1"/>
    <col min="2" max="2" width="8.85546875" style="56" customWidth="1"/>
    <col min="3" max="3" width="8.85546875" style="54" customWidth="1"/>
    <col min="4" max="4" width="8.85546875" style="56" customWidth="1"/>
    <col min="5" max="5" width="8.85546875" style="54" customWidth="1"/>
    <col min="6" max="6" width="8.85546875" style="56" customWidth="1"/>
    <col min="7" max="7" width="8.85546875" style="54" customWidth="1"/>
    <col min="8" max="8" width="8.85546875" style="56" customWidth="1"/>
    <col min="9" max="9" width="8.85546875" style="54" customWidth="1"/>
    <col min="10" max="10" width="8.85546875" style="56" customWidth="1"/>
    <col min="11" max="11" width="8.85546875" style="54" customWidth="1"/>
    <col min="12" max="13" width="8.85546875" style="56" customWidth="1"/>
    <col min="14" max="14" width="2.28515625" style="266" customWidth="1"/>
    <col min="15" max="16" width="8.85546875" style="266" customWidth="1"/>
    <col min="17" max="17" width="8.85546875" style="56" customWidth="1"/>
    <col min="18" max="18" width="8.85546875" style="54" customWidth="1"/>
    <col min="19" max="19" width="8.85546875" style="56" customWidth="1"/>
    <col min="20" max="20" width="8.85546875" style="54" customWidth="1"/>
    <col min="21" max="21" width="8.85546875" style="56" customWidth="1"/>
    <col min="22" max="22" width="8.85546875" style="54" customWidth="1"/>
    <col min="23" max="23" width="8.85546875" style="56" customWidth="1"/>
    <col min="24" max="24" width="8.85546875" style="54" customWidth="1"/>
    <col min="25" max="25" width="8.85546875" style="56" customWidth="1"/>
    <col min="26" max="26" width="8.85546875" style="54" customWidth="1"/>
    <col min="27" max="27" width="9.5703125" customWidth="1"/>
    <col min="28" max="28" width="8.85546875" style="54" customWidth="1"/>
    <col min="30" max="30" width="12.5703125" bestFit="1" customWidth="1"/>
    <col min="32" max="32" width="10.5703125" bestFit="1" customWidth="1"/>
    <col min="33" max="33" width="13.28515625" bestFit="1" customWidth="1"/>
  </cols>
  <sheetData>
    <row r="3" spans="1:33" ht="16.5" customHeight="1" x14ac:dyDescent="0.25">
      <c r="A3" s="190" t="s">
        <v>140</v>
      </c>
      <c r="B3" s="115"/>
      <c r="C3" s="116"/>
      <c r="D3" s="117"/>
      <c r="E3" s="118"/>
      <c r="F3" s="119"/>
      <c r="G3" s="120"/>
      <c r="H3" s="63"/>
      <c r="J3" s="62"/>
      <c r="L3" s="62"/>
      <c r="M3" s="62"/>
      <c r="N3" s="264"/>
      <c r="O3" s="264"/>
      <c r="P3" s="264"/>
      <c r="Q3" s="61"/>
      <c r="S3" s="61"/>
    </row>
    <row r="4" spans="1:33" ht="9.75" customHeight="1" x14ac:dyDescent="0.25">
      <c r="D4" s="61"/>
      <c r="F4" s="61"/>
      <c r="H4" s="61"/>
      <c r="J4" s="61"/>
      <c r="L4" s="61"/>
      <c r="M4" s="61"/>
      <c r="N4" s="144"/>
      <c r="O4" s="144"/>
      <c r="P4" s="144"/>
      <c r="Q4" s="61"/>
      <c r="S4" s="61"/>
    </row>
    <row r="5" spans="1:33" s="263" customFormat="1" ht="15" customHeight="1" x14ac:dyDescent="0.25">
      <c r="A5" s="361" t="s">
        <v>39</v>
      </c>
      <c r="B5" s="363" t="s">
        <v>21</v>
      </c>
      <c r="C5" s="364"/>
      <c r="D5" s="365" t="s">
        <v>22</v>
      </c>
      <c r="E5" s="366"/>
      <c r="F5" s="367" t="s">
        <v>23</v>
      </c>
      <c r="G5" s="368"/>
      <c r="H5" s="369" t="s">
        <v>24</v>
      </c>
      <c r="I5" s="370"/>
      <c r="J5" s="371" t="s">
        <v>25</v>
      </c>
      <c r="K5" s="372"/>
      <c r="L5" s="373" t="s">
        <v>40</v>
      </c>
      <c r="M5" s="374"/>
      <c r="N5" s="144"/>
      <c r="O5" s="377" t="s">
        <v>27</v>
      </c>
      <c r="P5" s="378"/>
      <c r="Q5" s="375" t="s">
        <v>37</v>
      </c>
      <c r="R5" s="376"/>
      <c r="S5" s="379" t="s">
        <v>28</v>
      </c>
      <c r="T5" s="380"/>
      <c r="U5" s="381" t="s">
        <v>29</v>
      </c>
      <c r="V5" s="382"/>
      <c r="W5" s="383" t="s">
        <v>30</v>
      </c>
      <c r="X5" s="384"/>
      <c r="Y5" s="357" t="s">
        <v>38</v>
      </c>
      <c r="Z5" s="358"/>
      <c r="AA5" s="359" t="s">
        <v>20</v>
      </c>
      <c r="AB5" s="360"/>
    </row>
    <row r="6" spans="1:33" ht="13.5" customHeight="1" x14ac:dyDescent="0.25">
      <c r="A6" s="362"/>
      <c r="B6" s="270" t="s">
        <v>72</v>
      </c>
      <c r="C6" s="143" t="s">
        <v>89</v>
      </c>
      <c r="D6" s="270" t="s">
        <v>72</v>
      </c>
      <c r="E6" s="143" t="s">
        <v>89</v>
      </c>
      <c r="F6" s="270" t="s">
        <v>72</v>
      </c>
      <c r="G6" s="143" t="s">
        <v>89</v>
      </c>
      <c r="H6" s="270" t="s">
        <v>72</v>
      </c>
      <c r="I6" s="143" t="s">
        <v>89</v>
      </c>
      <c r="J6" s="270" t="s">
        <v>72</v>
      </c>
      <c r="K6" s="143" t="s">
        <v>89</v>
      </c>
      <c r="L6" s="270" t="s">
        <v>72</v>
      </c>
      <c r="M6" s="143" t="s">
        <v>89</v>
      </c>
      <c r="N6" s="144"/>
      <c r="O6" s="270" t="s">
        <v>72</v>
      </c>
      <c r="P6" s="143" t="s">
        <v>89</v>
      </c>
      <c r="Q6" s="270" t="s">
        <v>72</v>
      </c>
      <c r="R6" s="143" t="s">
        <v>89</v>
      </c>
      <c r="S6" s="270" t="s">
        <v>72</v>
      </c>
      <c r="T6" s="143" t="s">
        <v>89</v>
      </c>
      <c r="U6" s="270" t="s">
        <v>72</v>
      </c>
      <c r="V6" s="143" t="s">
        <v>89</v>
      </c>
      <c r="W6" s="270" t="s">
        <v>72</v>
      </c>
      <c r="X6" s="143" t="s">
        <v>89</v>
      </c>
      <c r="Y6" s="270" t="s">
        <v>72</v>
      </c>
      <c r="Z6" s="143" t="s">
        <v>89</v>
      </c>
      <c r="AA6" s="271" t="s">
        <v>72</v>
      </c>
      <c r="AB6" s="143" t="s">
        <v>89</v>
      </c>
    </row>
    <row r="7" spans="1:33" s="263" customFormat="1" ht="15" customHeight="1" x14ac:dyDescent="0.25">
      <c r="A7" s="145" t="s">
        <v>73</v>
      </c>
      <c r="B7" s="121"/>
      <c r="C7" s="122"/>
      <c r="D7" s="123"/>
      <c r="E7" s="122"/>
      <c r="F7" s="124"/>
      <c r="G7" s="122"/>
      <c r="H7" s="125"/>
      <c r="I7" s="122"/>
      <c r="J7" s="126"/>
      <c r="K7" s="122"/>
      <c r="L7" s="127"/>
      <c r="M7" s="127"/>
      <c r="N7" s="286"/>
      <c r="O7" s="129"/>
      <c r="P7" s="122"/>
      <c r="Q7" s="128"/>
      <c r="R7" s="122"/>
      <c r="S7" s="130"/>
      <c r="T7" s="122"/>
      <c r="U7" s="131"/>
      <c r="V7" s="122"/>
      <c r="W7" s="132"/>
      <c r="X7" s="122"/>
      <c r="Y7" s="133"/>
      <c r="Z7" s="122"/>
      <c r="AA7" s="134"/>
      <c r="AB7" s="122"/>
    </row>
    <row r="8" spans="1:33" ht="15" customHeight="1" x14ac:dyDescent="0.25">
      <c r="A8" s="75" t="s">
        <v>94</v>
      </c>
      <c r="B8" s="151">
        <v>2700</v>
      </c>
      <c r="C8" s="186">
        <f>B8/B30*100</f>
        <v>1.2153129430828438</v>
      </c>
      <c r="D8" s="57">
        <v>2340</v>
      </c>
      <c r="E8" s="149">
        <f>D8/D30*100</f>
        <v>0.7266629401900504</v>
      </c>
      <c r="F8" s="157">
        <v>4860</v>
      </c>
      <c r="G8" s="186">
        <f>F8/F30*100</f>
        <v>1.4829053961279692</v>
      </c>
      <c r="H8" s="157">
        <v>25425</v>
      </c>
      <c r="I8" s="92">
        <f>H8/H30*100</f>
        <v>8.865526439667347</v>
      </c>
      <c r="J8" s="57">
        <f>30690+2790</f>
        <v>33480</v>
      </c>
      <c r="K8" s="149">
        <f>J8/J30*100</f>
        <v>9.9625066952329941</v>
      </c>
      <c r="L8" s="57">
        <v>30285</v>
      </c>
      <c r="M8" s="186">
        <f>L8/L30*100</f>
        <v>8.8762859403851238</v>
      </c>
      <c r="N8" s="144"/>
      <c r="O8" s="151">
        <v>21015</v>
      </c>
      <c r="P8" s="149">
        <f>O8/O30*100</f>
        <v>5.2143814202769097</v>
      </c>
      <c r="Q8" s="65">
        <v>23040</v>
      </c>
      <c r="R8" s="149">
        <f>Q8/Q30*100</f>
        <v>4.3978697818244292</v>
      </c>
      <c r="S8" s="151">
        <v>25830</v>
      </c>
      <c r="T8" s="149">
        <f>S8/S30*100</f>
        <v>5.5577072037180475</v>
      </c>
      <c r="U8" s="66">
        <v>19755</v>
      </c>
      <c r="V8" s="149">
        <f>U8/U30*100</f>
        <v>4.0584265507996671</v>
      </c>
      <c r="W8" s="67">
        <v>10305</v>
      </c>
      <c r="X8" s="149">
        <f>W8/W30*100</f>
        <v>2.5008190455389321</v>
      </c>
      <c r="Y8" s="114">
        <v>16785</v>
      </c>
      <c r="Z8" s="149">
        <f>Y8/Y30*100</f>
        <v>4.2275869885526465</v>
      </c>
      <c r="AA8" s="52">
        <f t="shared" ref="AA8:AA29" si="0">B8+D8+F8+H8+J8+L8+Q8+O8+S8+U8+W8+Y8</f>
        <v>215820</v>
      </c>
      <c r="AB8" s="92">
        <f>AA8/AA30*100</f>
        <v>4.7710948847018564</v>
      </c>
      <c r="AG8" s="241"/>
    </row>
    <row r="9" spans="1:33" ht="15" customHeight="1" x14ac:dyDescent="0.25">
      <c r="A9" s="76" t="s">
        <v>54</v>
      </c>
      <c r="B9" s="151">
        <v>11025</v>
      </c>
      <c r="C9" s="186">
        <f>B9/B30*100</f>
        <v>4.962527850921612</v>
      </c>
      <c r="D9" s="57">
        <v>21060</v>
      </c>
      <c r="E9" s="149">
        <f>D9/D30*100</f>
        <v>6.5399664617104527</v>
      </c>
      <c r="F9" s="157">
        <v>16380</v>
      </c>
      <c r="G9" s="186">
        <f>F9/F30*100</f>
        <v>4.9979404091720445</v>
      </c>
      <c r="H9" s="151">
        <v>5715</v>
      </c>
      <c r="I9" s="149">
        <f>H9/H30*100</f>
        <v>1.9927820492703592</v>
      </c>
      <c r="J9" s="57">
        <v>8145</v>
      </c>
      <c r="K9" s="149">
        <f>J9/J30*100</f>
        <v>2.4236743438671668</v>
      </c>
      <c r="L9" s="64">
        <f>135+8730</f>
        <v>8865</v>
      </c>
      <c r="M9" s="186">
        <f>L9/L30*100</f>
        <v>2.5982590345555261</v>
      </c>
      <c r="N9" s="144"/>
      <c r="O9" s="151">
        <f>360+15255</f>
        <v>15615</v>
      </c>
      <c r="P9" s="149">
        <f>O9/O30*100</f>
        <v>3.8744975435462257</v>
      </c>
      <c r="Q9" s="65">
        <v>26505</v>
      </c>
      <c r="R9" s="149">
        <f>Q9/Q30*100</f>
        <v>5.0592681669816182</v>
      </c>
      <c r="S9" s="151">
        <v>21285</v>
      </c>
      <c r="T9" s="149">
        <f>S9/S30*100</f>
        <v>4.5797831138652203</v>
      </c>
      <c r="U9" s="66">
        <v>15120</v>
      </c>
      <c r="V9" s="149">
        <f>U9/U30*100</f>
        <v>3.106221688083572</v>
      </c>
      <c r="W9" s="67">
        <v>12960</v>
      </c>
      <c r="X9" s="149">
        <f>W9/W30*100</f>
        <v>3.1451348694987438</v>
      </c>
      <c r="Y9" s="114">
        <v>6120</v>
      </c>
      <c r="Z9" s="149">
        <f>Y9/Y30*100</f>
        <v>1.5414258188824663</v>
      </c>
      <c r="AA9" s="52">
        <f t="shared" si="0"/>
        <v>168795</v>
      </c>
      <c r="AB9" s="92">
        <f>AA9/AA30*100</f>
        <v>3.7315214579892961</v>
      </c>
      <c r="AG9" s="241"/>
    </row>
    <row r="10" spans="1:33" ht="15" customHeight="1" x14ac:dyDescent="0.25">
      <c r="A10" s="76" t="s">
        <v>116</v>
      </c>
      <c r="B10" s="151"/>
      <c r="C10" s="186"/>
      <c r="D10" s="57"/>
      <c r="E10" s="149"/>
      <c r="F10" s="157">
        <v>1440</v>
      </c>
      <c r="G10" s="186">
        <f>F10/F30*100</f>
        <v>0.43937937663050941</v>
      </c>
      <c r="H10" s="151"/>
      <c r="I10" s="149"/>
      <c r="J10" s="57"/>
      <c r="K10" s="149"/>
      <c r="L10" s="64"/>
      <c r="M10" s="186"/>
      <c r="N10" s="144"/>
      <c r="O10" s="151"/>
      <c r="P10" s="93"/>
      <c r="Q10" s="65"/>
      <c r="R10" s="149"/>
      <c r="S10" s="151"/>
      <c r="T10" s="93"/>
      <c r="U10" s="66"/>
      <c r="V10" s="93"/>
      <c r="W10" s="67"/>
      <c r="X10" s="149"/>
      <c r="Y10" s="114"/>
      <c r="Z10" s="149"/>
      <c r="AA10" s="52">
        <f t="shared" si="0"/>
        <v>1440</v>
      </c>
      <c r="AB10" s="92">
        <f>AA10/AA30*100</f>
        <v>3.1833827420863096E-2</v>
      </c>
      <c r="AG10" s="241"/>
    </row>
    <row r="11" spans="1:33" ht="15" customHeight="1" x14ac:dyDescent="0.25">
      <c r="A11" s="76" t="s">
        <v>41</v>
      </c>
      <c r="B11" s="152">
        <v>23670</v>
      </c>
      <c r="C11" s="186">
        <f>B11/B30*100</f>
        <v>10.654243467692931</v>
      </c>
      <c r="D11" s="57">
        <v>19350</v>
      </c>
      <c r="E11" s="149">
        <f>D11/D30*100</f>
        <v>6.008943543879262</v>
      </c>
      <c r="F11" s="157">
        <v>32535</v>
      </c>
      <c r="G11" s="186">
        <f>F11/F30*100</f>
        <v>9.9272277907455706</v>
      </c>
      <c r="H11" s="157">
        <v>11520</v>
      </c>
      <c r="I11" s="149">
        <f>H11/H30*100</f>
        <v>4.0169464930174179</v>
      </c>
      <c r="J11" s="57">
        <v>21915</v>
      </c>
      <c r="K11" s="149">
        <f>J11/J30*100</f>
        <v>6.5211569362613826</v>
      </c>
      <c r="L11" s="64">
        <v>40095</v>
      </c>
      <c r="M11" s="186">
        <f>L11/L30*100</f>
        <v>11.751516750197837</v>
      </c>
      <c r="N11" s="144"/>
      <c r="O11" s="151">
        <v>58995</v>
      </c>
      <c r="P11" s="149">
        <f>O11/O30*100</f>
        <v>14.638231353282716</v>
      </c>
      <c r="Q11" s="65">
        <v>62910</v>
      </c>
      <c r="R11" s="149">
        <f>Q11/Q30*100</f>
        <v>12.00824600584092</v>
      </c>
      <c r="S11" s="151">
        <v>41175</v>
      </c>
      <c r="T11" s="149">
        <f>S11/S30*100</f>
        <v>8.8594113090627431</v>
      </c>
      <c r="U11" s="65">
        <v>52065</v>
      </c>
      <c r="V11" s="149">
        <f>U11/U30*100</f>
        <v>10.696126467597299</v>
      </c>
      <c r="W11" s="65">
        <v>46080</v>
      </c>
      <c r="X11" s="149">
        <f>W11/W30*100</f>
        <v>11.182701758217757</v>
      </c>
      <c r="Y11" s="65">
        <v>32670</v>
      </c>
      <c r="Z11" s="149">
        <f>Y11/Y30*100</f>
        <v>8.2284937096225779</v>
      </c>
      <c r="AA11" s="52">
        <f t="shared" si="0"/>
        <v>442980</v>
      </c>
      <c r="AB11" s="92">
        <f>AA11/AA30*100</f>
        <v>9.7928811603430095</v>
      </c>
      <c r="AG11" s="241"/>
    </row>
    <row r="12" spans="1:33" ht="15" customHeight="1" x14ac:dyDescent="0.25">
      <c r="A12" s="76" t="s">
        <v>69</v>
      </c>
      <c r="B12" s="152"/>
      <c r="C12" s="186"/>
      <c r="D12" s="57"/>
      <c r="E12" s="149"/>
      <c r="F12" s="157">
        <v>1350</v>
      </c>
      <c r="G12" s="186">
        <f>F12/F30*100</f>
        <v>0.41191816559110256</v>
      </c>
      <c r="H12" s="151">
        <v>630</v>
      </c>
      <c r="I12" s="93">
        <f>H12/H30*100</f>
        <v>0.21967676133689001</v>
      </c>
      <c r="J12" s="57">
        <v>225</v>
      </c>
      <c r="K12" s="149">
        <f>J12/J30*100</f>
        <v>6.6952329941081953E-2</v>
      </c>
      <c r="L12" s="64"/>
      <c r="M12" s="186"/>
      <c r="N12" s="144"/>
      <c r="O12" s="151"/>
      <c r="P12" s="149"/>
      <c r="Q12" s="65"/>
      <c r="R12" s="149"/>
      <c r="S12" s="151"/>
      <c r="T12" s="149"/>
      <c r="U12" s="65"/>
      <c r="V12" s="149"/>
      <c r="W12" s="65"/>
      <c r="X12" s="149"/>
      <c r="Y12" s="65"/>
      <c r="Z12" s="149"/>
      <c r="AA12" s="52">
        <f t="shared" si="0"/>
        <v>2205</v>
      </c>
      <c r="AB12" s="92">
        <f>AA12/AA30*100</f>
        <v>4.8745548238196615E-2</v>
      </c>
      <c r="AG12" s="241"/>
    </row>
    <row r="13" spans="1:33" ht="15" customHeight="1" x14ac:dyDescent="0.25">
      <c r="A13" s="76" t="s">
        <v>42</v>
      </c>
      <c r="B13" s="151">
        <v>4365</v>
      </c>
      <c r="C13" s="186">
        <f>B13/B30*100</f>
        <v>1.9647559246505975</v>
      </c>
      <c r="D13" s="57">
        <v>14670</v>
      </c>
      <c r="E13" s="149">
        <f>D13/D30*100</f>
        <v>4.5556176634991621</v>
      </c>
      <c r="F13" s="157">
        <v>4725</v>
      </c>
      <c r="G13" s="186">
        <f>F13/F30*100</f>
        <v>1.4417135795688591</v>
      </c>
      <c r="H13" s="157">
        <v>450</v>
      </c>
      <c r="I13" s="149">
        <f>H13/H30*100</f>
        <v>0.15691197238349286</v>
      </c>
      <c r="J13" s="57"/>
      <c r="K13" s="149"/>
      <c r="L13" s="64"/>
      <c r="M13" s="186"/>
      <c r="N13" s="144"/>
      <c r="O13" s="151">
        <v>630</v>
      </c>
      <c r="P13" s="149">
        <f>O13/O30*100</f>
        <v>0.15631978561857973</v>
      </c>
      <c r="Q13" s="65">
        <v>3870</v>
      </c>
      <c r="R13" s="149">
        <f>Q13/Q30*100</f>
        <v>0.73870468991582205</v>
      </c>
      <c r="S13" s="151">
        <v>3780</v>
      </c>
      <c r="T13" s="149">
        <f>S13/S30*100</f>
        <v>0.8133230054221533</v>
      </c>
      <c r="U13" s="65">
        <v>900</v>
      </c>
      <c r="V13" s="149">
        <f>U13/U30*100</f>
        <v>0.18489414810021262</v>
      </c>
      <c r="W13" s="65">
        <v>180</v>
      </c>
      <c r="X13" s="149">
        <f>W13/W30*100</f>
        <v>4.3682428743038113E-2</v>
      </c>
      <c r="Y13" s="65">
        <v>1035</v>
      </c>
      <c r="Z13" s="149">
        <f>Y13/Y30*100</f>
        <v>0.26068230760512301</v>
      </c>
      <c r="AA13" s="52">
        <f t="shared" si="0"/>
        <v>34605</v>
      </c>
      <c r="AB13" s="92">
        <f>AA13/AA30*100</f>
        <v>0.76500666520761629</v>
      </c>
      <c r="AG13" s="241"/>
    </row>
    <row r="14" spans="1:33" ht="15" customHeight="1" x14ac:dyDescent="0.25">
      <c r="A14" s="76" t="s">
        <v>43</v>
      </c>
      <c r="B14" s="151"/>
      <c r="C14" s="186"/>
      <c r="D14" s="57"/>
      <c r="E14" s="149"/>
      <c r="F14" s="157"/>
      <c r="G14" s="186"/>
      <c r="H14" s="157"/>
      <c r="I14" s="149"/>
      <c r="J14" s="57"/>
      <c r="K14" s="149"/>
      <c r="L14" s="64"/>
      <c r="M14" s="186"/>
      <c r="N14" s="144"/>
      <c r="O14" s="151"/>
      <c r="P14" s="149"/>
      <c r="Q14" s="65">
        <v>7740</v>
      </c>
      <c r="R14" s="149">
        <f>Q14/Q30*100</f>
        <v>1.4774093798316441</v>
      </c>
      <c r="S14" s="151">
        <v>2250</v>
      </c>
      <c r="T14" s="149">
        <f>S14/S30*100</f>
        <v>0.48412083656080557</v>
      </c>
      <c r="U14" s="65">
        <v>3105</v>
      </c>
      <c r="V14" s="149">
        <f>U14/U30*100</f>
        <v>0.63788481094573357</v>
      </c>
      <c r="W14" s="65">
        <v>6390</v>
      </c>
      <c r="X14" s="149">
        <f>W14/W30*100</f>
        <v>1.5507262203778529</v>
      </c>
      <c r="Y14" s="65">
        <v>3825</v>
      </c>
      <c r="Z14" s="149">
        <f>Y14/Y30*100</f>
        <v>0.96339113680154131</v>
      </c>
      <c r="AA14" s="52">
        <f t="shared" si="0"/>
        <v>23310</v>
      </c>
      <c r="AB14" s="92">
        <f>AA14/AA30*100</f>
        <v>0.51531008137522127</v>
      </c>
      <c r="AG14" s="241"/>
    </row>
    <row r="15" spans="1:33" ht="15" customHeight="1" x14ac:dyDescent="0.25">
      <c r="A15" s="76" t="s">
        <v>44</v>
      </c>
      <c r="B15" s="151">
        <v>14625</v>
      </c>
      <c r="C15" s="186">
        <f>B15/B30*100</f>
        <v>6.5829451083654043</v>
      </c>
      <c r="D15" s="57">
        <v>22005</v>
      </c>
      <c r="E15" s="149">
        <f>D15/D30*100</f>
        <v>6.8334264952487427</v>
      </c>
      <c r="F15" s="157">
        <v>45585</v>
      </c>
      <c r="G15" s="186">
        <f>F15/F30*100</f>
        <v>13.909103391459562</v>
      </c>
      <c r="H15" s="157">
        <v>49050</v>
      </c>
      <c r="I15" s="149">
        <f>H15/H30*100</f>
        <v>17.103404989800723</v>
      </c>
      <c r="J15" s="57">
        <f>45180+450</f>
        <v>45630</v>
      </c>
      <c r="K15" s="149">
        <f>J15/J30*100</f>
        <v>13.577932512051419</v>
      </c>
      <c r="L15" s="64">
        <v>38025</v>
      </c>
      <c r="M15" s="186">
        <f>L15/L30*100</f>
        <v>11.144816671063044</v>
      </c>
      <c r="N15" s="144"/>
      <c r="O15" s="151">
        <v>44685</v>
      </c>
      <c r="P15" s="149">
        <f>O15/O30*100</f>
        <v>11.087539079946405</v>
      </c>
      <c r="Q15" s="65">
        <v>63720</v>
      </c>
      <c r="R15" s="149">
        <f>Q15/Q30*100</f>
        <v>12.162858615358186</v>
      </c>
      <c r="S15" s="151">
        <v>66600</v>
      </c>
      <c r="T15" s="149">
        <f>S15/S30*100</f>
        <v>14.329976762199845</v>
      </c>
      <c r="U15" s="65">
        <v>32355</v>
      </c>
      <c r="V15" s="149">
        <f>U15/U30*100</f>
        <v>6.6469446242026446</v>
      </c>
      <c r="W15" s="65">
        <v>48465</v>
      </c>
      <c r="X15" s="149">
        <f>W15/W30*100</f>
        <v>11.761493939063012</v>
      </c>
      <c r="Y15" s="65">
        <v>14490</v>
      </c>
      <c r="Z15" s="149">
        <f>Y15/Y30*100</f>
        <v>3.6495523064717221</v>
      </c>
      <c r="AA15" s="52">
        <f t="shared" si="0"/>
        <v>485235</v>
      </c>
      <c r="AB15" s="92">
        <f>AA15/AA30*100</f>
        <v>10.727005033723961</v>
      </c>
      <c r="AG15" s="241"/>
    </row>
    <row r="16" spans="1:33" ht="15" customHeight="1" x14ac:dyDescent="0.25">
      <c r="A16" s="76" t="s">
        <v>131</v>
      </c>
      <c r="B16" s="151">
        <v>8955</v>
      </c>
      <c r="C16" s="186">
        <f>B16/B30*100</f>
        <v>4.0307879278914323</v>
      </c>
      <c r="D16" s="57">
        <f>5265+13500+180</f>
        <v>18945</v>
      </c>
      <c r="E16" s="149">
        <f>D16/D30*100</f>
        <v>5.883174958077138</v>
      </c>
      <c r="F16" s="157">
        <f>7920</f>
        <v>7920</v>
      </c>
      <c r="G16" s="186">
        <f>F16/F30*100</f>
        <v>2.4165865714678016</v>
      </c>
      <c r="H16" s="157">
        <v>19755</v>
      </c>
      <c r="I16" s="149">
        <f>H16/H30*100</f>
        <v>6.8884355876353363</v>
      </c>
      <c r="J16" s="57">
        <v>15435</v>
      </c>
      <c r="K16" s="149">
        <f>J16/J30*100</f>
        <v>4.5929298339582214</v>
      </c>
      <c r="L16" s="64">
        <v>18450</v>
      </c>
      <c r="M16" s="186">
        <f>L16/L30*100</f>
        <v>5.4075441835927194</v>
      </c>
      <c r="N16" s="144"/>
      <c r="O16" s="151">
        <v>22095</v>
      </c>
      <c r="P16" s="149">
        <f>O16/O30*100</f>
        <v>5.4823581956230463</v>
      </c>
      <c r="Q16" s="65">
        <v>24210</v>
      </c>
      <c r="R16" s="149">
        <f>Q16/Q30*100</f>
        <v>4.6211991066827007</v>
      </c>
      <c r="S16" s="151">
        <v>11790</v>
      </c>
      <c r="T16" s="149">
        <f>S16/S30*100</f>
        <v>2.536793183578621</v>
      </c>
      <c r="U16" s="65">
        <v>13185</v>
      </c>
      <c r="V16" s="149">
        <f>U16/U30*100</f>
        <v>2.7086992696681151</v>
      </c>
      <c r="W16" s="65">
        <v>7020</v>
      </c>
      <c r="X16" s="149">
        <f>W16/W30*100</f>
        <v>1.7036147209784864</v>
      </c>
      <c r="Y16" s="65">
        <v>7560</v>
      </c>
      <c r="Z16" s="149">
        <f>Y16/Y30*100</f>
        <v>1.9041142468548113</v>
      </c>
      <c r="AA16" s="52">
        <f t="shared" si="0"/>
        <v>175320</v>
      </c>
      <c r="AB16" s="92">
        <f>AA16/AA30*100</f>
        <v>3.875768488490082</v>
      </c>
      <c r="AG16" s="241"/>
    </row>
    <row r="17" spans="1:33" ht="15" customHeight="1" x14ac:dyDescent="0.25">
      <c r="A17" s="76" t="s">
        <v>45</v>
      </c>
      <c r="B17" s="151">
        <v>6435</v>
      </c>
      <c r="C17" s="186">
        <f>B17/B30*100</f>
        <v>2.8964958476807778</v>
      </c>
      <c r="D17" s="57">
        <v>4455</v>
      </c>
      <c r="E17" s="149">
        <f>D17/D30*100</f>
        <v>1.3834544438233649</v>
      </c>
      <c r="F17" s="57">
        <v>15795</v>
      </c>
      <c r="G17" s="186">
        <f>F17/F30*100</f>
        <v>4.8194425374158998</v>
      </c>
      <c r="H17" s="161">
        <v>450</v>
      </c>
      <c r="I17" s="149">
        <f>H17/H30*100</f>
        <v>0.15691197238349286</v>
      </c>
      <c r="J17" s="57">
        <v>450</v>
      </c>
      <c r="K17" s="149">
        <f>J17/J30*100</f>
        <v>0.13390465988216391</v>
      </c>
      <c r="L17" s="64">
        <v>900</v>
      </c>
      <c r="M17" s="186">
        <f>L17/L30*100</f>
        <v>0.26378264310208388</v>
      </c>
      <c r="N17" s="144"/>
      <c r="O17" s="151">
        <v>540</v>
      </c>
      <c r="P17" s="149">
        <f>O17/O30*100</f>
        <v>0.13398838767306834</v>
      </c>
      <c r="Q17" s="65">
        <v>3510</v>
      </c>
      <c r="R17" s="149">
        <f>Q17/Q30*100</f>
        <v>0.66998797457481529</v>
      </c>
      <c r="S17" s="151">
        <v>225</v>
      </c>
      <c r="T17" s="149">
        <f>S17/S30*100</f>
        <v>4.841208365608056E-2</v>
      </c>
      <c r="U17" s="65">
        <v>900</v>
      </c>
      <c r="V17" s="149">
        <f>U17/U30*100</f>
        <v>0.18489414810021262</v>
      </c>
      <c r="W17" s="65">
        <v>315</v>
      </c>
      <c r="X17" s="149">
        <f>W17/W30*100</f>
        <v>7.6444250300316693E-2</v>
      </c>
      <c r="Y17" s="65"/>
      <c r="Z17" s="149"/>
      <c r="AA17" s="52">
        <f t="shared" si="0"/>
        <v>33975</v>
      </c>
      <c r="AB17" s="92">
        <f>AA17/AA30*100</f>
        <v>0.75107936571098866</v>
      </c>
      <c r="AG17" s="241"/>
    </row>
    <row r="18" spans="1:33" ht="15" customHeight="1" x14ac:dyDescent="0.25">
      <c r="A18" s="76" t="s">
        <v>46</v>
      </c>
      <c r="B18" s="151">
        <v>81585</v>
      </c>
      <c r="C18" s="186">
        <f>B18/B30*100</f>
        <v>36.722706096819927</v>
      </c>
      <c r="D18" s="57">
        <v>132300</v>
      </c>
      <c r="E18" s="149">
        <f>D18/D30*100</f>
        <v>41.08440469536054</v>
      </c>
      <c r="F18" s="57">
        <v>109485</v>
      </c>
      <c r="G18" s="186">
        <f>F18/F30*100</f>
        <v>33.406563229438419</v>
      </c>
      <c r="H18" s="157">
        <v>96705</v>
      </c>
      <c r="I18" s="149">
        <f>H18/H30*100</f>
        <v>33.720382865212613</v>
      </c>
      <c r="J18" s="57">
        <v>108315</v>
      </c>
      <c r="K18" s="149">
        <f>J18/J30*100</f>
        <v>32.230851633636846</v>
      </c>
      <c r="L18" s="64">
        <v>101250</v>
      </c>
      <c r="M18" s="186">
        <f>L18/L30*100</f>
        <v>29.675547348984438</v>
      </c>
      <c r="N18" s="144"/>
      <c r="O18" s="151">
        <v>130230</v>
      </c>
      <c r="P18" s="149">
        <f>O18/O30*100</f>
        <v>32.31353282715498</v>
      </c>
      <c r="Q18" s="65">
        <v>217935</v>
      </c>
      <c r="R18" s="149">
        <f>Q18/Q30*100</f>
        <v>41.599381549561933</v>
      </c>
      <c r="S18" s="151">
        <v>167085</v>
      </c>
      <c r="T18" s="149">
        <f>S18/S30*100</f>
        <v>35.95081332300542</v>
      </c>
      <c r="U18" s="65">
        <v>212805</v>
      </c>
      <c r="V18" s="149">
        <f>U18/U30*100</f>
        <v>43.718221318295278</v>
      </c>
      <c r="W18" s="65">
        <v>159975</v>
      </c>
      <c r="X18" s="149">
        <f>W18/W30*100</f>
        <v>38.822758545375123</v>
      </c>
      <c r="Y18" s="65">
        <v>188820</v>
      </c>
      <c r="Z18" s="149">
        <f>Y18/Y30*100</f>
        <v>47.557520117873743</v>
      </c>
      <c r="AA18" s="52">
        <f t="shared" si="0"/>
        <v>1706490</v>
      </c>
      <c r="AB18" s="92">
        <f>AA18/AA30*100</f>
        <v>37.725075107936576</v>
      </c>
      <c r="AG18" s="241"/>
    </row>
    <row r="19" spans="1:33" ht="15" customHeight="1" x14ac:dyDescent="0.25">
      <c r="A19" s="76" t="s">
        <v>47</v>
      </c>
      <c r="B19" s="151">
        <v>2925</v>
      </c>
      <c r="C19" s="186">
        <f>B19/B30*100</f>
        <v>1.3165890216730809</v>
      </c>
      <c r="D19" s="57">
        <v>3285</v>
      </c>
      <c r="E19" s="149">
        <f>D19/D30*100</f>
        <v>1.0201229737283399</v>
      </c>
      <c r="F19" s="157">
        <v>1935</v>
      </c>
      <c r="G19" s="186">
        <f>F19/F30*100</f>
        <v>0.59041603734724701</v>
      </c>
      <c r="H19" s="157">
        <v>7110</v>
      </c>
      <c r="I19" s="149">
        <f>H19/H30*100</f>
        <v>2.4792091636591871</v>
      </c>
      <c r="J19" s="57">
        <v>4365</v>
      </c>
      <c r="K19" s="149">
        <f>J19/J30*100</f>
        <v>1.2988752008569897</v>
      </c>
      <c r="L19" s="64">
        <v>6840</v>
      </c>
      <c r="M19" s="186">
        <f>L19/L30*100</f>
        <v>2.0047480875758374</v>
      </c>
      <c r="N19" s="144"/>
      <c r="O19" s="151">
        <v>11700</v>
      </c>
      <c r="P19" s="149">
        <f>O19/O30*100</f>
        <v>2.9030817329164806</v>
      </c>
      <c r="Q19" s="65">
        <v>11205</v>
      </c>
      <c r="R19" s="149">
        <f>Q19/Q30*100</f>
        <v>2.1388077649888335</v>
      </c>
      <c r="S19" s="151">
        <v>22725</v>
      </c>
      <c r="T19" s="149">
        <f>S19/S30*100</f>
        <v>4.889620449264136</v>
      </c>
      <c r="U19" s="65">
        <v>34830</v>
      </c>
      <c r="V19" s="149">
        <f>U19/U30*100</f>
        <v>7.1554035314782283</v>
      </c>
      <c r="W19" s="65">
        <v>31185</v>
      </c>
      <c r="X19" s="149">
        <f>W19/W30*100</f>
        <v>7.5679807797313536</v>
      </c>
      <c r="Y19" s="65">
        <v>52560</v>
      </c>
      <c r="Z19" s="149">
        <f>Y19/Y30*100</f>
        <v>13.238127620990593</v>
      </c>
      <c r="AA19" s="52">
        <f t="shared" si="0"/>
        <v>190665</v>
      </c>
      <c r="AB19" s="92">
        <f>AA19/AA30*100</f>
        <v>4.2149977119436546</v>
      </c>
      <c r="AG19" s="241"/>
    </row>
    <row r="20" spans="1:33" ht="15" customHeight="1" x14ac:dyDescent="0.25">
      <c r="A20" s="76" t="s">
        <v>48</v>
      </c>
      <c r="B20" s="151">
        <v>1125</v>
      </c>
      <c r="C20" s="186">
        <f>B20/B30*100</f>
        <v>0.50638039295118487</v>
      </c>
      <c r="D20" s="57">
        <v>1350</v>
      </c>
      <c r="E20" s="149">
        <f>D20/D30*100</f>
        <v>0.41922861934041367</v>
      </c>
      <c r="F20" s="157">
        <v>2475</v>
      </c>
      <c r="G20" s="186">
        <f>F20/F30*100</f>
        <v>0.75518330358368801</v>
      </c>
      <c r="H20" s="157">
        <f>5625</f>
        <v>5625</v>
      </c>
      <c r="I20" s="149">
        <f>H20/H30*100</f>
        <v>1.9613996547936607</v>
      </c>
      <c r="J20" s="57">
        <v>1305</v>
      </c>
      <c r="K20" s="149">
        <f>J20/J30*100</f>
        <v>0.38832351365827528</v>
      </c>
      <c r="L20" s="64">
        <v>4275</v>
      </c>
      <c r="M20" s="186">
        <f>L20/L30*100</f>
        <v>1.2529675547348984</v>
      </c>
      <c r="N20" s="144"/>
      <c r="O20" s="151">
        <v>1845</v>
      </c>
      <c r="P20" s="149">
        <f>O20/O30*100</f>
        <v>0.45779365788298348</v>
      </c>
      <c r="Q20" s="65">
        <v>3330</v>
      </c>
      <c r="R20" s="149">
        <f>Q20/Q30*100</f>
        <v>0.63562961690431197</v>
      </c>
      <c r="S20" s="151">
        <v>6255</v>
      </c>
      <c r="T20" s="149">
        <f>S20/S30*100</f>
        <v>1.3458559256390394</v>
      </c>
      <c r="U20" s="65">
        <v>765</v>
      </c>
      <c r="V20" s="149">
        <f>U20/U30*100</f>
        <v>0.15716002588518074</v>
      </c>
      <c r="W20" s="65">
        <v>180</v>
      </c>
      <c r="X20" s="149">
        <f>W20/W30*100</f>
        <v>4.3682428743038113E-2</v>
      </c>
      <c r="Y20" s="65">
        <v>900</v>
      </c>
      <c r="Z20" s="149">
        <f>Y20/Y30*100</f>
        <v>0.22668026748271564</v>
      </c>
      <c r="AA20" s="52">
        <f t="shared" si="0"/>
        <v>29430</v>
      </c>
      <c r="AB20" s="92">
        <f>AA20/AA30*100</f>
        <v>0.65060384791388948</v>
      </c>
      <c r="AG20" s="241"/>
    </row>
    <row r="21" spans="1:33" ht="15" customHeight="1" x14ac:dyDescent="0.25">
      <c r="A21" s="76" t="s">
        <v>137</v>
      </c>
      <c r="B21" s="151"/>
      <c r="C21" s="186"/>
      <c r="D21" s="57"/>
      <c r="E21" s="149"/>
      <c r="F21" s="157">
        <v>6300</v>
      </c>
      <c r="G21" s="186">
        <f>F21/F30*100</f>
        <v>1.9222847727584784</v>
      </c>
      <c r="H21" s="157">
        <v>7650</v>
      </c>
      <c r="I21" s="149">
        <f>H21/H30*100</f>
        <v>2.6675035305193786</v>
      </c>
      <c r="J21" s="57"/>
      <c r="K21" s="149"/>
      <c r="L21" s="64"/>
      <c r="M21" s="186"/>
      <c r="N21" s="144"/>
      <c r="O21" s="151"/>
      <c r="P21" s="149"/>
      <c r="Q21" s="65">
        <v>1800</v>
      </c>
      <c r="R21" s="149">
        <f>Q21/Q30*100</f>
        <v>0.34358357670503353</v>
      </c>
      <c r="S21" s="151">
        <v>450</v>
      </c>
      <c r="T21" s="149">
        <f>S21/S30*100</f>
        <v>9.6824167312161119E-2</v>
      </c>
      <c r="U21" s="65"/>
      <c r="V21" s="149"/>
      <c r="W21" s="65"/>
      <c r="X21" s="149"/>
      <c r="Y21" s="65"/>
      <c r="Z21" s="149"/>
      <c r="AA21" s="52">
        <f t="shared" si="0"/>
        <v>16200</v>
      </c>
      <c r="AB21" s="92">
        <f>AA21/AA30*100</f>
        <v>0.35813055848470982</v>
      </c>
      <c r="AG21" s="241"/>
    </row>
    <row r="22" spans="1:33" ht="15" customHeight="1" x14ac:dyDescent="0.25">
      <c r="A22" s="76" t="s">
        <v>49</v>
      </c>
      <c r="B22" s="151">
        <v>10440</v>
      </c>
      <c r="C22" s="186">
        <f>B22/B30*100</f>
        <v>4.6992100465869964</v>
      </c>
      <c r="D22" s="57">
        <v>6300</v>
      </c>
      <c r="E22" s="149">
        <f>D22/D30*100</f>
        <v>1.9564002235885971</v>
      </c>
      <c r="F22" s="57">
        <f>8505+20520</f>
        <v>29025</v>
      </c>
      <c r="G22" s="186">
        <f>F22/F30*100</f>
        <v>8.8562405602087058</v>
      </c>
      <c r="H22" s="151">
        <v>8055</v>
      </c>
      <c r="I22" s="149">
        <f>H22/H30*100</f>
        <v>2.8087243056645219</v>
      </c>
      <c r="J22" s="57">
        <f>1485+30690</f>
        <v>32175</v>
      </c>
      <c r="K22" s="149">
        <f>J22/J30*100</f>
        <v>9.5741831815747194</v>
      </c>
      <c r="L22" s="64">
        <v>19665</v>
      </c>
      <c r="M22" s="186">
        <f>L22/L30*100</f>
        <v>5.7636507517805331</v>
      </c>
      <c r="N22" s="144"/>
      <c r="O22" s="151">
        <v>49095</v>
      </c>
      <c r="P22" s="149">
        <f>O22/O30*100</f>
        <v>12.181777579276462</v>
      </c>
      <c r="Q22" s="65">
        <v>32760</v>
      </c>
      <c r="R22" s="149">
        <f>Q22/Q30*100</f>
        <v>6.2532210960316092</v>
      </c>
      <c r="S22" s="151">
        <v>17550</v>
      </c>
      <c r="T22" s="149">
        <f>S22/S30*100</f>
        <v>3.7761425251742837</v>
      </c>
      <c r="U22" s="65">
        <v>24120</v>
      </c>
      <c r="V22" s="149">
        <f>U22/U30*100</f>
        <v>4.9551631690856981</v>
      </c>
      <c r="W22" s="65">
        <v>22815</v>
      </c>
      <c r="X22" s="149">
        <f>W22/W30*100</f>
        <v>5.5367478431800805</v>
      </c>
      <c r="Y22" s="65">
        <f>900+24525</f>
        <v>25425</v>
      </c>
      <c r="Z22" s="149">
        <f>Y22/Y30*100</f>
        <v>6.4037175563867166</v>
      </c>
      <c r="AA22" s="52">
        <f t="shared" si="0"/>
        <v>277425</v>
      </c>
      <c r="AB22" s="92">
        <f>AA22/AA30*100</f>
        <v>6.1329858140506559</v>
      </c>
      <c r="AD22" s="105"/>
      <c r="AG22" s="241"/>
    </row>
    <row r="23" spans="1:33" ht="15" customHeight="1" x14ac:dyDescent="0.25">
      <c r="A23" s="76" t="s">
        <v>50</v>
      </c>
      <c r="B23" s="151">
        <v>5220</v>
      </c>
      <c r="C23" s="186">
        <f>B23/B30*100</f>
        <v>2.3496050232934982</v>
      </c>
      <c r="D23" s="57">
        <v>7875</v>
      </c>
      <c r="E23" s="149">
        <f>D23/D30*100</f>
        <v>2.4455002794857461</v>
      </c>
      <c r="F23" s="157">
        <v>7875</v>
      </c>
      <c r="G23" s="186">
        <f>F23/F30*100</f>
        <v>2.4028559659480981</v>
      </c>
      <c r="H23" s="157">
        <v>6480</v>
      </c>
      <c r="I23" s="149">
        <f>H23/H30*100</f>
        <v>2.2595324023222974</v>
      </c>
      <c r="J23" s="57">
        <v>9585</v>
      </c>
      <c r="K23" s="149">
        <f>J23/J30*100</f>
        <v>2.8521692554900913</v>
      </c>
      <c r="L23" s="64">
        <v>11970</v>
      </c>
      <c r="M23" s="186">
        <f>L23/L30*100</f>
        <v>3.508309153257716</v>
      </c>
      <c r="N23" s="144"/>
      <c r="O23" s="151">
        <v>9540</v>
      </c>
      <c r="P23" s="149">
        <f>O23/O30*100</f>
        <v>2.3671281822242074</v>
      </c>
      <c r="Q23" s="65">
        <v>9900</v>
      </c>
      <c r="R23" s="149">
        <f>Q23/Q30*100</f>
        <v>1.8897096718776842</v>
      </c>
      <c r="S23" s="151">
        <v>8955</v>
      </c>
      <c r="T23" s="149">
        <f>S23/S30*100</f>
        <v>1.9268009295120063</v>
      </c>
      <c r="U23" s="65">
        <v>7245</v>
      </c>
      <c r="V23" s="149">
        <f>U23/U30*100</f>
        <v>1.4883978922067116</v>
      </c>
      <c r="W23" s="65">
        <v>9630</v>
      </c>
      <c r="X23" s="149">
        <f>W23/W30*100</f>
        <v>2.3370099377525393</v>
      </c>
      <c r="Y23" s="65">
        <v>3285</v>
      </c>
      <c r="Z23" s="149">
        <f>Y23/Y30*100</f>
        <v>0.82738297631191204</v>
      </c>
      <c r="AA23" s="52">
        <f t="shared" si="0"/>
        <v>97560</v>
      </c>
      <c r="AB23" s="92">
        <f>AA23/AA30*100</f>
        <v>2.1567418077634746</v>
      </c>
      <c r="AG23" s="241"/>
    </row>
    <row r="24" spans="1:33" ht="15" customHeight="1" x14ac:dyDescent="0.25">
      <c r="A24" s="76" t="s">
        <v>108</v>
      </c>
      <c r="B24" s="151">
        <v>39375</v>
      </c>
      <c r="C24" s="186">
        <f>B24/B30*100</f>
        <v>17.723313753291471</v>
      </c>
      <c r="D24" s="57">
        <v>54225</v>
      </c>
      <c r="E24" s="149">
        <f>D24/D30*100</f>
        <v>16.839016210173281</v>
      </c>
      <c r="F24" s="157">
        <v>34380</v>
      </c>
      <c r="G24" s="186">
        <f>F24/F30*100</f>
        <v>10.490182617053412</v>
      </c>
      <c r="H24" s="157">
        <f>1350+28350</f>
        <v>29700</v>
      </c>
      <c r="I24" s="149">
        <f>H24/H30*100</f>
        <v>10.356190177310529</v>
      </c>
      <c r="J24" s="57">
        <f>1350+32985</f>
        <v>34335</v>
      </c>
      <c r="K24" s="149">
        <f>J24/J30*100</f>
        <v>10.216925549009105</v>
      </c>
      <c r="L24" s="64">
        <f>675+32985</f>
        <v>33660</v>
      </c>
      <c r="M24" s="92">
        <f>L24/L30*100</f>
        <v>9.8654708520179373</v>
      </c>
      <c r="N24" s="144"/>
      <c r="O24" s="151">
        <f>675+13365</f>
        <v>14040</v>
      </c>
      <c r="P24" s="149">
        <f>O24/O30*100</f>
        <v>3.4836980794997765</v>
      </c>
      <c r="Q24" s="65">
        <v>17685</v>
      </c>
      <c r="R24" s="149">
        <f>Q24/Q30*100</f>
        <v>3.3757086411269537</v>
      </c>
      <c r="S24" s="151">
        <v>31410</v>
      </c>
      <c r="T24" s="149">
        <f>S24/S30*100</f>
        <v>6.7583268783888455</v>
      </c>
      <c r="U24" s="65">
        <f>32040+7650</f>
        <v>39690</v>
      </c>
      <c r="V24" s="149">
        <f>U24/U30*100</f>
        <v>8.1538319312193774</v>
      </c>
      <c r="W24" s="65">
        <v>33075</v>
      </c>
      <c r="X24" s="149">
        <f>W24/W30*100</f>
        <v>8.0266462815332531</v>
      </c>
      <c r="Y24" s="65">
        <f>675+25560</f>
        <v>26235</v>
      </c>
      <c r="Z24" s="149">
        <f>Y24/Y30*100</f>
        <v>6.6077297971211602</v>
      </c>
      <c r="AA24" s="52">
        <f t="shared" si="0"/>
        <v>387810</v>
      </c>
      <c r="AB24" s="92">
        <f>AA24/AA30*100</f>
        <v>8.5732476472811925</v>
      </c>
      <c r="AD24" s="241"/>
      <c r="AG24" s="241"/>
    </row>
    <row r="25" spans="1:33" ht="15" customHeight="1" x14ac:dyDescent="0.25">
      <c r="A25" s="76" t="s">
        <v>61</v>
      </c>
      <c r="B25" s="151">
        <v>180</v>
      </c>
      <c r="C25" s="186">
        <f>B25/B30*100</f>
        <v>8.1020862872189597E-2</v>
      </c>
      <c r="D25" s="57"/>
      <c r="E25" s="149"/>
      <c r="F25" s="157"/>
      <c r="G25" s="186"/>
      <c r="H25" s="151"/>
      <c r="I25" s="149"/>
      <c r="J25" s="57">
        <f>3150</f>
        <v>3150</v>
      </c>
      <c r="K25" s="149">
        <f>J25/J30*100</f>
        <v>0.93733261917514732</v>
      </c>
      <c r="L25" s="64"/>
      <c r="M25" s="186"/>
      <c r="N25" s="144"/>
      <c r="O25" s="151"/>
      <c r="P25" s="149"/>
      <c r="Q25" s="65">
        <v>495</v>
      </c>
      <c r="R25" s="149">
        <f>Q25/Q30*100</f>
        <v>9.4485483593884215E-2</v>
      </c>
      <c r="S25" s="151"/>
      <c r="T25" s="149"/>
      <c r="U25" s="65">
        <v>675</v>
      </c>
      <c r="V25" s="149">
        <f>U25/U30*100</f>
        <v>0.13867061107515946</v>
      </c>
      <c r="W25" s="65"/>
      <c r="X25" s="149"/>
      <c r="Y25" s="65"/>
      <c r="Z25" s="149"/>
      <c r="AA25" s="52">
        <f t="shared" si="0"/>
        <v>4500</v>
      </c>
      <c r="AB25" s="92">
        <f>AA25/AA30*100</f>
        <v>9.9480710690197177E-2</v>
      </c>
      <c r="AG25" s="241"/>
    </row>
    <row r="26" spans="1:33" ht="15" customHeight="1" x14ac:dyDescent="0.25">
      <c r="A26" s="76" t="s">
        <v>138</v>
      </c>
      <c r="B26" s="151"/>
      <c r="C26" s="186"/>
      <c r="D26" s="57">
        <v>585</v>
      </c>
      <c r="E26" s="149">
        <f>D26/D30*100</f>
        <v>0.1816657350475126</v>
      </c>
      <c r="F26" s="157"/>
      <c r="G26" s="186"/>
      <c r="H26" s="151"/>
      <c r="I26" s="149"/>
      <c r="J26" s="57"/>
      <c r="K26" s="149"/>
      <c r="L26" s="64"/>
      <c r="M26" s="186"/>
      <c r="N26" s="144"/>
      <c r="O26" s="151"/>
      <c r="P26" s="149"/>
      <c r="Q26" s="65"/>
      <c r="R26" s="149"/>
      <c r="S26" s="151">
        <v>180</v>
      </c>
      <c r="T26" s="149">
        <f>S26/S30*100</f>
        <v>3.8729666924864452E-2</v>
      </c>
      <c r="U26" s="65">
        <v>540</v>
      </c>
      <c r="V26" s="149">
        <f>U26/U30*100</f>
        <v>0.11093648886012758</v>
      </c>
      <c r="W26" s="65">
        <v>360</v>
      </c>
      <c r="X26" s="149">
        <f>W26/W30*100</f>
        <v>8.7364857486076225E-2</v>
      </c>
      <c r="Y26" s="65"/>
      <c r="Z26" s="149"/>
      <c r="AA26" s="52">
        <f t="shared" si="0"/>
        <v>1665</v>
      </c>
      <c r="AB26" s="92">
        <f>AA26/AA30*100</f>
        <v>3.6807862955372958E-2</v>
      </c>
      <c r="AG26" s="241"/>
    </row>
    <row r="27" spans="1:33" ht="15" customHeight="1" x14ac:dyDescent="0.25">
      <c r="A27" s="76" t="s">
        <v>51</v>
      </c>
      <c r="B27" s="151">
        <v>5580</v>
      </c>
      <c r="C27" s="186">
        <f>B27/B30*100</f>
        <v>2.5116467490378773</v>
      </c>
      <c r="D27" s="57">
        <v>7290</v>
      </c>
      <c r="E27" s="149">
        <f>D27/D30*100</f>
        <v>2.2638345444382337</v>
      </c>
      <c r="F27" s="157">
        <v>3600</v>
      </c>
      <c r="G27" s="186">
        <f>F27/F30*100</f>
        <v>1.0984484415762736</v>
      </c>
      <c r="H27" s="157">
        <v>11250</v>
      </c>
      <c r="I27" s="149">
        <f>H27/H30*100</f>
        <v>3.9227993095873215</v>
      </c>
      <c r="J27" s="57">
        <v>13455</v>
      </c>
      <c r="K27" s="149">
        <f>J27/J30*100</f>
        <v>4.0037493304767002</v>
      </c>
      <c r="L27" s="64">
        <f>16695</f>
        <v>16695</v>
      </c>
      <c r="M27" s="186">
        <f>L27/L30*100</f>
        <v>4.8931680295436566</v>
      </c>
      <c r="N27" s="144"/>
      <c r="O27" s="151">
        <v>18270</v>
      </c>
      <c r="P27" s="149">
        <f>O27/O30*100</f>
        <v>4.5332737829388119</v>
      </c>
      <c r="Q27" s="65">
        <v>3150</v>
      </c>
      <c r="R27" s="149">
        <f>Q27/Q30*100</f>
        <v>0.60127125923380864</v>
      </c>
      <c r="S27" s="151">
        <v>17010</v>
      </c>
      <c r="T27" s="149">
        <f>S27/S30*100</f>
        <v>3.6599535243996901</v>
      </c>
      <c r="U27" s="65">
        <v>17325</v>
      </c>
      <c r="V27" s="149">
        <f>U27/U30*100</f>
        <v>3.5592123509290934</v>
      </c>
      <c r="W27" s="65">
        <v>16425</v>
      </c>
      <c r="X27" s="149">
        <f>W27/W30*100</f>
        <v>3.986021622802228</v>
      </c>
      <c r="Y27" s="65">
        <v>9135</v>
      </c>
      <c r="Z27" s="149">
        <f>Y27/Y30*100</f>
        <v>2.3008047149495634</v>
      </c>
      <c r="AA27" s="52">
        <f t="shared" si="0"/>
        <v>139185</v>
      </c>
      <c r="AB27" s="92">
        <f>AA27/AA30*100</f>
        <v>3.0769383816477984</v>
      </c>
      <c r="AG27" s="241"/>
    </row>
    <row r="28" spans="1:33" ht="15" customHeight="1" x14ac:dyDescent="0.25">
      <c r="A28" s="76" t="s">
        <v>121</v>
      </c>
      <c r="B28" s="151">
        <v>1575</v>
      </c>
      <c r="C28" s="186">
        <f>B28/B30*100</f>
        <v>0.7089325501316589</v>
      </c>
      <c r="D28" s="57"/>
      <c r="E28" s="149"/>
      <c r="F28" s="157"/>
      <c r="G28" s="186"/>
      <c r="H28" s="157"/>
      <c r="I28" s="149"/>
      <c r="J28" s="57"/>
      <c r="K28" s="149"/>
      <c r="L28" s="64"/>
      <c r="M28" s="186"/>
      <c r="N28" s="144"/>
      <c r="O28" s="151"/>
      <c r="P28" s="149"/>
      <c r="Q28" s="65"/>
      <c r="R28" s="149"/>
      <c r="S28" s="151"/>
      <c r="T28" s="149"/>
      <c r="U28" s="65">
        <v>540</v>
      </c>
      <c r="V28" s="149">
        <f>U28/U30*100</f>
        <v>0.11093648886012758</v>
      </c>
      <c r="W28" s="65">
        <v>180</v>
      </c>
      <c r="X28" s="149">
        <f>W28/W30*100</f>
        <v>4.3682428743038113E-2</v>
      </c>
      <c r="Y28" s="65"/>
      <c r="Z28" s="149"/>
      <c r="AA28" s="52">
        <f t="shared" si="0"/>
        <v>2295</v>
      </c>
      <c r="AB28" s="92">
        <f>AA28/AA30*100</f>
        <v>5.0735162452000555E-2</v>
      </c>
      <c r="AG28" s="241"/>
    </row>
    <row r="29" spans="1:33" ht="15" customHeight="1" x14ac:dyDescent="0.25">
      <c r="A29" s="76" t="s">
        <v>106</v>
      </c>
      <c r="B29" s="151">
        <v>2385</v>
      </c>
      <c r="C29" s="186">
        <f>B29/B30*100</f>
        <v>1.073526433056512</v>
      </c>
      <c r="D29" s="57">
        <v>5985</v>
      </c>
      <c r="E29" s="149">
        <f>D29/D30*100</f>
        <v>1.8585802124091673</v>
      </c>
      <c r="F29" s="157">
        <v>2070</v>
      </c>
      <c r="G29" s="186">
        <f>F29/F30*100</f>
        <v>0.63160785390635721</v>
      </c>
      <c r="H29" s="160">
        <v>1215</v>
      </c>
      <c r="I29" s="149">
        <f>H29/H30*100</f>
        <v>0.4236623254354307</v>
      </c>
      <c r="J29" s="57">
        <v>4095</v>
      </c>
      <c r="K29" s="149">
        <f>J29/J30*100</f>
        <v>1.2185324049276915</v>
      </c>
      <c r="L29" s="64">
        <f>10215</f>
        <v>10215</v>
      </c>
      <c r="M29" s="186">
        <f>L29/L30*100</f>
        <v>2.9939329992086523</v>
      </c>
      <c r="N29" s="144"/>
      <c r="O29" s="151">
        <v>4725</v>
      </c>
      <c r="P29" s="149">
        <f>O29/O30*100</f>
        <v>1.1723983921393479</v>
      </c>
      <c r="Q29" s="65">
        <v>10125</v>
      </c>
      <c r="R29" s="149">
        <f>Q29/Q30*100</f>
        <v>1.9326576189658136</v>
      </c>
      <c r="S29" s="151">
        <v>20205</v>
      </c>
      <c r="T29" s="149">
        <f>S29/S30*100</f>
        <v>4.347405112316034</v>
      </c>
      <c r="U29" s="65">
        <v>10845</v>
      </c>
      <c r="V29" s="149">
        <f>U29/U30*100</f>
        <v>2.2279744846075622</v>
      </c>
      <c r="W29" s="65">
        <v>6525</v>
      </c>
      <c r="X29" s="149">
        <f>W29/W30*100</f>
        <v>1.5834880419351316</v>
      </c>
      <c r="Y29" s="65">
        <v>8190</v>
      </c>
      <c r="Z29" s="149">
        <f>Y29/Y30*100</f>
        <v>2.0627904340927121</v>
      </c>
      <c r="AA29" s="52">
        <f t="shared" si="0"/>
        <v>86580</v>
      </c>
      <c r="AB29" s="92">
        <f>AA29/AA30*100</f>
        <v>1.9140088736793934</v>
      </c>
      <c r="AG29" s="241"/>
    </row>
    <row r="30" spans="1:33" s="70" customFormat="1" ht="15" customHeight="1" x14ac:dyDescent="0.25">
      <c r="A30" s="68" t="s">
        <v>70</v>
      </c>
      <c r="B30" s="156">
        <f t="shared" ref="B30:M30" si="1">SUM(B8:B29)</f>
        <v>222165</v>
      </c>
      <c r="C30" s="181">
        <f t="shared" si="1"/>
        <v>100.00000000000001</v>
      </c>
      <c r="D30" s="156">
        <f t="shared" si="1"/>
        <v>322020</v>
      </c>
      <c r="E30" s="181">
        <f t="shared" si="1"/>
        <v>100.00000000000001</v>
      </c>
      <c r="F30" s="156">
        <f t="shared" si="1"/>
        <v>327735</v>
      </c>
      <c r="G30" s="181">
        <f t="shared" si="1"/>
        <v>100</v>
      </c>
      <c r="H30" s="69">
        <f t="shared" si="1"/>
        <v>286785</v>
      </c>
      <c r="I30" s="181">
        <f t="shared" si="1"/>
        <v>100</v>
      </c>
      <c r="J30" s="69">
        <f t="shared" si="1"/>
        <v>336060</v>
      </c>
      <c r="K30" s="181">
        <f t="shared" si="1"/>
        <v>99.999999999999986</v>
      </c>
      <c r="L30" s="69">
        <f t="shared" si="1"/>
        <v>341190</v>
      </c>
      <c r="M30" s="103">
        <f t="shared" si="1"/>
        <v>99.999999999999986</v>
      </c>
      <c r="N30" s="144"/>
      <c r="O30" s="69">
        <f t="shared" ref="O30:V30" si="2">SUM(O8:O29)</f>
        <v>403020</v>
      </c>
      <c r="P30" s="181">
        <f t="shared" si="2"/>
        <v>99.999999999999986</v>
      </c>
      <c r="Q30" s="69">
        <f t="shared" si="2"/>
        <v>523890</v>
      </c>
      <c r="R30" s="181">
        <f t="shared" si="2"/>
        <v>100</v>
      </c>
      <c r="S30" s="69">
        <f t="shared" si="2"/>
        <v>464760</v>
      </c>
      <c r="T30" s="181">
        <f t="shared" si="2"/>
        <v>100</v>
      </c>
      <c r="U30" s="69">
        <f t="shared" si="2"/>
        <v>486765</v>
      </c>
      <c r="V30" s="181">
        <f t="shared" si="2"/>
        <v>99.999999999999986</v>
      </c>
      <c r="W30" s="69">
        <f>W8+W9+W11+W13+W14+W15+W16+W17+W18+W19+W20+W22+W23+W24+W26+W27+W28+W29</f>
        <v>412065</v>
      </c>
      <c r="X30" s="181">
        <f>SUM(X8:X29)</f>
        <v>100</v>
      </c>
      <c r="Y30" s="69">
        <f>SUM(Y8:Y29)</f>
        <v>397035</v>
      </c>
      <c r="Z30" s="181">
        <f>SUM(Z8:Z29)</f>
        <v>100.00000000000003</v>
      </c>
      <c r="AA30" s="69">
        <f>SUM(AA8:AA29)</f>
        <v>4523490</v>
      </c>
      <c r="AB30" s="181">
        <f>SUM(AB8:AB29)</f>
        <v>100</v>
      </c>
      <c r="AC30" s="91"/>
      <c r="AD30" s="90">
        <f>B30+D30+F30+H30+J30+L30+O30+Q30+S30+U30+W30+Y30</f>
        <v>4523490</v>
      </c>
      <c r="AG30" s="289"/>
    </row>
    <row r="31" spans="1:33" s="70" customFormat="1" ht="15" customHeight="1" x14ac:dyDescent="0.25">
      <c r="A31" s="82"/>
      <c r="B31" s="155"/>
      <c r="C31" s="83"/>
      <c r="D31" s="89"/>
      <c r="E31" s="216"/>
      <c r="F31" s="89"/>
      <c r="G31" s="83"/>
      <c r="H31" s="221"/>
      <c r="I31" s="222"/>
      <c r="J31" s="89"/>
      <c r="K31" s="83"/>
      <c r="L31" s="89"/>
      <c r="M31" s="89"/>
      <c r="N31" s="144"/>
      <c r="O31" s="158"/>
      <c r="P31" s="83"/>
      <c r="Q31" s="89"/>
      <c r="R31" s="83"/>
      <c r="S31" s="89"/>
      <c r="T31" s="83"/>
      <c r="U31" s="89"/>
      <c r="V31" s="83"/>
      <c r="W31" s="89"/>
      <c r="X31" s="83"/>
      <c r="Y31" s="89"/>
      <c r="Z31" s="83"/>
      <c r="AB31" s="83"/>
    </row>
    <row r="32" spans="1:33" s="70" customFormat="1" ht="15" customHeight="1" x14ac:dyDescent="0.25">
      <c r="A32" s="85"/>
      <c r="B32" s="272"/>
      <c r="C32" s="84"/>
      <c r="D32" s="206"/>
      <c r="E32" s="215"/>
      <c r="F32" s="218"/>
      <c r="H32" s="154"/>
      <c r="I32" s="215"/>
      <c r="J32" s="90"/>
      <c r="K32" s="218"/>
      <c r="M32" s="90"/>
      <c r="N32" s="144"/>
      <c r="O32" s="90"/>
      <c r="P32" s="223"/>
      <c r="Q32" s="90"/>
      <c r="R32" s="84"/>
      <c r="S32" s="90"/>
      <c r="T32" s="84"/>
      <c r="U32" s="272"/>
      <c r="V32" s="84"/>
      <c r="W32" s="90"/>
      <c r="X32" s="84"/>
      <c r="Y32" s="90"/>
      <c r="Z32" s="84"/>
      <c r="AA32" s="90"/>
      <c r="AB32" s="84"/>
    </row>
    <row r="33" spans="1:33" s="70" customFormat="1" ht="15" customHeight="1" x14ac:dyDescent="0.25">
      <c r="A33" s="85"/>
      <c r="B33" s="245"/>
      <c r="C33" s="84"/>
      <c r="D33" s="206"/>
      <c r="E33" s="214"/>
      <c r="F33" s="218"/>
      <c r="H33" s="90"/>
      <c r="I33" s="214"/>
      <c r="J33" s="90"/>
      <c r="K33" s="226"/>
      <c r="L33" s="227"/>
      <c r="M33" s="90"/>
      <c r="N33" s="144"/>
      <c r="O33" s="90"/>
      <c r="P33" s="84"/>
      <c r="Q33" s="90"/>
      <c r="R33" s="84"/>
      <c r="S33" s="90"/>
      <c r="T33" s="84"/>
      <c r="U33" s="90"/>
      <c r="V33" s="84"/>
      <c r="W33" s="90"/>
      <c r="X33" s="84"/>
      <c r="Y33" s="90"/>
      <c r="Z33" s="84"/>
      <c r="AA33" s="90"/>
      <c r="AB33" s="84"/>
    </row>
    <row r="34" spans="1:33" s="70" customFormat="1" ht="15" customHeight="1" x14ac:dyDescent="0.25">
      <c r="A34" s="85"/>
      <c r="B34" s="90"/>
      <c r="C34" s="84"/>
      <c r="D34" s="153"/>
      <c r="E34" s="214"/>
      <c r="F34" s="90"/>
      <c r="G34" s="84"/>
      <c r="H34" s="90"/>
      <c r="I34" s="223"/>
      <c r="J34" s="90"/>
      <c r="K34" s="214"/>
      <c r="L34" s="90"/>
      <c r="M34" s="90"/>
      <c r="N34" s="144"/>
      <c r="O34" s="90"/>
      <c r="P34" s="84"/>
      <c r="Q34" s="90"/>
      <c r="R34" s="84"/>
      <c r="S34" s="90"/>
      <c r="T34" s="84"/>
      <c r="U34" s="90"/>
      <c r="V34" s="84"/>
      <c r="W34" s="90"/>
      <c r="X34" s="84"/>
      <c r="Y34" s="90"/>
      <c r="Z34" s="84"/>
      <c r="AA34" s="90"/>
      <c r="AB34" s="84"/>
    </row>
    <row r="35" spans="1:33" s="70" customFormat="1" ht="15" customHeight="1" x14ac:dyDescent="0.25">
      <c r="A35" s="85"/>
      <c r="B35" s="90"/>
      <c r="C35" s="84"/>
      <c r="D35" s="153"/>
      <c r="E35" s="214"/>
      <c r="F35" s="90"/>
      <c r="G35" s="84"/>
      <c r="H35" s="90"/>
      <c r="I35" s="223"/>
      <c r="J35" s="90"/>
      <c r="K35" s="214"/>
      <c r="L35" s="90"/>
      <c r="M35" s="90"/>
      <c r="N35" s="144"/>
      <c r="O35" s="90"/>
      <c r="P35" s="84"/>
      <c r="Q35" s="90"/>
      <c r="R35" s="84"/>
      <c r="S35" s="90"/>
      <c r="T35" s="84"/>
      <c r="U35" s="90"/>
      <c r="V35" s="84"/>
      <c r="W35" s="90"/>
      <c r="X35" s="84"/>
      <c r="Y35" s="90"/>
      <c r="Z35" s="84"/>
      <c r="AA35" s="90"/>
      <c r="AB35" s="84"/>
    </row>
    <row r="36" spans="1:33" s="70" customFormat="1" ht="15" customHeight="1" x14ac:dyDescent="0.25">
      <c r="A36" s="85"/>
      <c r="B36" s="90"/>
      <c r="C36" s="84"/>
      <c r="D36" s="153"/>
      <c r="E36" s="214"/>
      <c r="F36" s="90"/>
      <c r="G36" s="84"/>
      <c r="H36" s="90"/>
      <c r="I36" s="223"/>
      <c r="J36" s="90"/>
      <c r="K36" s="214"/>
      <c r="L36" s="90"/>
      <c r="M36" s="90"/>
      <c r="N36" s="144"/>
      <c r="O36" s="90"/>
      <c r="P36" s="84"/>
      <c r="Q36" s="90"/>
      <c r="R36" s="84"/>
      <c r="S36" s="90"/>
      <c r="T36" s="84"/>
      <c r="U36" s="90"/>
      <c r="V36" s="84"/>
      <c r="W36" s="90"/>
      <c r="X36" s="84"/>
      <c r="Y36" s="90"/>
      <c r="Z36" s="84"/>
      <c r="AA36" s="90"/>
      <c r="AB36" s="84"/>
    </row>
    <row r="37" spans="1:33" s="70" customFormat="1" ht="15" customHeight="1" x14ac:dyDescent="0.25">
      <c r="A37" s="191" t="s">
        <v>142</v>
      </c>
      <c r="B37" s="90"/>
      <c r="C37" s="84"/>
      <c r="D37" s="90"/>
      <c r="E37" s="84"/>
      <c r="F37" s="90"/>
      <c r="G37" s="84"/>
      <c r="H37" s="90"/>
      <c r="I37" s="218"/>
      <c r="J37" s="90"/>
      <c r="K37" s="84"/>
      <c r="L37" s="90"/>
      <c r="M37" s="90"/>
      <c r="N37" s="144"/>
      <c r="O37" s="90"/>
      <c r="P37" s="84"/>
      <c r="Q37" s="90"/>
      <c r="R37" s="84"/>
      <c r="S37" s="90"/>
      <c r="T37" s="84"/>
      <c r="U37" s="90">
        <f>276435+7740</f>
        <v>284175</v>
      </c>
      <c r="V37" s="84"/>
      <c r="W37" s="90"/>
      <c r="X37" s="84"/>
      <c r="Y37" s="90"/>
      <c r="Z37" s="84"/>
      <c r="AA37" s="90"/>
      <c r="AB37" s="84"/>
    </row>
    <row r="38" spans="1:33" s="70" customFormat="1" ht="15" customHeight="1" x14ac:dyDescent="0.25">
      <c r="A38" s="361" t="s">
        <v>39</v>
      </c>
      <c r="B38" s="363" t="s">
        <v>21</v>
      </c>
      <c r="C38" s="364"/>
      <c r="D38" s="365" t="s">
        <v>22</v>
      </c>
      <c r="E38" s="366"/>
      <c r="F38" s="367" t="s">
        <v>23</v>
      </c>
      <c r="G38" s="368"/>
      <c r="H38" s="369" t="s">
        <v>24</v>
      </c>
      <c r="I38" s="370"/>
      <c r="J38" s="371" t="s">
        <v>25</v>
      </c>
      <c r="K38" s="372"/>
      <c r="L38" s="373" t="s">
        <v>40</v>
      </c>
      <c r="M38" s="374"/>
      <c r="N38" s="144"/>
      <c r="O38" s="377" t="s">
        <v>27</v>
      </c>
      <c r="P38" s="378"/>
      <c r="Q38" s="377" t="s">
        <v>37</v>
      </c>
      <c r="R38" s="378"/>
      <c r="S38" s="379" t="s">
        <v>28</v>
      </c>
      <c r="T38" s="380"/>
      <c r="U38" s="381" t="s">
        <v>29</v>
      </c>
      <c r="V38" s="382"/>
      <c r="W38" s="383" t="s">
        <v>30</v>
      </c>
      <c r="X38" s="384"/>
      <c r="Y38" s="357" t="s">
        <v>38</v>
      </c>
      <c r="Z38" s="358"/>
      <c r="AA38" s="359" t="s">
        <v>20</v>
      </c>
      <c r="AB38" s="360"/>
    </row>
    <row r="39" spans="1:33" s="70" customFormat="1" ht="15" customHeight="1" x14ac:dyDescent="0.25">
      <c r="A39" s="362"/>
      <c r="B39" s="270" t="s">
        <v>72</v>
      </c>
      <c r="C39" s="143" t="s">
        <v>89</v>
      </c>
      <c r="D39" s="270" t="s">
        <v>72</v>
      </c>
      <c r="E39" s="143" t="s">
        <v>89</v>
      </c>
      <c r="F39" s="270" t="s">
        <v>72</v>
      </c>
      <c r="G39" s="143" t="s">
        <v>89</v>
      </c>
      <c r="H39" s="270" t="s">
        <v>72</v>
      </c>
      <c r="I39" s="143" t="s">
        <v>89</v>
      </c>
      <c r="J39" s="270" t="s">
        <v>72</v>
      </c>
      <c r="K39" s="143" t="s">
        <v>89</v>
      </c>
      <c r="L39" s="270" t="s">
        <v>72</v>
      </c>
      <c r="M39" s="143" t="s">
        <v>89</v>
      </c>
      <c r="N39" s="144"/>
      <c r="O39" s="270" t="s">
        <v>72</v>
      </c>
      <c r="P39" s="143" t="s">
        <v>89</v>
      </c>
      <c r="Q39" s="270" t="s">
        <v>72</v>
      </c>
      <c r="R39" s="143" t="s">
        <v>89</v>
      </c>
      <c r="S39" s="270" t="s">
        <v>72</v>
      </c>
      <c r="T39" s="143" t="s">
        <v>89</v>
      </c>
      <c r="U39" s="270" t="s">
        <v>72</v>
      </c>
      <c r="V39" s="143" t="s">
        <v>89</v>
      </c>
      <c r="W39" s="270" t="s">
        <v>72</v>
      </c>
      <c r="X39" s="143" t="s">
        <v>89</v>
      </c>
      <c r="Y39" s="270" t="s">
        <v>72</v>
      </c>
      <c r="Z39" s="143" t="s">
        <v>89</v>
      </c>
      <c r="AA39" s="271" t="s">
        <v>72</v>
      </c>
      <c r="AB39" s="143" t="s">
        <v>89</v>
      </c>
    </row>
    <row r="40" spans="1:33" ht="14.1" customHeight="1" x14ac:dyDescent="0.25">
      <c r="A40" s="135" t="s">
        <v>74</v>
      </c>
      <c r="B40" s="121"/>
      <c r="C40" s="122" t="s">
        <v>112</v>
      </c>
      <c r="D40" s="123"/>
      <c r="E40" s="122"/>
      <c r="F40" s="124"/>
      <c r="G40" s="122"/>
      <c r="H40" s="125"/>
      <c r="I40" s="122"/>
      <c r="J40" s="126"/>
      <c r="K40" s="225"/>
      <c r="L40" s="127"/>
      <c r="M40" s="127"/>
      <c r="N40" s="144"/>
      <c r="O40" s="129"/>
      <c r="P40" s="122"/>
      <c r="Q40" s="128"/>
      <c r="R40" s="122"/>
      <c r="S40" s="130"/>
      <c r="T40" s="122"/>
      <c r="U40" s="131"/>
      <c r="V40" s="122"/>
      <c r="W40" s="132"/>
      <c r="X40" s="122"/>
      <c r="Y40" s="133"/>
      <c r="Z40" s="122"/>
      <c r="AA40" s="134"/>
      <c r="AB40" s="122"/>
    </row>
    <row r="41" spans="1:33" s="263" customFormat="1" ht="14.1" customHeight="1" x14ac:dyDescent="0.25">
      <c r="A41" s="77" t="s">
        <v>135</v>
      </c>
      <c r="B41" s="58"/>
      <c r="C41" s="149"/>
      <c r="D41" s="58"/>
      <c r="E41" s="149"/>
      <c r="F41" s="58"/>
      <c r="G41" s="149"/>
      <c r="H41" s="58"/>
      <c r="I41" s="149"/>
      <c r="J41" s="58"/>
      <c r="K41" s="149"/>
      <c r="L41" s="58"/>
      <c r="M41" s="186"/>
      <c r="N41" s="144"/>
      <c r="O41" s="58">
        <v>1305</v>
      </c>
      <c r="P41" s="149">
        <v>29</v>
      </c>
      <c r="Q41" s="58"/>
      <c r="R41" s="186"/>
      <c r="S41" s="58"/>
      <c r="T41" s="149"/>
      <c r="U41" s="58"/>
      <c r="V41" s="186"/>
      <c r="W41" s="58">
        <v>990</v>
      </c>
      <c r="X41" s="186">
        <f>W41/W51*100</f>
        <v>0.34498980711933508</v>
      </c>
      <c r="Y41" s="58">
        <v>3465</v>
      </c>
      <c r="Z41" s="186">
        <f>Y41/Y51*100</f>
        <v>1.166489925768823</v>
      </c>
      <c r="AA41" s="52">
        <f t="shared" ref="AA41:AA50" si="3">B41+D41+F41+H41+J41+L41+Q41+O41+S41+U41+W41+Y41</f>
        <v>5760</v>
      </c>
      <c r="AB41" s="92">
        <f>AA41/AA51*100</f>
        <v>0.16014613334667885</v>
      </c>
      <c r="AC41"/>
      <c r="AG41" s="290"/>
    </row>
    <row r="42" spans="1:33" ht="14.1" customHeight="1" x14ac:dyDescent="0.25">
      <c r="A42" s="77" t="s">
        <v>118</v>
      </c>
      <c r="B42" s="57">
        <v>16740</v>
      </c>
      <c r="C42" s="149">
        <f>B42/B51*100</f>
        <v>4.8627450980392162</v>
      </c>
      <c r="D42" s="58">
        <f>2250</f>
        <v>2250</v>
      </c>
      <c r="E42" s="92">
        <f>D42/D51*100</f>
        <v>0.7276961141027507</v>
      </c>
      <c r="F42" s="58">
        <f>1260</f>
        <v>1260</v>
      </c>
      <c r="G42" s="149">
        <f>F42/F51*100</f>
        <v>0.36876070064533123</v>
      </c>
      <c r="H42" s="58"/>
      <c r="I42" s="92"/>
      <c r="J42" s="58">
        <v>10620</v>
      </c>
      <c r="K42" s="149">
        <f>J42/J51*100</f>
        <v>3.0264170300076945</v>
      </c>
      <c r="L42" s="58">
        <v>6750</v>
      </c>
      <c r="M42" s="186">
        <f>L42/L51*100</f>
        <v>2.1410219811590068</v>
      </c>
      <c r="N42" s="144"/>
      <c r="O42" s="58">
        <v>33345</v>
      </c>
      <c r="P42" s="149">
        <f>O42/O51*100</f>
        <v>11.527691350342252</v>
      </c>
      <c r="Q42" s="58">
        <v>7650</v>
      </c>
      <c r="R42" s="186">
        <f>Q42/Q51*100</f>
        <v>3.4184596822843352</v>
      </c>
      <c r="S42" s="58">
        <v>3150</v>
      </c>
      <c r="T42" s="149">
        <f>S42/S51*100</f>
        <v>1.5008576329331047</v>
      </c>
      <c r="U42" s="58">
        <v>7740</v>
      </c>
      <c r="V42" s="186">
        <f>U42/U51*100</f>
        <v>2.7236737925574031</v>
      </c>
      <c r="W42" s="58">
        <v>3600</v>
      </c>
      <c r="X42" s="186">
        <f>W42/W51*100</f>
        <v>1.254508389524855</v>
      </c>
      <c r="Y42" s="58">
        <v>3825</v>
      </c>
      <c r="Z42" s="186">
        <f>Y42/Y51*100</f>
        <v>1.287683684290259</v>
      </c>
      <c r="AA42" s="52">
        <f t="shared" si="3"/>
        <v>96930</v>
      </c>
      <c r="AB42" s="92">
        <f>AA42/AA51*100</f>
        <v>2.6949591502245798</v>
      </c>
      <c r="AG42" s="241"/>
    </row>
    <row r="43" spans="1:33" ht="14.1" customHeight="1" x14ac:dyDescent="0.25">
      <c r="A43" s="77" t="s">
        <v>119</v>
      </c>
      <c r="B43" s="57">
        <f>271755+450</f>
        <v>272205</v>
      </c>
      <c r="C43" s="149">
        <f>B43/B51*100</f>
        <v>79.071895424836597</v>
      </c>
      <c r="D43" s="58">
        <v>286920</v>
      </c>
      <c r="E43" s="149">
        <f>D43/D51*100</f>
        <v>92.795808470382767</v>
      </c>
      <c r="F43" s="58">
        <v>317700</v>
      </c>
      <c r="G43" s="149">
        <f>F43/F51*100</f>
        <v>92.980376662715656</v>
      </c>
      <c r="H43" s="58">
        <v>315765</v>
      </c>
      <c r="I43" s="149">
        <f>H43/H51*100</f>
        <v>91.713501503071498</v>
      </c>
      <c r="J43" s="58">
        <v>290340</v>
      </c>
      <c r="K43" s="149">
        <f>J43/J51*100</f>
        <v>82.739163888176464</v>
      </c>
      <c r="L43" s="58">
        <v>285570</v>
      </c>
      <c r="M43" s="186">
        <f>L43/L51*100</f>
        <v>90.579503282900376</v>
      </c>
      <c r="N43" s="144"/>
      <c r="O43" s="58">
        <v>226710</v>
      </c>
      <c r="P43" s="149">
        <f>O43/O51*100</f>
        <v>78.375855631611699</v>
      </c>
      <c r="Q43" s="58">
        <v>200070</v>
      </c>
      <c r="R43" s="186">
        <f>Q43/Q51*100</f>
        <v>89.402774984918565</v>
      </c>
      <c r="S43" s="58">
        <v>195075</v>
      </c>
      <c r="T43" s="149">
        <f>S43/S51*100</f>
        <v>92.945969125214418</v>
      </c>
      <c r="U43" s="58">
        <v>260730</v>
      </c>
      <c r="V43" s="186">
        <f>U43/U51*100</f>
        <v>91.74980205859066</v>
      </c>
      <c r="W43" s="58">
        <v>267075</v>
      </c>
      <c r="X43" s="186">
        <f>W43/W51*100</f>
        <v>93.068841147875176</v>
      </c>
      <c r="Y43" s="58">
        <v>252180</v>
      </c>
      <c r="Z43" s="186">
        <f>Y43/Y51*100</f>
        <v>84.896227844266022</v>
      </c>
      <c r="AA43" s="52">
        <f t="shared" si="3"/>
        <v>3170340</v>
      </c>
      <c r="AB43" s="92">
        <f>AA43/AA51*100</f>
        <v>88.145432707345449</v>
      </c>
      <c r="AD43" s="241"/>
      <c r="AG43" s="241"/>
    </row>
    <row r="44" spans="1:33" ht="14.1" customHeight="1" x14ac:dyDescent="0.25">
      <c r="A44" s="77" t="s">
        <v>127</v>
      </c>
      <c r="B44" s="58"/>
      <c r="C44" s="157"/>
      <c r="D44" s="58"/>
      <c r="E44" s="93"/>
      <c r="F44" s="58"/>
      <c r="G44" s="149"/>
      <c r="H44" s="58">
        <v>5400</v>
      </c>
      <c r="I44" s="149">
        <f>H44/H51*100</f>
        <v>1.5684224284407269</v>
      </c>
      <c r="J44" s="58">
        <v>16380</v>
      </c>
      <c r="K44" s="149">
        <f>J44/J51*100</f>
        <v>4.6678635547576297</v>
      </c>
      <c r="L44" s="58"/>
      <c r="M44" s="186"/>
      <c r="N44" s="144"/>
      <c r="O44" s="58">
        <v>3195</v>
      </c>
      <c r="P44" s="149">
        <f>O44/O51*100</f>
        <v>1.104542626011201</v>
      </c>
      <c r="Q44" s="58"/>
      <c r="R44" s="186"/>
      <c r="S44" s="58"/>
      <c r="T44" s="149"/>
      <c r="U44" s="58">
        <v>2160</v>
      </c>
      <c r="V44" s="186">
        <f>U44/U51*100</f>
        <v>0.76009501187648454</v>
      </c>
      <c r="W44" s="58">
        <v>5580</v>
      </c>
      <c r="X44" s="186">
        <f>W44/W51*100</f>
        <v>1.944488003763525</v>
      </c>
      <c r="Y44" s="58">
        <f>2025+2790</f>
        <v>4815</v>
      </c>
      <c r="Z44" s="186">
        <f>Y44/Y51*100</f>
        <v>1.6209665202242085</v>
      </c>
      <c r="AA44" s="52">
        <f t="shared" si="3"/>
        <v>37530</v>
      </c>
      <c r="AB44" s="92">
        <f>AA44/AA51*100</f>
        <v>1.0434521500869545</v>
      </c>
      <c r="AG44" s="241"/>
    </row>
    <row r="45" spans="1:33" ht="14.1" customHeight="1" x14ac:dyDescent="0.25">
      <c r="A45" s="77" t="s">
        <v>103</v>
      </c>
      <c r="B45" s="58">
        <v>1800</v>
      </c>
      <c r="C45" s="149">
        <f>B45/B51*100</f>
        <v>0.52287581699346397</v>
      </c>
      <c r="D45" s="58">
        <v>540</v>
      </c>
      <c r="E45" s="149">
        <f>D45/D51*100</f>
        <v>0.17464706738466018</v>
      </c>
      <c r="F45" s="58"/>
      <c r="G45" s="149"/>
      <c r="H45" s="58"/>
      <c r="I45" s="149"/>
      <c r="J45" s="58"/>
      <c r="K45" s="149"/>
      <c r="L45" s="58"/>
      <c r="M45" s="186"/>
      <c r="N45" s="144"/>
      <c r="O45" s="58">
        <v>2925</v>
      </c>
      <c r="P45" s="149">
        <f>O45/O51*100</f>
        <v>1.0112009956440573</v>
      </c>
      <c r="Q45" s="58">
        <v>4140</v>
      </c>
      <c r="R45" s="186">
        <f>Q45/Q51*100</f>
        <v>1.8499899457068167</v>
      </c>
      <c r="S45" s="58">
        <v>4680</v>
      </c>
      <c r="T45" s="149">
        <f>S45/S51*100</f>
        <v>2.2298456260720414</v>
      </c>
      <c r="U45" s="58">
        <v>8550</v>
      </c>
      <c r="V45" s="186">
        <f>U45/U51*100</f>
        <v>3.0087094220110848</v>
      </c>
      <c r="W45" s="58">
        <v>6390</v>
      </c>
      <c r="X45" s="186">
        <f>W45/W51*100</f>
        <v>2.2267523914066176</v>
      </c>
      <c r="Y45" s="58">
        <f>18225</f>
        <v>18225</v>
      </c>
      <c r="Z45" s="186">
        <f>Y45/Y51*100</f>
        <v>6.1354340251477044</v>
      </c>
      <c r="AA45" s="52">
        <f t="shared" si="3"/>
        <v>47250</v>
      </c>
      <c r="AB45" s="92">
        <f>AA45/AA51*100</f>
        <v>1.3136987501094748</v>
      </c>
      <c r="AG45" s="241"/>
    </row>
    <row r="46" spans="1:33" ht="14.1" customHeight="1" x14ac:dyDescent="0.25">
      <c r="A46" s="77" t="s">
        <v>113</v>
      </c>
      <c r="B46" s="58"/>
      <c r="C46" s="149"/>
      <c r="D46" s="58"/>
      <c r="E46" s="149"/>
      <c r="F46" s="58">
        <v>4050</v>
      </c>
      <c r="G46" s="149">
        <f>F46/F51*100</f>
        <v>1.1853022520742789</v>
      </c>
      <c r="H46" s="58"/>
      <c r="I46" s="149"/>
      <c r="J46" s="58"/>
      <c r="K46" s="149"/>
      <c r="L46" s="58">
        <v>1350</v>
      </c>
      <c r="M46" s="186">
        <f>L46/L51*100</f>
        <v>0.42820439623180129</v>
      </c>
      <c r="N46" s="144"/>
      <c r="O46" s="58"/>
      <c r="P46" s="149"/>
      <c r="Q46" s="58"/>
      <c r="R46" s="186"/>
      <c r="S46" s="58"/>
      <c r="T46" s="149"/>
      <c r="U46" s="58"/>
      <c r="V46" s="186"/>
      <c r="W46" s="58"/>
      <c r="X46" s="186"/>
      <c r="Y46" s="58"/>
      <c r="Z46" s="186"/>
      <c r="AA46" s="52">
        <f t="shared" si="3"/>
        <v>5400</v>
      </c>
      <c r="AB46" s="92">
        <f>AA46/AA51*100</f>
        <v>0.15013700001251143</v>
      </c>
      <c r="AG46" s="241"/>
    </row>
    <row r="47" spans="1:33" ht="14.1" customHeight="1" x14ac:dyDescent="0.25">
      <c r="A47" s="77" t="s">
        <v>120</v>
      </c>
      <c r="B47" s="58"/>
      <c r="C47" s="149"/>
      <c r="D47" s="58"/>
      <c r="E47" s="149"/>
      <c r="F47" s="58">
        <v>450</v>
      </c>
      <c r="G47" s="149">
        <f>F47/F51*100</f>
        <v>0.13170025023047544</v>
      </c>
      <c r="H47" s="58"/>
      <c r="I47" s="93"/>
      <c r="J47" s="58"/>
      <c r="K47" s="149"/>
      <c r="L47" s="58"/>
      <c r="M47" s="186"/>
      <c r="N47" s="144"/>
      <c r="O47" s="58"/>
      <c r="P47" s="149"/>
      <c r="Q47" s="58"/>
      <c r="R47" s="186"/>
      <c r="S47" s="58"/>
      <c r="T47" s="149"/>
      <c r="U47" s="58"/>
      <c r="V47" s="186"/>
      <c r="W47" s="58"/>
      <c r="X47" s="186"/>
      <c r="Y47" s="58"/>
      <c r="Z47" s="186"/>
      <c r="AA47" s="52">
        <f t="shared" si="3"/>
        <v>450</v>
      </c>
      <c r="AB47" s="92">
        <f>AA47/AA51*100</f>
        <v>1.2511416667709285E-2</v>
      </c>
      <c r="AG47" s="241"/>
    </row>
    <row r="48" spans="1:33" ht="14.1" customHeight="1" x14ac:dyDescent="0.25">
      <c r="A48" s="77" t="s">
        <v>105</v>
      </c>
      <c r="B48" s="58"/>
      <c r="C48" s="149"/>
      <c r="D48" s="58"/>
      <c r="E48" s="149"/>
      <c r="F48" s="58">
        <v>675</v>
      </c>
      <c r="G48" s="149">
        <f>F48/F51*100</f>
        <v>0.19755037534571318</v>
      </c>
      <c r="H48" s="58"/>
      <c r="I48" s="149"/>
      <c r="J48" s="58"/>
      <c r="K48" s="149"/>
      <c r="L48" s="58">
        <v>810</v>
      </c>
      <c r="M48" s="186">
        <f>L48/L51*100</f>
        <v>0.25692263773908081</v>
      </c>
      <c r="N48" s="144"/>
      <c r="O48" s="58"/>
      <c r="P48" s="149"/>
      <c r="Q48" s="58"/>
      <c r="R48" s="186"/>
      <c r="S48" s="58">
        <v>1350</v>
      </c>
      <c r="T48" s="149">
        <f>S48/S51*100</f>
        <v>0.64322469982847341</v>
      </c>
      <c r="U48" s="58"/>
      <c r="V48" s="186"/>
      <c r="W48" s="58"/>
      <c r="X48" s="186"/>
      <c r="Y48" s="58"/>
      <c r="Z48" s="186"/>
      <c r="AA48" s="52">
        <f t="shared" si="3"/>
        <v>2835</v>
      </c>
      <c r="AB48" s="92">
        <f>AA48/AA51*100</f>
        <v>7.8821925006568483E-2</v>
      </c>
      <c r="AG48" s="241"/>
    </row>
    <row r="49" spans="1:33" ht="14.1" customHeight="1" x14ac:dyDescent="0.25">
      <c r="A49" s="77" t="s">
        <v>109</v>
      </c>
      <c r="B49" s="58"/>
      <c r="C49" s="149"/>
      <c r="D49" s="58">
        <v>900</v>
      </c>
      <c r="E49" s="149">
        <f>D49/D51*100</f>
        <v>0.2910784456411003</v>
      </c>
      <c r="F49" s="58"/>
      <c r="G49" s="93"/>
      <c r="H49" s="58"/>
      <c r="I49" s="93"/>
      <c r="J49" s="58"/>
      <c r="K49" s="149"/>
      <c r="L49" s="58"/>
      <c r="M49" s="186"/>
      <c r="N49" s="144"/>
      <c r="O49" s="58"/>
      <c r="P49" s="149"/>
      <c r="Q49" s="58"/>
      <c r="R49" s="186"/>
      <c r="S49" s="58"/>
      <c r="T49" s="149"/>
      <c r="U49" s="58"/>
      <c r="V49" s="186"/>
      <c r="W49" s="58"/>
      <c r="X49" s="186"/>
      <c r="Y49" s="58"/>
      <c r="Z49" s="186"/>
      <c r="AA49" s="52">
        <f t="shared" si="3"/>
        <v>900</v>
      </c>
      <c r="AB49" s="92">
        <f>AA49/AA51*100</f>
        <v>2.5022833335418569E-2</v>
      </c>
      <c r="AG49" s="241"/>
    </row>
    <row r="50" spans="1:33" ht="14.1" customHeight="1" x14ac:dyDescent="0.25">
      <c r="A50" s="77" t="s">
        <v>55</v>
      </c>
      <c r="B50" s="58">
        <v>53505</v>
      </c>
      <c r="C50" s="149">
        <f>B50/B51*100</f>
        <v>15.542483660130719</v>
      </c>
      <c r="D50" s="58">
        <v>18585</v>
      </c>
      <c r="E50" s="149">
        <f>D50/D51*100</f>
        <v>6.01076990248872</v>
      </c>
      <c r="F50" s="58">
        <v>17550</v>
      </c>
      <c r="G50" s="149">
        <f>F50/F51*100</f>
        <v>5.136309758988542</v>
      </c>
      <c r="H50" s="58">
        <v>23130</v>
      </c>
      <c r="I50" s="149">
        <f>H50/H51*100</f>
        <v>6.7180760684877798</v>
      </c>
      <c r="J50" s="58">
        <v>33570</v>
      </c>
      <c r="K50" s="149">
        <f>J50/J51*100</f>
        <v>9.5665555270582203</v>
      </c>
      <c r="L50" s="58">
        <v>20790</v>
      </c>
      <c r="M50" s="186">
        <f>L50/L51*100</f>
        <v>6.5943477019697401</v>
      </c>
      <c r="N50" s="144"/>
      <c r="O50" s="58">
        <v>21780</v>
      </c>
      <c r="P50" s="149">
        <f>O50/O51*100</f>
        <v>7.5295581829495957</v>
      </c>
      <c r="Q50" s="58">
        <v>11925</v>
      </c>
      <c r="R50" s="186">
        <f>Q50/Q51*100</f>
        <v>5.3287753870902881</v>
      </c>
      <c r="S50" s="58">
        <v>5625</v>
      </c>
      <c r="T50" s="149">
        <f>S50/S51*100</f>
        <v>2.6801029159519723</v>
      </c>
      <c r="U50" s="58">
        <v>4995</v>
      </c>
      <c r="V50" s="186">
        <f>U50/U51*100</f>
        <v>1.7577197149643706</v>
      </c>
      <c r="W50" s="58">
        <v>3330</v>
      </c>
      <c r="X50" s="186">
        <f>W50/W51*100</f>
        <v>1.1604202603104909</v>
      </c>
      <c r="Y50" s="58">
        <v>14535</v>
      </c>
      <c r="Z50" s="186">
        <f>Y50/Y51*100</f>
        <v>4.8931980003029851</v>
      </c>
      <c r="AA50" s="52">
        <f t="shared" si="3"/>
        <v>229320</v>
      </c>
      <c r="AB50" s="92">
        <f>AA50/AA51*100</f>
        <v>6.375817933864651</v>
      </c>
      <c r="AG50" s="241"/>
    </row>
    <row r="51" spans="1:33" s="70" customFormat="1" ht="14.1" customHeight="1" x14ac:dyDescent="0.25">
      <c r="A51" s="68" t="s">
        <v>70</v>
      </c>
      <c r="B51" s="71">
        <f>SUM(B42:B50)</f>
        <v>344250</v>
      </c>
      <c r="C51" s="94" t="s">
        <v>130</v>
      </c>
      <c r="D51" s="71">
        <f t="shared" ref="D51:I51" si="4">SUM(D42:D50)</f>
        <v>309195</v>
      </c>
      <c r="E51" s="94">
        <f t="shared" si="4"/>
        <v>100</v>
      </c>
      <c r="F51" s="71">
        <f t="shared" si="4"/>
        <v>341685</v>
      </c>
      <c r="G51" s="189">
        <f t="shared" si="4"/>
        <v>100</v>
      </c>
      <c r="H51" s="71">
        <f t="shared" si="4"/>
        <v>344295</v>
      </c>
      <c r="I51" s="94">
        <f t="shared" si="4"/>
        <v>100</v>
      </c>
      <c r="J51" s="71">
        <f>SUM(J41:J50)</f>
        <v>350910</v>
      </c>
      <c r="K51" s="94">
        <f>SUM(K42:K50)</f>
        <v>100</v>
      </c>
      <c r="L51" s="71">
        <f>SUM(L42:L50)</f>
        <v>315270</v>
      </c>
      <c r="M51" s="188">
        <f>SUM(M42:M50)</f>
        <v>100</v>
      </c>
      <c r="N51" s="144"/>
      <c r="O51" s="71">
        <f>SUM(O41:O50)</f>
        <v>289260</v>
      </c>
      <c r="P51" s="94">
        <f>SUM(P41:P50)</f>
        <v>128.54884878655881</v>
      </c>
      <c r="Q51" s="71">
        <f>SUM(Q42:Q50)</f>
        <v>223785</v>
      </c>
      <c r="R51" s="188">
        <f>SUM(R42:R50)</f>
        <v>100.00000000000001</v>
      </c>
      <c r="S51" s="71">
        <f>SUM(S41:S50)</f>
        <v>209880</v>
      </c>
      <c r="T51" s="94">
        <f>SUM(T41:T50)</f>
        <v>100.00000000000001</v>
      </c>
      <c r="U51" s="71">
        <f>SUM(U41:U50)</f>
        <v>284175</v>
      </c>
      <c r="V51" s="188">
        <f>SUM(V41:V50)</f>
        <v>100</v>
      </c>
      <c r="W51" s="71">
        <f>SUM(W41:W50)</f>
        <v>286965</v>
      </c>
      <c r="X51" s="188">
        <f>SUM(X42:X50)</f>
        <v>99.655010192880667</v>
      </c>
      <c r="Y51" s="71">
        <f>SUM(Y41:Y50)</f>
        <v>297045</v>
      </c>
      <c r="Z51" s="188">
        <f>SUM(Z41:Z50)</f>
        <v>100.00000000000001</v>
      </c>
      <c r="AA51" s="71">
        <f>SUM(AA41:AA50)</f>
        <v>3596715</v>
      </c>
      <c r="AB51" s="94">
        <f>SUM(AB42:AB50)</f>
        <v>99.8398538666533</v>
      </c>
      <c r="AD51" s="90">
        <f>B51+D51+F51+H51+J51+L51+Q51+O51+S51+U51+W51+Y51</f>
        <v>3596715</v>
      </c>
      <c r="AG51" s="241"/>
    </row>
    <row r="52" spans="1:33" ht="14.1" customHeight="1" x14ac:dyDescent="0.25">
      <c r="A52" s="135" t="s">
        <v>75</v>
      </c>
      <c r="B52" s="136"/>
      <c r="C52" s="137"/>
      <c r="D52" s="138"/>
      <c r="E52" s="137"/>
      <c r="F52" s="139"/>
      <c r="G52" s="137"/>
      <c r="H52" s="140"/>
      <c r="I52" s="137"/>
      <c r="J52" s="141"/>
      <c r="K52" s="229"/>
      <c r="L52" s="142"/>
      <c r="M52" s="142"/>
      <c r="N52" s="144"/>
      <c r="O52" s="288"/>
      <c r="P52" s="122"/>
      <c r="Q52" s="238"/>
      <c r="R52" s="122"/>
      <c r="S52" s="130"/>
      <c r="T52" s="122"/>
      <c r="U52" s="131"/>
      <c r="V52" s="122"/>
      <c r="W52" s="132"/>
      <c r="X52" s="122"/>
      <c r="Y52" s="133"/>
      <c r="Z52" s="122"/>
      <c r="AA52" s="134"/>
      <c r="AB52" s="122"/>
    </row>
    <row r="53" spans="1:33" ht="14.1" customHeight="1" x14ac:dyDescent="0.25">
      <c r="A53" s="78" t="s">
        <v>117</v>
      </c>
      <c r="B53" s="58"/>
      <c r="C53" s="149"/>
      <c r="D53" s="58"/>
      <c r="E53" s="149"/>
      <c r="F53" s="58"/>
      <c r="G53" s="149"/>
      <c r="H53" s="58"/>
      <c r="I53" s="149"/>
      <c r="J53" s="228"/>
      <c r="K53" s="186"/>
      <c r="L53" s="58"/>
      <c r="M53" s="186"/>
      <c r="N53" s="144"/>
      <c r="O53" s="58"/>
      <c r="P53" s="93"/>
      <c r="Q53" s="58">
        <v>1350</v>
      </c>
      <c r="R53" s="104">
        <f>Q53/Q63*100</f>
        <v>0.44431279620853081</v>
      </c>
      <c r="S53" s="58"/>
      <c r="T53" s="93"/>
      <c r="U53" s="58"/>
      <c r="V53" s="186"/>
      <c r="W53" s="58"/>
      <c r="X53" s="186"/>
      <c r="Y53" s="58"/>
      <c r="Z53" s="93"/>
      <c r="AA53" s="52">
        <f t="shared" ref="AA53:AA62" si="5">B53+D53+F53+H53+J53+L53+Q53+O53+S53+U53+W53+Y53</f>
        <v>1350</v>
      </c>
      <c r="AB53" s="92">
        <f>AA53/AA63*100</f>
        <v>3.7840565085771945E-2</v>
      </c>
      <c r="AG53" s="241"/>
    </row>
    <row r="54" spans="1:33" ht="14.1" customHeight="1" x14ac:dyDescent="0.25">
      <c r="A54" s="78" t="s">
        <v>99</v>
      </c>
      <c r="B54" s="58">
        <v>40005</v>
      </c>
      <c r="C54" s="149">
        <f>B54/B63*100</f>
        <v>19.901499888068056</v>
      </c>
      <c r="D54" s="58">
        <v>16380</v>
      </c>
      <c r="E54" s="149">
        <f>D54/D63*100</f>
        <v>5.2707790327251667</v>
      </c>
      <c r="F54" s="58">
        <v>92655</v>
      </c>
      <c r="G54" s="149">
        <f>F54/F63*100</f>
        <v>24.658682634730539</v>
      </c>
      <c r="H54" s="58">
        <v>98325</v>
      </c>
      <c r="I54" s="149">
        <f>H54/H63*100</f>
        <v>24.04798591239269</v>
      </c>
      <c r="J54" s="151">
        <v>78390</v>
      </c>
      <c r="K54" s="186">
        <f>J54/J63*100</f>
        <v>25.290360046457604</v>
      </c>
      <c r="L54" s="58">
        <v>65205</v>
      </c>
      <c r="M54" s="186">
        <f>L54/L63*100</f>
        <v>20.080376940133039</v>
      </c>
      <c r="N54" s="144"/>
      <c r="O54" s="58">
        <v>23895</v>
      </c>
      <c r="P54" s="149">
        <f>O54/O63*100</f>
        <v>9.1789109766637864</v>
      </c>
      <c r="Q54" s="151">
        <f>1575+18405</f>
        <v>19980</v>
      </c>
      <c r="R54" s="92">
        <f>Q54/Q63*100</f>
        <v>6.5758293838862558</v>
      </c>
      <c r="S54" s="58">
        <v>14940</v>
      </c>
      <c r="T54" s="186">
        <f>S54/S63*100</f>
        <v>5.2798982188295165</v>
      </c>
      <c r="U54" s="58">
        <v>4950</v>
      </c>
      <c r="V54" s="186">
        <f>U54/U63*100</f>
        <v>2.1488571986716156</v>
      </c>
      <c r="W54" s="58">
        <f>2250+1305+13590</f>
        <v>17145</v>
      </c>
      <c r="X54" s="186">
        <f>W54/W63*100</f>
        <v>5.2609776304888154</v>
      </c>
      <c r="Y54" s="58">
        <v>3645</v>
      </c>
      <c r="Z54" s="149">
        <f>Y54/Y63*100</f>
        <v>1.5634047481181239</v>
      </c>
      <c r="AA54" s="52">
        <f t="shared" si="5"/>
        <v>475515</v>
      </c>
      <c r="AB54" s="88">
        <f>AA54/AA63*100</f>
        <v>13.328708375378406</v>
      </c>
      <c r="AG54" s="241"/>
    </row>
    <row r="55" spans="1:33" ht="14.1" customHeight="1" x14ac:dyDescent="0.25">
      <c r="A55" s="78" t="s">
        <v>136</v>
      </c>
      <c r="B55" s="58"/>
      <c r="C55" s="149"/>
      <c r="D55" s="58"/>
      <c r="E55" s="149"/>
      <c r="F55" s="58"/>
      <c r="G55" s="149"/>
      <c r="H55" s="58"/>
      <c r="I55" s="149"/>
      <c r="J55" s="228"/>
      <c r="K55" s="186"/>
      <c r="L55" s="58"/>
      <c r="M55" s="186"/>
      <c r="N55" s="144"/>
      <c r="O55" s="58"/>
      <c r="P55" s="149"/>
      <c r="Q55" s="151"/>
      <c r="R55" s="92"/>
      <c r="S55" s="58">
        <v>1125</v>
      </c>
      <c r="T55" s="186">
        <f>S55/S63*100</f>
        <v>0.3975826972010178</v>
      </c>
      <c r="U55" s="58"/>
      <c r="V55" s="186"/>
      <c r="W55" s="58"/>
      <c r="X55" s="186"/>
      <c r="Y55" s="58"/>
      <c r="Z55" s="149"/>
      <c r="AA55" s="52">
        <f t="shared" si="5"/>
        <v>1125</v>
      </c>
      <c r="AB55" s="88">
        <f>AA55/AA63*100</f>
        <v>3.1533804238143288E-2</v>
      </c>
      <c r="AG55" s="241"/>
    </row>
    <row r="56" spans="1:33" ht="14.1" customHeight="1" x14ac:dyDescent="0.25">
      <c r="A56" s="79" t="s">
        <v>114</v>
      </c>
      <c r="B56" s="58">
        <f>1800</f>
        <v>1800</v>
      </c>
      <c r="C56" s="149">
        <f>B56/B63*100</f>
        <v>0.89545556301768525</v>
      </c>
      <c r="D56" s="58">
        <v>405</v>
      </c>
      <c r="E56" s="149">
        <f>D56/D63*100</f>
        <v>0.13032145960034752</v>
      </c>
      <c r="F56" s="58">
        <v>1845</v>
      </c>
      <c r="G56" s="149">
        <f>F56/F63*100</f>
        <v>0.49101796407185633</v>
      </c>
      <c r="H56" s="58">
        <f>2340</f>
        <v>2340</v>
      </c>
      <c r="I56" s="149">
        <f>H56/H63*100</f>
        <v>0.57230904688531803</v>
      </c>
      <c r="J56" s="151"/>
      <c r="K56" s="186"/>
      <c r="L56" s="58">
        <v>2250</v>
      </c>
      <c r="M56" s="186">
        <f>L56/L63*100</f>
        <v>0.69290465631929055</v>
      </c>
      <c r="N56" s="144"/>
      <c r="O56" s="58">
        <v>2700</v>
      </c>
      <c r="P56" s="149">
        <f>O56/O63*100</f>
        <v>1.0371650821089022</v>
      </c>
      <c r="Q56" s="151"/>
      <c r="R56" s="92"/>
      <c r="S56" s="58"/>
      <c r="T56" s="186"/>
      <c r="U56" s="58">
        <v>450</v>
      </c>
      <c r="V56" s="186">
        <f>U56/U63*100</f>
        <v>0.19535065442469235</v>
      </c>
      <c r="W56" s="58">
        <v>1350</v>
      </c>
      <c r="X56" s="186">
        <f>W56/W63*100</f>
        <v>0.41425020712510358</v>
      </c>
      <c r="Y56" s="58">
        <v>8280</v>
      </c>
      <c r="Z56" s="92">
        <f>Y56/Y63*100</f>
        <v>3.5514379463424048</v>
      </c>
      <c r="AA56" s="52">
        <f t="shared" si="5"/>
        <v>21420</v>
      </c>
      <c r="AB56" s="88">
        <f>AA56/AA63*100</f>
        <v>0.60040363269424823</v>
      </c>
      <c r="AG56" s="241"/>
    </row>
    <row r="57" spans="1:33" ht="14.1" customHeight="1" x14ac:dyDescent="0.25">
      <c r="A57" s="79" t="s">
        <v>62</v>
      </c>
      <c r="B57" s="58">
        <v>36810</v>
      </c>
      <c r="C57" s="149">
        <f>B57/B63*100</f>
        <v>18.312066263711664</v>
      </c>
      <c r="D57" s="58">
        <v>14310</v>
      </c>
      <c r="E57" s="149">
        <f>D57/D63*100</f>
        <v>4.6046915725456126</v>
      </c>
      <c r="F57" s="58">
        <v>27720</v>
      </c>
      <c r="G57" s="149">
        <f>F57/F63*100</f>
        <v>7.3772455089820363</v>
      </c>
      <c r="H57" s="58">
        <v>3150</v>
      </c>
      <c r="I57" s="149">
        <f>H57/H63*100</f>
        <v>0.77041602465331283</v>
      </c>
      <c r="J57" s="151">
        <v>9990</v>
      </c>
      <c r="K57" s="186">
        <f>J57/J63*100</f>
        <v>3.2229965156794425</v>
      </c>
      <c r="L57" s="58">
        <v>3915</v>
      </c>
      <c r="M57" s="186">
        <f>L57/L63*100</f>
        <v>1.2056541019955653</v>
      </c>
      <c r="N57" s="144"/>
      <c r="O57" s="58">
        <v>9630</v>
      </c>
      <c r="P57" s="149">
        <f>O57/O63*100</f>
        <v>3.6992221261884186</v>
      </c>
      <c r="Q57" s="151">
        <v>30690</v>
      </c>
      <c r="R57" s="92">
        <f>Q57/Q63*100</f>
        <v>10.100710900473933</v>
      </c>
      <c r="S57" s="58">
        <v>3825</v>
      </c>
      <c r="T57" s="186">
        <f>S57/S63*100</f>
        <v>1.3517811704834606</v>
      </c>
      <c r="U57" s="58">
        <v>9675</v>
      </c>
      <c r="V57" s="186">
        <f>U57/U63*100</f>
        <v>4.2000390701308854</v>
      </c>
      <c r="W57" s="58">
        <v>12690</v>
      </c>
      <c r="X57" s="186">
        <f>W57/W63*100</f>
        <v>3.8939519469759736</v>
      </c>
      <c r="Y57" s="58">
        <v>11295</v>
      </c>
      <c r="Z57" s="92">
        <f>Y57/Y63*100</f>
        <v>4.8446245898475198</v>
      </c>
      <c r="AA57" s="52">
        <f t="shared" si="5"/>
        <v>173700</v>
      </c>
      <c r="AB57" s="88">
        <f>AA57/AA63*100</f>
        <v>4.8688193743693233</v>
      </c>
      <c r="AG57" s="241"/>
    </row>
    <row r="58" spans="1:33" ht="14.1" customHeight="1" x14ac:dyDescent="0.25">
      <c r="A58" s="79" t="s">
        <v>56</v>
      </c>
      <c r="B58" s="58">
        <v>20970</v>
      </c>
      <c r="C58" s="149">
        <f>B58/B63*100</f>
        <v>10.432057309156033</v>
      </c>
      <c r="D58" s="58">
        <v>41535</v>
      </c>
      <c r="E58" s="149">
        <f>D58/D63*100</f>
        <v>13.365189690124529</v>
      </c>
      <c r="F58" s="58">
        <v>34200</v>
      </c>
      <c r="G58" s="149">
        <f>F58/F63*100</f>
        <v>9.1017964071856294</v>
      </c>
      <c r="H58" s="58">
        <f>32130</f>
        <v>32130</v>
      </c>
      <c r="I58" s="149">
        <f>H58/H63*100</f>
        <v>7.8582434514637907</v>
      </c>
      <c r="J58" s="151"/>
      <c r="K58" s="186"/>
      <c r="L58" s="58">
        <v>6750</v>
      </c>
      <c r="M58" s="186">
        <f>L58/L63*100</f>
        <v>2.0787139689578713</v>
      </c>
      <c r="N58" s="144"/>
      <c r="O58" s="58">
        <v>10350</v>
      </c>
      <c r="P58" s="149">
        <f>O58/O63*100</f>
        <v>3.9757994814174586</v>
      </c>
      <c r="Q58" s="151"/>
      <c r="R58" s="92"/>
      <c r="S58" s="58"/>
      <c r="T58" s="186"/>
      <c r="U58" s="58">
        <v>1575</v>
      </c>
      <c r="V58" s="186">
        <f>U58/U63*100</f>
        <v>0.68372729048642311</v>
      </c>
      <c r="W58" s="58">
        <v>5490</v>
      </c>
      <c r="X58" s="186">
        <f>W58/W63*100</f>
        <v>1.6846175089754212</v>
      </c>
      <c r="Y58" s="58">
        <v>41040</v>
      </c>
      <c r="Z58" s="92">
        <f>Y58/Y63*100</f>
        <v>17.602779386218874</v>
      </c>
      <c r="AA58" s="52">
        <f t="shared" si="5"/>
        <v>194040</v>
      </c>
      <c r="AB58" s="88">
        <f>AA58/AA63*100</f>
        <v>5.4389505549949551</v>
      </c>
      <c r="AG58" s="241"/>
    </row>
    <row r="59" spans="1:33" ht="14.1" customHeight="1" x14ac:dyDescent="0.25">
      <c r="A59" s="79" t="s">
        <v>57</v>
      </c>
      <c r="B59" s="58">
        <v>21870</v>
      </c>
      <c r="C59" s="149">
        <f>B59/B63*100</f>
        <v>10.879785090664877</v>
      </c>
      <c r="D59" s="58">
        <v>117045</v>
      </c>
      <c r="E59" s="149">
        <f>D59/D63*100</f>
        <v>37.66290182450043</v>
      </c>
      <c r="F59" s="58">
        <v>45495</v>
      </c>
      <c r="G59" s="149">
        <f>F59/F63*100</f>
        <v>12.107784431137725</v>
      </c>
      <c r="H59" s="58">
        <f>3600+73395</f>
        <v>76995</v>
      </c>
      <c r="I59" s="149">
        <f>H59/H63*100</f>
        <v>18.831168831168831</v>
      </c>
      <c r="J59" s="151">
        <v>8820</v>
      </c>
      <c r="K59" s="186">
        <f>J59/J63*100</f>
        <v>2.8455284552845526</v>
      </c>
      <c r="L59" s="58">
        <v>18450</v>
      </c>
      <c r="M59" s="186">
        <f>L59/L63*100</f>
        <v>5.6818181818181817</v>
      </c>
      <c r="N59" s="144"/>
      <c r="O59" s="58">
        <v>5625</v>
      </c>
      <c r="P59" s="149">
        <f>O59/O63*100</f>
        <v>2.1607605877268798</v>
      </c>
      <c r="Q59" s="151">
        <f>675+12780</f>
        <v>13455</v>
      </c>
      <c r="R59" s="92">
        <f>Q59/Q63*100</f>
        <v>4.4283175355450242</v>
      </c>
      <c r="S59" s="58">
        <v>1350</v>
      </c>
      <c r="T59" s="186">
        <f>S59/S63*100</f>
        <v>0.47709923664122139</v>
      </c>
      <c r="U59" s="58">
        <v>1575</v>
      </c>
      <c r="V59" s="186">
        <f>U59/U63*100</f>
        <v>0.68372729048642311</v>
      </c>
      <c r="W59" s="58">
        <v>36945</v>
      </c>
      <c r="X59" s="186">
        <f>W59/W63*100</f>
        <v>11.336647334990333</v>
      </c>
      <c r="Y59" s="58">
        <v>43695</v>
      </c>
      <c r="Z59" s="92">
        <f>Y59/Y63*100</f>
        <v>18.741555684230843</v>
      </c>
      <c r="AA59" s="52">
        <f t="shared" si="5"/>
        <v>391320</v>
      </c>
      <c r="AB59" s="88">
        <f>AA59/AA63*100</f>
        <v>10.968718466195762</v>
      </c>
      <c r="AG59" s="241"/>
    </row>
    <row r="60" spans="1:33" ht="14.1" customHeight="1" x14ac:dyDescent="0.25">
      <c r="A60" s="79" t="s">
        <v>64</v>
      </c>
      <c r="B60" s="58">
        <v>21735</v>
      </c>
      <c r="C60" s="149">
        <f>B60/B63*100</f>
        <v>10.812625923438549</v>
      </c>
      <c r="D60" s="58">
        <v>44325</v>
      </c>
      <c r="E60" s="149">
        <f>D60/D63*100</f>
        <v>14.262959745149145</v>
      </c>
      <c r="F60" s="58">
        <v>46530</v>
      </c>
      <c r="G60" s="149">
        <f>F60/F63*100</f>
        <v>12.383233532934131</v>
      </c>
      <c r="H60" s="58">
        <v>71775</v>
      </c>
      <c r="I60" s="149">
        <f>H60/H63*100</f>
        <v>17.554479418886199</v>
      </c>
      <c r="J60" s="151">
        <v>88920</v>
      </c>
      <c r="K60" s="186">
        <f>J60/J63*100</f>
        <v>28.687572590011612</v>
      </c>
      <c r="L60" s="58">
        <v>114525</v>
      </c>
      <c r="M60" s="186">
        <f>L60/L63*100</f>
        <v>35.268847006651882</v>
      </c>
      <c r="N60" s="144"/>
      <c r="O60" s="58">
        <v>101160</v>
      </c>
      <c r="P60" s="149">
        <f>O60/O63*100</f>
        <v>38.859118409680207</v>
      </c>
      <c r="Q60" s="151">
        <v>150525</v>
      </c>
      <c r="R60" s="92">
        <f>Q60/Q63*100</f>
        <v>49.540876777251185</v>
      </c>
      <c r="S60" s="58">
        <v>126405</v>
      </c>
      <c r="T60" s="186">
        <f>S60/S63*100</f>
        <v>44.672391857506362</v>
      </c>
      <c r="U60" s="58">
        <v>103005</v>
      </c>
      <c r="V60" s="186">
        <f>U60/U63*100</f>
        <v>44.715764797812071</v>
      </c>
      <c r="W60" s="58">
        <v>75105</v>
      </c>
      <c r="X60" s="186">
        <f>W60/W63*100</f>
        <v>23.046119856393261</v>
      </c>
      <c r="Y60" s="58">
        <v>47970</v>
      </c>
      <c r="Z60" s="92">
        <f>Y60/Y63*100</f>
        <v>20.575178536961978</v>
      </c>
      <c r="AA60" s="52">
        <f t="shared" si="5"/>
        <v>991980</v>
      </c>
      <c r="AB60" s="88">
        <f>AA60/AA63*100</f>
        <v>27.805247225025226</v>
      </c>
      <c r="AG60" s="241"/>
    </row>
    <row r="61" spans="1:33" ht="14.1" customHeight="1" x14ac:dyDescent="0.25">
      <c r="A61" s="79" t="s">
        <v>58</v>
      </c>
      <c r="B61" s="58">
        <v>57825</v>
      </c>
      <c r="C61" s="149">
        <f>B61/B63*100</f>
        <v>28.766509961943136</v>
      </c>
      <c r="D61" s="58">
        <v>75510</v>
      </c>
      <c r="E61" s="149">
        <f>D61/D63*100</f>
        <v>24.297712134375903</v>
      </c>
      <c r="F61" s="58">
        <v>127305</v>
      </c>
      <c r="G61" s="149">
        <f>F61/F63*100</f>
        <v>33.880239520958085</v>
      </c>
      <c r="H61" s="58">
        <v>124155</v>
      </c>
      <c r="I61" s="149">
        <f>H61/H63*100</f>
        <v>30.36539731454986</v>
      </c>
      <c r="J61" s="151">
        <v>123840</v>
      </c>
      <c r="K61" s="186">
        <f>J61/J63*100</f>
        <v>39.953542392566781</v>
      </c>
      <c r="L61" s="58">
        <f>113625</f>
        <v>113625</v>
      </c>
      <c r="M61" s="186">
        <f>L61/L63*100</f>
        <v>34.991685144124169</v>
      </c>
      <c r="N61" s="144"/>
      <c r="O61" s="58">
        <v>106965</v>
      </c>
      <c r="P61" s="149">
        <f>O61/O63*100</f>
        <v>41.089023336214346</v>
      </c>
      <c r="Q61" s="151">
        <v>87840</v>
      </c>
      <c r="R61" s="92">
        <f>Q61/Q63*100</f>
        <v>28.90995260663507</v>
      </c>
      <c r="S61" s="58">
        <v>135315</v>
      </c>
      <c r="T61" s="186">
        <f>S61/S63*100</f>
        <v>47.82124681933842</v>
      </c>
      <c r="U61" s="58">
        <v>109125</v>
      </c>
      <c r="V61" s="186">
        <f>U61/U63*100</f>
        <v>47.37253369798789</v>
      </c>
      <c r="W61" s="58">
        <v>177165</v>
      </c>
      <c r="X61" s="186">
        <f>W61/W63*100</f>
        <v>54.363435515051094</v>
      </c>
      <c r="Y61" s="58">
        <v>77220</v>
      </c>
      <c r="Z61" s="92">
        <f>Y61/Y63*100</f>
        <v>33.121019108280251</v>
      </c>
      <c r="AA61" s="52">
        <f t="shared" si="5"/>
        <v>1315890</v>
      </c>
      <c r="AB61" s="88">
        <f>AA61/AA63*100</f>
        <v>36.88446014127144</v>
      </c>
      <c r="AG61" s="241"/>
    </row>
    <row r="62" spans="1:33" ht="14.1" customHeight="1" x14ac:dyDescent="0.25">
      <c r="A62" s="79" t="s">
        <v>55</v>
      </c>
      <c r="B62" s="58"/>
      <c r="C62" s="149"/>
      <c r="D62" s="58">
        <v>1260</v>
      </c>
      <c r="E62" s="149">
        <f>D62/D63*100</f>
        <v>0.40544454097885896</v>
      </c>
      <c r="F62" s="58"/>
      <c r="G62" s="149"/>
      <c r="H62" s="58"/>
      <c r="I62" s="149"/>
      <c r="J62" s="151"/>
      <c r="K62" s="186"/>
      <c r="L62" s="58"/>
      <c r="M62" s="186"/>
      <c r="N62" s="144"/>
      <c r="O62" s="58"/>
      <c r="P62" s="149"/>
      <c r="Q62" s="151"/>
      <c r="R62" s="92"/>
      <c r="S62" s="58"/>
      <c r="T62" s="186"/>
      <c r="U62" s="58"/>
      <c r="V62" s="186"/>
      <c r="W62" s="58"/>
      <c r="X62" s="186"/>
      <c r="Y62" s="58"/>
      <c r="Z62" s="92"/>
      <c r="AA62" s="52">
        <f t="shared" si="5"/>
        <v>1260</v>
      </c>
      <c r="AB62" s="88">
        <f>AA62/AA63*100</f>
        <v>3.5317860746720484E-2</v>
      </c>
      <c r="AG62" s="241"/>
    </row>
    <row r="63" spans="1:33" s="70" customFormat="1" ht="14.1" customHeight="1" x14ac:dyDescent="0.25">
      <c r="A63" s="68" t="s">
        <v>70</v>
      </c>
      <c r="B63" s="71">
        <f t="shared" ref="B63:J63" si="6">SUM(B53:B62)</f>
        <v>201015</v>
      </c>
      <c r="C63" s="95">
        <f t="shared" si="6"/>
        <v>100</v>
      </c>
      <c r="D63" s="71">
        <f t="shared" si="6"/>
        <v>310770</v>
      </c>
      <c r="E63" s="189">
        <f t="shared" si="6"/>
        <v>99.999999999999986</v>
      </c>
      <c r="F63" s="71">
        <f t="shared" si="6"/>
        <v>375750</v>
      </c>
      <c r="G63" s="95">
        <f t="shared" si="6"/>
        <v>100</v>
      </c>
      <c r="H63" s="71">
        <f t="shared" si="6"/>
        <v>408870</v>
      </c>
      <c r="I63" s="95">
        <f t="shared" si="6"/>
        <v>100</v>
      </c>
      <c r="J63" s="71">
        <f t="shared" si="6"/>
        <v>309960</v>
      </c>
      <c r="K63" s="187">
        <f>SUM(K53:K61)</f>
        <v>100</v>
      </c>
      <c r="L63" s="71">
        <f>SUM(L53:L62)</f>
        <v>324720</v>
      </c>
      <c r="M63" s="187">
        <f>SUM(M53:M61)</f>
        <v>100</v>
      </c>
      <c r="N63" s="146"/>
      <c r="O63" s="71">
        <f>SUM(O53:O62)</f>
        <v>260325</v>
      </c>
      <c r="P63" s="95">
        <f>SUM(P52:P61)</f>
        <v>100</v>
      </c>
      <c r="Q63" s="71">
        <f t="shared" ref="Q63:AB63" si="7">SUM(Q53:Q62)</f>
        <v>303840</v>
      </c>
      <c r="R63" s="95">
        <f t="shared" si="7"/>
        <v>100</v>
      </c>
      <c r="S63" s="71">
        <f t="shared" si="7"/>
        <v>282960</v>
      </c>
      <c r="T63" s="95">
        <f t="shared" si="7"/>
        <v>100</v>
      </c>
      <c r="U63" s="71">
        <f t="shared" si="7"/>
        <v>230355</v>
      </c>
      <c r="V63" s="187">
        <f t="shared" si="7"/>
        <v>100</v>
      </c>
      <c r="W63" s="71">
        <f t="shared" si="7"/>
        <v>325890</v>
      </c>
      <c r="X63" s="187">
        <f t="shared" si="7"/>
        <v>100</v>
      </c>
      <c r="Y63" s="71">
        <f t="shared" si="7"/>
        <v>233145</v>
      </c>
      <c r="Z63" s="95">
        <f t="shared" si="7"/>
        <v>100</v>
      </c>
      <c r="AA63" s="71">
        <f t="shared" si="7"/>
        <v>3567600</v>
      </c>
      <c r="AB63" s="94">
        <f t="shared" si="7"/>
        <v>100</v>
      </c>
      <c r="AD63" s="90">
        <f>B63+D63+F63+H63+J63+L63+Q63+O63+S63+U63+W63+Y63</f>
        <v>3567600</v>
      </c>
      <c r="AG63" s="289"/>
    </row>
    <row r="64" spans="1:33" s="70" customFormat="1" ht="14.1" customHeight="1" x14ac:dyDescent="0.25">
      <c r="A64" s="135" t="s">
        <v>76</v>
      </c>
      <c r="B64" s="150"/>
      <c r="C64" s="137"/>
      <c r="D64" s="249"/>
      <c r="E64" s="137"/>
      <c r="F64" s="139"/>
      <c r="G64" s="137"/>
      <c r="H64" s="140"/>
      <c r="I64" s="137"/>
      <c r="J64" s="141"/>
      <c r="K64" s="229"/>
      <c r="L64" s="142"/>
      <c r="M64" s="142"/>
      <c r="N64" s="144"/>
      <c r="O64" s="129"/>
      <c r="P64" s="122"/>
      <c r="Q64" s="128"/>
      <c r="R64" s="122"/>
      <c r="S64" s="130"/>
      <c r="T64" s="122"/>
      <c r="U64" s="131"/>
      <c r="V64" s="122"/>
      <c r="W64" s="132"/>
      <c r="X64" s="122"/>
      <c r="Y64" s="133"/>
      <c r="Z64" s="122"/>
      <c r="AA64" s="134"/>
      <c r="AB64" s="122"/>
    </row>
    <row r="65" spans="1:33" s="70" customFormat="1" ht="14.1" customHeight="1" x14ac:dyDescent="0.25">
      <c r="A65" s="80" t="s">
        <v>59</v>
      </c>
      <c r="B65" s="58"/>
      <c r="C65" s="149"/>
      <c r="D65" s="58"/>
      <c r="E65" s="149"/>
      <c r="F65" s="58">
        <v>3375</v>
      </c>
      <c r="G65" s="149">
        <f>F65/F67*100</f>
        <v>100</v>
      </c>
      <c r="H65" s="58">
        <v>3150</v>
      </c>
      <c r="I65" s="149">
        <f>H65/H67*100</f>
        <v>57.377049180327866</v>
      </c>
      <c r="J65" s="58"/>
      <c r="K65" s="149"/>
      <c r="L65" s="58">
        <v>900</v>
      </c>
      <c r="M65" s="186">
        <f>L65/L67*100</f>
        <v>25</v>
      </c>
      <c r="N65" s="144"/>
      <c r="O65" s="58">
        <v>2250</v>
      </c>
      <c r="P65" s="149">
        <f>O65/O67*100</f>
        <v>100</v>
      </c>
      <c r="Q65" s="58">
        <v>1575</v>
      </c>
      <c r="R65" s="149">
        <f>Q65/Q67*100</f>
        <v>53.846153846153847</v>
      </c>
      <c r="S65" s="58"/>
      <c r="T65" s="149"/>
      <c r="U65" s="58"/>
      <c r="V65" s="149"/>
      <c r="W65" s="58">
        <v>1350</v>
      </c>
      <c r="X65" s="149">
        <f>W65/W67*100</f>
        <v>55.555555555555557</v>
      </c>
      <c r="Y65" s="58">
        <v>6300</v>
      </c>
      <c r="Z65" s="149">
        <f>Y65/Y67*100</f>
        <v>37.735849056603776</v>
      </c>
      <c r="AA65" s="52">
        <f>B65+D65+F65+H65+J65+L65+O65+Q65+S65+U65+W65+Y65</f>
        <v>18900</v>
      </c>
      <c r="AB65" s="88">
        <v>0</v>
      </c>
    </row>
    <row r="66" spans="1:33" s="70" customFormat="1" ht="14.1" customHeight="1" x14ac:dyDescent="0.25">
      <c r="A66" s="80" t="s">
        <v>100</v>
      </c>
      <c r="B66" s="58">
        <v>2250</v>
      </c>
      <c r="C66" s="149">
        <f>B66/B67*100</f>
        <v>100</v>
      </c>
      <c r="D66" s="58">
        <v>900</v>
      </c>
      <c r="E66" s="149">
        <f>D66/D67*100</f>
        <v>100</v>
      </c>
      <c r="F66" s="58"/>
      <c r="G66" s="92"/>
      <c r="H66" s="58">
        <v>2340</v>
      </c>
      <c r="I66" s="149">
        <f>H66/H67*100</f>
        <v>42.622950819672127</v>
      </c>
      <c r="J66" s="58">
        <f>450</f>
        <v>450</v>
      </c>
      <c r="K66" s="149">
        <f>J66/J67*100</f>
        <v>100</v>
      </c>
      <c r="L66" s="58">
        <v>2700</v>
      </c>
      <c r="M66" s="186">
        <f>L66/L67*100</f>
        <v>75</v>
      </c>
      <c r="N66" s="144"/>
      <c r="O66" s="58"/>
      <c r="P66" s="149"/>
      <c r="Q66" s="58">
        <v>1350</v>
      </c>
      <c r="R66" s="149">
        <f>Q66/Q67*100</f>
        <v>46.153846153846153</v>
      </c>
      <c r="S66" s="58"/>
      <c r="T66" s="149"/>
      <c r="U66" s="58">
        <v>1350</v>
      </c>
      <c r="V66" s="149">
        <f>U66/U67*100</f>
        <v>100</v>
      </c>
      <c r="W66" s="58">
        <v>1080</v>
      </c>
      <c r="X66" s="149">
        <f>W66/W67*100</f>
        <v>44.444444444444443</v>
      </c>
      <c r="Y66" s="58">
        <v>10395</v>
      </c>
      <c r="Z66" s="149">
        <f>Y66/Y67*100</f>
        <v>62.264150943396224</v>
      </c>
      <c r="AA66" s="52">
        <f>B66+D66+F66+H66+J66+L66+O66+Q66+S66+U66+W66+Y66</f>
        <v>22815</v>
      </c>
      <c r="AB66" s="88">
        <v>0</v>
      </c>
      <c r="AF66" s="291"/>
    </row>
    <row r="67" spans="1:33" s="70" customFormat="1" ht="14.1" customHeight="1" x14ac:dyDescent="0.25">
      <c r="A67" s="68" t="s">
        <v>70</v>
      </c>
      <c r="B67" s="71">
        <f>SUM(B65:B66)</f>
        <v>2250</v>
      </c>
      <c r="C67" s="95">
        <f t="shared" ref="C67:I67" si="8">SUM(C65:C66)</f>
        <v>100</v>
      </c>
      <c r="D67" s="71">
        <f>SUM(D65:D66)</f>
        <v>900</v>
      </c>
      <c r="E67" s="95">
        <f>SUM(E65:E66)</f>
        <v>100</v>
      </c>
      <c r="F67" s="71">
        <f>SUM(F65:F66)</f>
        <v>3375</v>
      </c>
      <c r="G67" s="95">
        <f>SUM(G65:G66)</f>
        <v>100</v>
      </c>
      <c r="H67" s="71">
        <f>SUM(H65:H66)</f>
        <v>5490</v>
      </c>
      <c r="I67" s="95">
        <f t="shared" si="8"/>
        <v>100</v>
      </c>
      <c r="J67" s="71">
        <f>SUM(J65:J66)</f>
        <v>450</v>
      </c>
      <c r="K67" s="95">
        <f>SUM(K65:K66)</f>
        <v>100</v>
      </c>
      <c r="L67" s="71">
        <f>SUM(L65:L66)</f>
        <v>3600</v>
      </c>
      <c r="M67" s="187">
        <f>SUM(M65:M66)</f>
        <v>100</v>
      </c>
      <c r="N67" s="144"/>
      <c r="O67" s="71">
        <f t="shared" ref="O67:U67" si="9">SUM(O65:O66)</f>
        <v>2250</v>
      </c>
      <c r="P67" s="95">
        <f t="shared" si="9"/>
        <v>100</v>
      </c>
      <c r="Q67" s="71">
        <f t="shared" si="9"/>
        <v>2925</v>
      </c>
      <c r="R67" s="95">
        <f t="shared" si="9"/>
        <v>100</v>
      </c>
      <c r="S67" s="71">
        <f t="shared" si="9"/>
        <v>0</v>
      </c>
      <c r="T67" s="95">
        <f t="shared" si="9"/>
        <v>0</v>
      </c>
      <c r="U67" s="71">
        <f t="shared" si="9"/>
        <v>1350</v>
      </c>
      <c r="V67" s="95">
        <f t="shared" ref="V67" si="10">SUM(V65:V66)</f>
        <v>100</v>
      </c>
      <c r="W67" s="71">
        <f t="shared" ref="W67:Z67" si="11">SUM(W65:W66)</f>
        <v>2430</v>
      </c>
      <c r="X67" s="95">
        <f t="shared" si="11"/>
        <v>100</v>
      </c>
      <c r="Y67" s="71">
        <f>SUM(Y65:Y66)</f>
        <v>16695</v>
      </c>
      <c r="Z67" s="95">
        <f t="shared" si="11"/>
        <v>100</v>
      </c>
      <c r="AA67" s="71">
        <f>SUM(AA65:AA66)</f>
        <v>41715</v>
      </c>
      <c r="AB67" s="95">
        <f>SUM(AB65:AB66)</f>
        <v>0</v>
      </c>
      <c r="AD67" s="90">
        <f>B67+D67+F67+H67+J67+L67+Q67+O67+S67+U67+W67+Y67</f>
        <v>41715</v>
      </c>
      <c r="AG67" s="289"/>
    </row>
    <row r="68" spans="1:33" s="70" customFormat="1" ht="14.1" customHeight="1" x14ac:dyDescent="0.25">
      <c r="A68" s="82"/>
      <c r="B68" s="86"/>
      <c r="C68" s="96"/>
      <c r="D68" s="86"/>
      <c r="E68" s="96"/>
      <c r="F68" s="86"/>
      <c r="G68" s="96"/>
      <c r="H68" s="86"/>
      <c r="I68" s="96"/>
      <c r="J68" s="230"/>
      <c r="K68" s="96"/>
      <c r="L68" s="86"/>
      <c r="M68" s="96"/>
      <c r="N68" s="144"/>
      <c r="O68" s="86"/>
      <c r="P68" s="96"/>
      <c r="Q68" s="86"/>
      <c r="R68" s="96"/>
      <c r="S68" s="86"/>
      <c r="T68" s="96"/>
      <c r="U68" s="86"/>
      <c r="V68" s="96"/>
      <c r="W68" s="86"/>
      <c r="X68" s="96"/>
      <c r="Y68" s="86"/>
      <c r="Z68" s="96"/>
      <c r="AA68" s="86"/>
      <c r="AB68" s="106"/>
    </row>
    <row r="69" spans="1:33" s="70" customFormat="1" ht="14.1" customHeight="1" x14ac:dyDescent="0.25">
      <c r="A69" s="85"/>
      <c r="B69" s="203"/>
      <c r="C69" s="96"/>
      <c r="D69" s="86"/>
      <c r="F69" s="218"/>
      <c r="G69" s="96"/>
      <c r="H69" s="86"/>
      <c r="I69" s="96"/>
      <c r="J69" s="86"/>
      <c r="K69" s="96"/>
      <c r="L69" s="86"/>
      <c r="M69" s="96"/>
      <c r="N69" s="144"/>
      <c r="O69" s="86"/>
      <c r="P69" s="96"/>
      <c r="Q69" s="86"/>
      <c r="R69" s="96"/>
      <c r="S69" s="86"/>
      <c r="T69" s="96"/>
      <c r="U69" s="86"/>
      <c r="V69" s="96"/>
      <c r="W69" s="86"/>
      <c r="X69" s="96"/>
      <c r="Y69" s="86"/>
      <c r="Z69" s="96"/>
      <c r="AA69" s="86"/>
      <c r="AB69" s="107"/>
    </row>
    <row r="70" spans="1:33" s="70" customFormat="1" ht="14.1" customHeight="1" x14ac:dyDescent="0.25">
      <c r="A70" s="85"/>
      <c r="B70" s="86"/>
      <c r="C70" s="96"/>
      <c r="D70" s="86"/>
      <c r="E70" s="96"/>
      <c r="F70" s="86"/>
      <c r="G70" s="96"/>
      <c r="H70" s="86"/>
      <c r="I70" s="96"/>
      <c r="J70" s="86"/>
      <c r="K70" s="96"/>
      <c r="L70" s="86"/>
      <c r="M70" s="96"/>
      <c r="N70" s="144"/>
      <c r="O70" s="86"/>
      <c r="P70" s="96"/>
      <c r="Q70" s="86"/>
      <c r="R70" s="96"/>
      <c r="S70" s="86"/>
      <c r="T70" s="96"/>
      <c r="U70" s="86"/>
      <c r="V70" s="96"/>
      <c r="W70" s="86"/>
      <c r="X70" s="96"/>
      <c r="Y70" s="86"/>
      <c r="Z70" s="96"/>
      <c r="AA70" s="86"/>
      <c r="AB70" s="107"/>
    </row>
    <row r="71" spans="1:33" s="70" customFormat="1" ht="14.1" customHeight="1" x14ac:dyDescent="0.25">
      <c r="A71" s="85"/>
      <c r="B71" s="86"/>
      <c r="C71" s="96"/>
      <c r="D71" s="86"/>
      <c r="E71" s="96"/>
      <c r="F71" s="86"/>
      <c r="G71" s="96"/>
      <c r="H71" s="86"/>
      <c r="I71" s="96"/>
      <c r="J71" s="86"/>
      <c r="K71" s="96"/>
      <c r="L71" s="86"/>
      <c r="M71" s="96"/>
      <c r="N71" s="144"/>
      <c r="O71" s="86"/>
      <c r="P71" s="96"/>
      <c r="Q71" s="86"/>
      <c r="R71" s="96"/>
      <c r="S71" s="86"/>
      <c r="T71" s="96"/>
      <c r="U71" s="86"/>
      <c r="V71" s="96"/>
      <c r="W71" s="86"/>
      <c r="X71" s="96"/>
      <c r="Y71" s="86"/>
      <c r="Z71" s="96"/>
      <c r="AA71" s="86"/>
      <c r="AB71" s="107"/>
    </row>
    <row r="72" spans="1:33" s="70" customFormat="1" ht="14.1" customHeight="1" x14ac:dyDescent="0.25">
      <c r="A72" s="85"/>
      <c r="B72" s="86"/>
      <c r="C72" s="96"/>
      <c r="D72" s="86"/>
      <c r="E72" s="96"/>
      <c r="F72" s="86"/>
      <c r="G72" s="96"/>
      <c r="H72" s="86"/>
      <c r="I72" s="96"/>
      <c r="J72" s="86"/>
      <c r="K72" s="96"/>
      <c r="L72" s="86"/>
      <c r="M72" s="96"/>
      <c r="N72" s="144"/>
      <c r="O72" s="86"/>
      <c r="P72" s="96"/>
      <c r="Q72" s="86"/>
      <c r="R72" s="96"/>
      <c r="S72" s="86"/>
      <c r="T72" s="96"/>
      <c r="U72" s="86"/>
      <c r="V72" s="96"/>
      <c r="W72" s="86"/>
      <c r="X72" s="96"/>
      <c r="Y72" s="86"/>
      <c r="Z72" s="96"/>
      <c r="AA72" s="86"/>
      <c r="AB72" s="107"/>
    </row>
    <row r="73" spans="1:33" s="70" customFormat="1" ht="14.1" customHeight="1" x14ac:dyDescent="0.25">
      <c r="A73" s="191" t="s">
        <v>142</v>
      </c>
      <c r="B73" s="86"/>
      <c r="C73" s="96"/>
      <c r="D73" s="86"/>
      <c r="E73" s="96"/>
      <c r="F73" s="86"/>
      <c r="G73" s="96"/>
      <c r="H73" s="86"/>
      <c r="I73" s="96"/>
      <c r="J73" s="86"/>
      <c r="K73" s="96"/>
      <c r="L73" s="86"/>
      <c r="M73" s="96"/>
      <c r="N73" s="144"/>
      <c r="O73" s="86"/>
      <c r="P73" s="96"/>
      <c r="Q73" s="86"/>
      <c r="R73" s="96"/>
      <c r="S73" s="86"/>
      <c r="T73" s="96"/>
      <c r="U73" s="86"/>
      <c r="V73" s="96"/>
      <c r="W73" s="86"/>
      <c r="X73" s="96"/>
      <c r="Y73" s="86"/>
      <c r="Z73" s="96"/>
      <c r="AA73" s="86"/>
      <c r="AB73" s="107"/>
    </row>
    <row r="74" spans="1:33" s="70" customFormat="1" ht="14.1" customHeight="1" x14ac:dyDescent="0.25">
      <c r="A74" s="361" t="s">
        <v>39</v>
      </c>
      <c r="B74" s="363" t="s">
        <v>21</v>
      </c>
      <c r="C74" s="364"/>
      <c r="D74" s="365" t="s">
        <v>22</v>
      </c>
      <c r="E74" s="366"/>
      <c r="F74" s="367" t="s">
        <v>23</v>
      </c>
      <c r="G74" s="368"/>
      <c r="H74" s="369" t="s">
        <v>24</v>
      </c>
      <c r="I74" s="370"/>
      <c r="J74" s="371" t="s">
        <v>25</v>
      </c>
      <c r="K74" s="372"/>
      <c r="L74" s="373" t="s">
        <v>40</v>
      </c>
      <c r="M74" s="374"/>
      <c r="N74" s="144"/>
      <c r="O74" s="377" t="s">
        <v>37</v>
      </c>
      <c r="P74" s="378"/>
      <c r="Q74" s="375" t="s">
        <v>27</v>
      </c>
      <c r="R74" s="376"/>
      <c r="S74" s="379" t="s">
        <v>28</v>
      </c>
      <c r="T74" s="380"/>
      <c r="U74" s="381" t="s">
        <v>29</v>
      </c>
      <c r="V74" s="382"/>
      <c r="W74" s="383" t="s">
        <v>30</v>
      </c>
      <c r="X74" s="384"/>
      <c r="Y74" s="357" t="s">
        <v>38</v>
      </c>
      <c r="Z74" s="358"/>
      <c r="AA74" s="359" t="s">
        <v>20</v>
      </c>
      <c r="AB74" s="360"/>
    </row>
    <row r="75" spans="1:33" s="70" customFormat="1" ht="14.1" customHeight="1" x14ac:dyDescent="0.25">
      <c r="A75" s="362"/>
      <c r="B75" s="270" t="s">
        <v>72</v>
      </c>
      <c r="C75" s="143" t="s">
        <v>89</v>
      </c>
      <c r="D75" s="270" t="s">
        <v>72</v>
      </c>
      <c r="E75" s="143" t="s">
        <v>89</v>
      </c>
      <c r="F75" s="270" t="s">
        <v>72</v>
      </c>
      <c r="G75" s="143" t="s">
        <v>89</v>
      </c>
      <c r="H75" s="270" t="s">
        <v>72</v>
      </c>
      <c r="I75" s="143" t="s">
        <v>89</v>
      </c>
      <c r="J75" s="270" t="s">
        <v>72</v>
      </c>
      <c r="K75" s="143" t="s">
        <v>89</v>
      </c>
      <c r="L75" s="270" t="s">
        <v>72</v>
      </c>
      <c r="M75" s="143" t="s">
        <v>89</v>
      </c>
      <c r="N75" s="144"/>
      <c r="O75" s="270" t="s">
        <v>72</v>
      </c>
      <c r="P75" s="143" t="s">
        <v>89</v>
      </c>
      <c r="Q75" s="270" t="s">
        <v>72</v>
      </c>
      <c r="R75" s="143" t="s">
        <v>89</v>
      </c>
      <c r="S75" s="270" t="s">
        <v>72</v>
      </c>
      <c r="T75" s="143" t="s">
        <v>89</v>
      </c>
      <c r="U75" s="270" t="s">
        <v>72</v>
      </c>
      <c r="V75" s="143" t="s">
        <v>89</v>
      </c>
      <c r="W75" s="270" t="s">
        <v>72</v>
      </c>
      <c r="X75" s="143" t="s">
        <v>89</v>
      </c>
      <c r="Y75" s="270" t="s">
        <v>72</v>
      </c>
      <c r="Z75" s="143" t="s">
        <v>89</v>
      </c>
      <c r="AA75" s="271" t="s">
        <v>72</v>
      </c>
      <c r="AB75" s="143" t="s">
        <v>89</v>
      </c>
    </row>
    <row r="76" spans="1:33" s="322" customFormat="1" ht="15.75" x14ac:dyDescent="0.25">
      <c r="A76" s="305" t="s">
        <v>107</v>
      </c>
      <c r="B76" s="306"/>
      <c r="C76" s="307"/>
      <c r="D76" s="308"/>
      <c r="E76" s="307"/>
      <c r="F76" s="309"/>
      <c r="G76" s="307"/>
      <c r="H76" s="310"/>
      <c r="I76" s="307"/>
      <c r="J76" s="311"/>
      <c r="K76" s="307"/>
      <c r="L76" s="312"/>
      <c r="M76" s="312"/>
      <c r="N76" s="313"/>
      <c r="O76" s="314"/>
      <c r="P76" s="315"/>
      <c r="Q76" s="316"/>
      <c r="R76" s="315"/>
      <c r="S76" s="317"/>
      <c r="T76" s="315"/>
      <c r="U76" s="318"/>
      <c r="V76" s="315"/>
      <c r="W76" s="319"/>
      <c r="X76" s="315"/>
      <c r="Y76" s="320"/>
      <c r="Z76" s="315"/>
      <c r="AA76" s="321"/>
      <c r="AB76" s="315"/>
    </row>
    <row r="77" spans="1:33" s="70" customFormat="1" x14ac:dyDescent="0.25">
      <c r="A77" s="80" t="s">
        <v>122</v>
      </c>
      <c r="B77" s="72">
        <v>9135</v>
      </c>
      <c r="C77" s="149">
        <f>B77/B78*100</f>
        <v>100</v>
      </c>
      <c r="D77" s="72">
        <v>12960</v>
      </c>
      <c r="E77" s="149">
        <f>D77/D78*100</f>
        <v>100</v>
      </c>
      <c r="F77" s="72">
        <f>9675</f>
        <v>9675</v>
      </c>
      <c r="G77" s="149">
        <f>F77/F78*100</f>
        <v>100</v>
      </c>
      <c r="H77" s="72">
        <v>2700</v>
      </c>
      <c r="I77" s="149">
        <f>H77/H78*100</f>
        <v>100</v>
      </c>
      <c r="J77" s="72">
        <v>4950</v>
      </c>
      <c r="K77" s="149">
        <f>J77/J78*100</f>
        <v>100</v>
      </c>
      <c r="L77" s="72">
        <v>7065</v>
      </c>
      <c r="M77" s="149">
        <f>L77/L78*100</f>
        <v>100</v>
      </c>
      <c r="N77" s="144"/>
      <c r="O77" s="72">
        <v>5175</v>
      </c>
      <c r="P77" s="149">
        <f>O77/O78*100</f>
        <v>100</v>
      </c>
      <c r="Q77" s="72"/>
      <c r="R77" s="149"/>
      <c r="S77" s="72"/>
      <c r="T77" s="149"/>
      <c r="U77" s="72"/>
      <c r="V77" s="149"/>
      <c r="W77" s="72">
        <v>3150</v>
      </c>
      <c r="X77" s="149">
        <f>W77/W78*100</f>
        <v>100</v>
      </c>
      <c r="Y77" s="72">
        <v>2745</v>
      </c>
      <c r="Z77" s="149">
        <f>Y77/Y78*100</f>
        <v>100</v>
      </c>
      <c r="AA77" s="52">
        <f>B77+D77+F77+H77+J77+L77+Q77+O77+S77+U77+W77+Y77</f>
        <v>57555</v>
      </c>
      <c r="AB77" s="88">
        <f>AA77/AA78*100</f>
        <v>100</v>
      </c>
      <c r="AG77" s="289"/>
    </row>
    <row r="78" spans="1:33" s="70" customFormat="1" x14ac:dyDescent="0.25">
      <c r="A78" s="68" t="s">
        <v>70</v>
      </c>
      <c r="B78" s="71">
        <f t="shared" ref="B78:G78" si="12">SUM(B77)</f>
        <v>9135</v>
      </c>
      <c r="C78" s="95">
        <f t="shared" si="12"/>
        <v>100</v>
      </c>
      <c r="D78" s="71">
        <f t="shared" si="12"/>
        <v>12960</v>
      </c>
      <c r="E78" s="95">
        <f t="shared" si="12"/>
        <v>100</v>
      </c>
      <c r="F78" s="71">
        <f t="shared" si="12"/>
        <v>9675</v>
      </c>
      <c r="G78" s="95">
        <f t="shared" si="12"/>
        <v>100</v>
      </c>
      <c r="H78" s="71">
        <f t="shared" ref="H78:M78" si="13">SUM(H77)</f>
        <v>2700</v>
      </c>
      <c r="I78" s="95">
        <f t="shared" si="13"/>
        <v>100</v>
      </c>
      <c r="J78" s="71">
        <f>SUM(J77)</f>
        <v>4950</v>
      </c>
      <c r="K78" s="95">
        <f t="shared" si="13"/>
        <v>100</v>
      </c>
      <c r="L78" s="87">
        <f t="shared" si="13"/>
        <v>7065</v>
      </c>
      <c r="M78" s="189">
        <f t="shared" si="13"/>
        <v>100</v>
      </c>
      <c r="N78" s="144"/>
      <c r="O78" s="71">
        <f>SUM(O77)</f>
        <v>5175</v>
      </c>
      <c r="P78" s="95">
        <f>SUM(P77)</f>
        <v>100</v>
      </c>
      <c r="Q78" s="71">
        <f>SUM(Q77)</f>
        <v>0</v>
      </c>
      <c r="R78" s="95">
        <f>SUM(R77)</f>
        <v>0</v>
      </c>
      <c r="S78" s="71">
        <f t="shared" ref="S78:T78" si="14">SUM(S77)</f>
        <v>0</v>
      </c>
      <c r="T78" s="95">
        <f t="shared" si="14"/>
        <v>0</v>
      </c>
      <c r="U78" s="71">
        <f t="shared" ref="U78:Z78" si="15">SUM(U77)</f>
        <v>0</v>
      </c>
      <c r="V78" s="95">
        <f t="shared" si="15"/>
        <v>0</v>
      </c>
      <c r="W78" s="71">
        <f t="shared" si="15"/>
        <v>3150</v>
      </c>
      <c r="X78" s="95">
        <f t="shared" si="15"/>
        <v>100</v>
      </c>
      <c r="Y78" s="71">
        <f t="shared" si="15"/>
        <v>2745</v>
      </c>
      <c r="Z78" s="95">
        <f t="shared" si="15"/>
        <v>100</v>
      </c>
      <c r="AA78" s="71">
        <f>SUM(AA77:AA77)</f>
        <v>57555</v>
      </c>
      <c r="AB78" s="95">
        <f>SUM(AB76:AB77)</f>
        <v>100</v>
      </c>
      <c r="AD78" s="90">
        <f>B78+D78+F78+H78+J78+L78+Q78+O78+S78+U78+W78+Y78</f>
        <v>57555</v>
      </c>
    </row>
    <row r="79" spans="1:33" s="330" customFormat="1" ht="15.75" x14ac:dyDescent="0.25">
      <c r="A79" s="323" t="s">
        <v>63</v>
      </c>
      <c r="B79" s="324"/>
      <c r="C79" s="315"/>
      <c r="D79" s="325"/>
      <c r="E79" s="315"/>
      <c r="F79" s="326"/>
      <c r="G79" s="315"/>
      <c r="H79" s="327"/>
      <c r="I79" s="315"/>
      <c r="J79" s="328"/>
      <c r="K79" s="315"/>
      <c r="L79" s="329"/>
      <c r="M79" s="329"/>
      <c r="N79" s="313"/>
      <c r="O79" s="317"/>
      <c r="P79" s="315"/>
      <c r="Q79" s="314"/>
      <c r="R79" s="315"/>
      <c r="S79" s="317"/>
      <c r="T79" s="315"/>
      <c r="U79" s="318"/>
      <c r="V79" s="315"/>
      <c r="W79" s="319"/>
      <c r="X79" s="315"/>
      <c r="Y79" s="320"/>
      <c r="Z79" s="315"/>
      <c r="AA79" s="321"/>
      <c r="AB79" s="315"/>
    </row>
    <row r="80" spans="1:33" x14ac:dyDescent="0.25">
      <c r="A80" s="80" t="s">
        <v>101</v>
      </c>
      <c r="B80" s="58">
        <v>37845</v>
      </c>
      <c r="C80" s="149">
        <f>B80/B83*100</f>
        <v>86.433710174717376</v>
      </c>
      <c r="D80" s="58">
        <v>8370</v>
      </c>
      <c r="E80" s="149">
        <f>D80/D83*100</f>
        <v>64.359861591695505</v>
      </c>
      <c r="F80" s="58">
        <v>13815</v>
      </c>
      <c r="G80" s="149">
        <f>F80/F83*100</f>
        <v>43.361581920903951</v>
      </c>
      <c r="H80" s="58">
        <v>1350</v>
      </c>
      <c r="I80" s="149">
        <f>H80/H83*100</f>
        <v>4.5523520485584212</v>
      </c>
      <c r="J80" s="58">
        <v>8100</v>
      </c>
      <c r="K80" s="186">
        <f>J80/J83*100</f>
        <v>24.827586206896552</v>
      </c>
      <c r="L80" s="58">
        <v>15525</v>
      </c>
      <c r="M80" s="149">
        <f>L80/L83*100</f>
        <v>58.375634517766493</v>
      </c>
      <c r="N80" s="144"/>
      <c r="O80" s="58">
        <v>14760</v>
      </c>
      <c r="P80" s="149">
        <f>O80/O83*100</f>
        <v>61.194029850746269</v>
      </c>
      <c r="Q80" s="58">
        <v>3285</v>
      </c>
      <c r="R80" s="186">
        <f>Q80/Q83*100</f>
        <v>20.738636363636363</v>
      </c>
      <c r="S80" s="58">
        <v>14895</v>
      </c>
      <c r="T80" s="149">
        <f>S80/S83*100</f>
        <v>58.17223198594025</v>
      </c>
      <c r="U80" s="58">
        <v>11070</v>
      </c>
      <c r="V80" s="149">
        <f>U80/U83*100</f>
        <v>77.358490566037744</v>
      </c>
      <c r="W80" s="58">
        <v>13140</v>
      </c>
      <c r="X80" s="149">
        <f>W80/W83*100</f>
        <v>78.074866310160431</v>
      </c>
      <c r="Y80" s="58">
        <v>3375</v>
      </c>
      <c r="Z80" s="149">
        <f>Y80/Y83*100</f>
        <v>23.584905660377359</v>
      </c>
      <c r="AA80" s="52">
        <f>B80+D80+F80+H80+J80+L80+Q80+O80+S80+U80+W80+Y80</f>
        <v>145530</v>
      </c>
      <c r="AB80" s="88">
        <f>AA80/AA83*100</f>
        <v>50.436681222707428</v>
      </c>
      <c r="AG80" s="241"/>
    </row>
    <row r="81" spans="1:33" x14ac:dyDescent="0.25">
      <c r="A81" s="224" t="s">
        <v>133</v>
      </c>
      <c r="B81" s="58">
        <v>3600</v>
      </c>
      <c r="C81" s="149">
        <f>B81/B83*100</f>
        <v>8.2219938335046248</v>
      </c>
      <c r="D81" s="283">
        <v>4635</v>
      </c>
      <c r="E81" s="282">
        <f>D81/D83*100</f>
        <v>35.640138408304502</v>
      </c>
      <c r="F81" s="284">
        <v>18045</v>
      </c>
      <c r="G81" s="149">
        <f>F81/F83*100</f>
        <v>56.638418079096041</v>
      </c>
      <c r="H81" s="58">
        <f>1800+26505</f>
        <v>28305</v>
      </c>
      <c r="I81" s="92">
        <f>H81/H83*100</f>
        <v>95.447647951441581</v>
      </c>
      <c r="J81" s="58">
        <v>24525</v>
      </c>
      <c r="K81" s="186">
        <f>J81/J83*100</f>
        <v>75.172413793103445</v>
      </c>
      <c r="L81" s="58">
        <v>11070</v>
      </c>
      <c r="M81" s="149">
        <f>L81/L83*100</f>
        <v>41.624365482233507</v>
      </c>
      <c r="N81" s="265"/>
      <c r="O81" s="58">
        <v>9360</v>
      </c>
      <c r="P81" s="274">
        <f>O81/O83*100</f>
        <v>38.805970149253731</v>
      </c>
      <c r="Q81" s="275">
        <v>12555</v>
      </c>
      <c r="R81" s="274">
        <f>Q81/Q83*100</f>
        <v>79.26136363636364</v>
      </c>
      <c r="S81" s="275">
        <v>10710</v>
      </c>
      <c r="T81" s="274">
        <f>S81/S83*100</f>
        <v>41.82776801405975</v>
      </c>
      <c r="U81" s="58">
        <v>3240</v>
      </c>
      <c r="V81" s="149">
        <f>U81/U83*100</f>
        <v>22.641509433962266</v>
      </c>
      <c r="W81" s="275">
        <v>3690</v>
      </c>
      <c r="X81" s="274">
        <f>W81/W83*100</f>
        <v>21.925133689839569</v>
      </c>
      <c r="Y81" s="58">
        <v>10935</v>
      </c>
      <c r="Z81" s="149">
        <f>Y81/Y83*100</f>
        <v>76.415094339622641</v>
      </c>
      <c r="AA81" s="52">
        <f>B81+D81+F81+H81+J81+L81+Q81+O81+S81+U81+W81+Y81</f>
        <v>140670</v>
      </c>
      <c r="AB81" s="88">
        <f>AA81/AA83*100</f>
        <v>48.752339363693075</v>
      </c>
    </row>
    <row r="82" spans="1:33" x14ac:dyDescent="0.25">
      <c r="A82" s="80" t="s">
        <v>104</v>
      </c>
      <c r="B82" s="58">
        <v>2340</v>
      </c>
      <c r="C82" s="149">
        <f>B82/B83*100</f>
        <v>5.3442959917780062</v>
      </c>
      <c r="D82" s="58"/>
      <c r="E82" s="149"/>
      <c r="F82" s="58"/>
      <c r="G82" s="93"/>
      <c r="H82" s="58"/>
      <c r="I82" s="149"/>
      <c r="J82" s="58"/>
      <c r="K82" s="186"/>
      <c r="L82" s="58"/>
      <c r="M82" s="149"/>
      <c r="N82" s="144"/>
      <c r="O82" s="58"/>
      <c r="P82" s="93"/>
      <c r="Q82" s="58"/>
      <c r="R82" s="186"/>
      <c r="S82" s="58"/>
      <c r="T82" s="93"/>
      <c r="U82" s="58"/>
      <c r="V82" s="93"/>
      <c r="W82" s="58"/>
      <c r="X82" s="149"/>
      <c r="Y82" s="58"/>
      <c r="Z82" s="149"/>
      <c r="AA82" s="52">
        <f>B82+D82+F82+H82+J82+L82+Q82+O82+S82+U82+W82+Y82</f>
        <v>2340</v>
      </c>
      <c r="AB82" s="88">
        <f>AA82/AA83*100</f>
        <v>0.81097941359950088</v>
      </c>
    </row>
    <row r="83" spans="1:33" s="70" customFormat="1" x14ac:dyDescent="0.25">
      <c r="A83" s="68" t="s">
        <v>70</v>
      </c>
      <c r="B83" s="71">
        <f t="shared" ref="B83:M83" si="16">SUM(B80:B82)</f>
        <v>43785</v>
      </c>
      <c r="C83" s="95">
        <f t="shared" si="16"/>
        <v>100.00000000000001</v>
      </c>
      <c r="D83" s="71">
        <f t="shared" si="16"/>
        <v>13005</v>
      </c>
      <c r="E83" s="95">
        <f t="shared" si="16"/>
        <v>100</v>
      </c>
      <c r="F83" s="71">
        <f t="shared" si="16"/>
        <v>31860</v>
      </c>
      <c r="G83" s="95">
        <f t="shared" si="16"/>
        <v>100</v>
      </c>
      <c r="H83" s="71">
        <f t="shared" si="16"/>
        <v>29655</v>
      </c>
      <c r="I83" s="95">
        <f t="shared" si="16"/>
        <v>100</v>
      </c>
      <c r="J83" s="71">
        <f t="shared" si="16"/>
        <v>32625</v>
      </c>
      <c r="K83" s="187">
        <f t="shared" si="16"/>
        <v>100</v>
      </c>
      <c r="L83" s="71">
        <f t="shared" si="16"/>
        <v>26595</v>
      </c>
      <c r="M83" s="95">
        <f t="shared" si="16"/>
        <v>100</v>
      </c>
      <c r="N83" s="144"/>
      <c r="O83" s="71">
        <f t="shared" ref="O83:AB83" si="17">SUM(O80:O82)</f>
        <v>24120</v>
      </c>
      <c r="P83" s="95">
        <f t="shared" si="17"/>
        <v>100</v>
      </c>
      <c r="Q83" s="71">
        <f t="shared" si="17"/>
        <v>15840</v>
      </c>
      <c r="R83" s="187">
        <f t="shared" si="17"/>
        <v>100</v>
      </c>
      <c r="S83" s="71">
        <f t="shared" si="17"/>
        <v>25605</v>
      </c>
      <c r="T83" s="95">
        <f t="shared" si="17"/>
        <v>100</v>
      </c>
      <c r="U83" s="71">
        <f t="shared" si="17"/>
        <v>14310</v>
      </c>
      <c r="V83" s="95">
        <f t="shared" si="17"/>
        <v>100.00000000000001</v>
      </c>
      <c r="W83" s="71">
        <f t="shared" si="17"/>
        <v>16830</v>
      </c>
      <c r="X83" s="95">
        <f t="shared" si="17"/>
        <v>100</v>
      </c>
      <c r="Y83" s="71">
        <f t="shared" si="17"/>
        <v>14310</v>
      </c>
      <c r="Z83" s="95">
        <f t="shared" si="17"/>
        <v>100</v>
      </c>
      <c r="AA83" s="71">
        <f t="shared" si="17"/>
        <v>288540</v>
      </c>
      <c r="AB83" s="95">
        <f t="shared" si="17"/>
        <v>100</v>
      </c>
      <c r="AD83" s="90">
        <f>B83+D83+F83+H83+J83+L83+Q83+O83+S83+U83+W83+Y83</f>
        <v>288540</v>
      </c>
      <c r="AG83" s="289"/>
    </row>
    <row r="84" spans="1:33" s="322" customFormat="1" ht="15.75" x14ac:dyDescent="0.25">
      <c r="A84" s="323" t="s">
        <v>34</v>
      </c>
      <c r="B84" s="324"/>
      <c r="C84" s="315"/>
      <c r="D84" s="325"/>
      <c r="E84" s="315"/>
      <c r="F84" s="326"/>
      <c r="G84" s="315"/>
      <c r="H84" s="327"/>
      <c r="I84" s="315"/>
      <c r="J84" s="328"/>
      <c r="K84" s="331"/>
      <c r="L84" s="329"/>
      <c r="M84" s="329"/>
      <c r="N84" s="313"/>
      <c r="O84" s="317"/>
      <c r="P84" s="315"/>
      <c r="Q84" s="314"/>
      <c r="R84" s="315"/>
      <c r="S84" s="317"/>
      <c r="T84" s="315"/>
      <c r="U84" s="318"/>
      <c r="V84" s="315"/>
      <c r="W84" s="319"/>
      <c r="X84" s="315"/>
      <c r="Y84" s="320"/>
      <c r="Z84" s="315"/>
      <c r="AA84" s="321"/>
      <c r="AB84" s="315"/>
      <c r="AC84" s="330"/>
      <c r="AD84" s="330"/>
    </row>
    <row r="85" spans="1:33" s="70" customFormat="1" x14ac:dyDescent="0.25">
      <c r="A85" s="79" t="s">
        <v>98</v>
      </c>
      <c r="B85" s="58">
        <f>2205+585</f>
        <v>2790</v>
      </c>
      <c r="C85" s="88">
        <f>B85/B86*100</f>
        <v>100</v>
      </c>
      <c r="D85" s="58">
        <f>40545+25920</f>
        <v>66465</v>
      </c>
      <c r="E85" s="92">
        <f>D85/D86*100</f>
        <v>100</v>
      </c>
      <c r="F85" s="58">
        <f>36270+27720</f>
        <v>63990</v>
      </c>
      <c r="G85" s="92">
        <f>F85/F86*100</f>
        <v>100</v>
      </c>
      <c r="H85" s="58">
        <v>630</v>
      </c>
      <c r="I85" s="92">
        <f>H85/H86*100</f>
        <v>100</v>
      </c>
      <c r="J85" s="58">
        <f>19665+10665</f>
        <v>30330</v>
      </c>
      <c r="K85" s="92">
        <f>J85/J86*100</f>
        <v>100</v>
      </c>
      <c r="L85" s="58">
        <f>9450+11430</f>
        <v>20880</v>
      </c>
      <c r="M85" s="149">
        <f>L85/L86*100</f>
        <v>100</v>
      </c>
      <c r="N85" s="144"/>
      <c r="O85" s="58">
        <f>3825+7470</f>
        <v>11295</v>
      </c>
      <c r="P85" s="149">
        <f>O85/O86*100</f>
        <v>100</v>
      </c>
      <c r="Q85" s="58">
        <f>2475+3330</f>
        <v>5805</v>
      </c>
      <c r="R85" s="149">
        <f>Q85/Q86*100</f>
        <v>100</v>
      </c>
      <c r="S85" s="58">
        <f>20160+4815</f>
        <v>24975</v>
      </c>
      <c r="T85" s="149">
        <f>S85/S86*100</f>
        <v>100</v>
      </c>
      <c r="U85" s="58">
        <f>855+315</f>
        <v>1170</v>
      </c>
      <c r="V85" s="149">
        <f>U85/U86*100</f>
        <v>100</v>
      </c>
      <c r="W85" s="58">
        <v>900</v>
      </c>
      <c r="X85" s="149">
        <f>W85/W86*100</f>
        <v>100</v>
      </c>
      <c r="Y85" s="58">
        <f>4950+675</f>
        <v>5625</v>
      </c>
      <c r="Z85" s="149">
        <f>Y85/Y86*100</f>
        <v>100</v>
      </c>
      <c r="AA85" s="52">
        <f>B85+D85+F85+H85+J85+L85+Q85+O85+S85+U85+W85+Y85</f>
        <v>234855</v>
      </c>
      <c r="AB85" s="88">
        <f>AA85/AA86*100</f>
        <v>100</v>
      </c>
      <c r="AC85"/>
      <c r="AD85"/>
    </row>
    <row r="86" spans="1:33" s="70" customFormat="1" x14ac:dyDescent="0.25">
      <c r="A86" s="68" t="s">
        <v>70</v>
      </c>
      <c r="B86" s="71">
        <f t="shared" ref="B86:G86" si="18">SUM(B85)</f>
        <v>2790</v>
      </c>
      <c r="C86" s="95">
        <f t="shared" si="18"/>
        <v>100</v>
      </c>
      <c r="D86" s="71">
        <f t="shared" si="18"/>
        <v>66465</v>
      </c>
      <c r="E86" s="95">
        <f t="shared" si="18"/>
        <v>100</v>
      </c>
      <c r="F86" s="71">
        <f t="shared" si="18"/>
        <v>63990</v>
      </c>
      <c r="G86" s="95">
        <f t="shared" si="18"/>
        <v>100</v>
      </c>
      <c r="H86" s="71">
        <f t="shared" ref="H86:M86" si="19">SUM(H85)</f>
        <v>630</v>
      </c>
      <c r="I86" s="95">
        <f t="shared" si="19"/>
        <v>100</v>
      </c>
      <c r="J86" s="71">
        <f>SUM(J85)</f>
        <v>30330</v>
      </c>
      <c r="K86" s="95">
        <f t="shared" si="19"/>
        <v>100</v>
      </c>
      <c r="L86" s="71">
        <f t="shared" si="19"/>
        <v>20880</v>
      </c>
      <c r="M86" s="95">
        <f t="shared" si="19"/>
        <v>100</v>
      </c>
      <c r="N86" s="144"/>
      <c r="O86" s="71">
        <f>SUM(O85)</f>
        <v>11295</v>
      </c>
      <c r="P86" s="95">
        <f>SUM(P85)</f>
        <v>100</v>
      </c>
      <c r="Q86" s="71">
        <f>SUM(Q85)</f>
        <v>5805</v>
      </c>
      <c r="R86" s="95">
        <f>SUM(R85)</f>
        <v>100</v>
      </c>
      <c r="S86" s="71">
        <f t="shared" ref="S86:T86" si="20">SUM(S85)</f>
        <v>24975</v>
      </c>
      <c r="T86" s="95">
        <f t="shared" si="20"/>
        <v>100</v>
      </c>
      <c r="U86" s="71">
        <f t="shared" ref="U86:AA86" si="21">SUM(U85)</f>
        <v>1170</v>
      </c>
      <c r="V86" s="95">
        <f t="shared" si="21"/>
        <v>100</v>
      </c>
      <c r="W86" s="71">
        <f t="shared" si="21"/>
        <v>900</v>
      </c>
      <c r="X86" s="95">
        <f t="shared" si="21"/>
        <v>100</v>
      </c>
      <c r="Y86" s="71">
        <f t="shared" si="21"/>
        <v>5625</v>
      </c>
      <c r="Z86" s="95">
        <f t="shared" si="21"/>
        <v>100</v>
      </c>
      <c r="AA86" s="71">
        <f t="shared" si="21"/>
        <v>234855</v>
      </c>
      <c r="AB86" s="94">
        <f>SUM(AB85:AB85)</f>
        <v>100</v>
      </c>
      <c r="AD86" s="90">
        <f>B86+D86+F86+H86+J86+L86+Q86+O86+S86+U86+W86+Y86</f>
        <v>234855</v>
      </c>
      <c r="AG86" s="289"/>
    </row>
    <row r="87" spans="1:33" s="322" customFormat="1" ht="15.75" x14ac:dyDescent="0.25">
      <c r="A87" s="323" t="s">
        <v>95</v>
      </c>
      <c r="B87" s="324"/>
      <c r="C87" s="315"/>
      <c r="D87" s="325"/>
      <c r="E87" s="315"/>
      <c r="F87" s="326"/>
      <c r="G87" s="315"/>
      <c r="H87" s="327"/>
      <c r="I87" s="315"/>
      <c r="J87" s="328"/>
      <c r="K87" s="332"/>
      <c r="L87" s="329"/>
      <c r="M87" s="329"/>
      <c r="N87" s="313"/>
      <c r="O87" s="314"/>
      <c r="P87" s="315"/>
      <c r="Q87" s="316"/>
      <c r="R87" s="315"/>
      <c r="S87" s="317"/>
      <c r="T87" s="315"/>
      <c r="U87" s="318"/>
      <c r="V87" s="315"/>
      <c r="W87" s="319"/>
      <c r="X87" s="315"/>
      <c r="Y87" s="320"/>
      <c r="Z87" s="315"/>
      <c r="AA87" s="321"/>
      <c r="AB87" s="315"/>
      <c r="AE87" s="333"/>
    </row>
    <row r="88" spans="1:33" s="70" customFormat="1" x14ac:dyDescent="0.25">
      <c r="A88" s="79" t="s">
        <v>102</v>
      </c>
      <c r="B88" s="233">
        <f>112275+40635+900</f>
        <v>153810</v>
      </c>
      <c r="C88" s="88">
        <f>B88/B89*100</f>
        <v>100</v>
      </c>
      <c r="D88" s="58">
        <f>59805+26820</f>
        <v>86625</v>
      </c>
      <c r="E88" s="149">
        <f>D88/D89*100</f>
        <v>100</v>
      </c>
      <c r="F88" s="58">
        <f>59760+50850+12780</f>
        <v>123390</v>
      </c>
      <c r="G88" s="92">
        <f>F88/F89*100</f>
        <v>100</v>
      </c>
      <c r="H88" s="58">
        <f>88425+30555+3510</f>
        <v>122490</v>
      </c>
      <c r="I88" s="92">
        <f>H88/H89*100</f>
        <v>100</v>
      </c>
      <c r="J88" s="58">
        <f>35190+45360</f>
        <v>80550</v>
      </c>
      <c r="K88" s="92">
        <f>J88/J89*100</f>
        <v>100</v>
      </c>
      <c r="L88" s="58">
        <f>3150+35685</f>
        <v>38835</v>
      </c>
      <c r="M88" s="149">
        <f>L88/L89*100</f>
        <v>100</v>
      </c>
      <c r="N88" s="144"/>
      <c r="O88" s="58">
        <f>4590+24525+2025</f>
        <v>31140</v>
      </c>
      <c r="P88" s="149">
        <f>O88/O89*100</f>
        <v>100</v>
      </c>
      <c r="Q88" s="58">
        <f>14310+28575</f>
        <v>42885</v>
      </c>
      <c r="R88" s="149">
        <f>Q88/Q89*100</f>
        <v>100</v>
      </c>
      <c r="S88" s="58">
        <f>15030+23445+3150</f>
        <v>41625</v>
      </c>
      <c r="T88" s="149">
        <f>S88/S89*100</f>
        <v>100</v>
      </c>
      <c r="U88" s="58">
        <f>4185+19215</f>
        <v>23400</v>
      </c>
      <c r="V88" s="149">
        <f>U88/U89*100</f>
        <v>100</v>
      </c>
      <c r="W88" s="58">
        <f>6615+28395</f>
        <v>35010</v>
      </c>
      <c r="X88" s="149">
        <f>W88/W89*100</f>
        <v>100</v>
      </c>
      <c r="Y88" s="58">
        <f>62145+33570+12825</f>
        <v>108540</v>
      </c>
      <c r="Z88" s="149">
        <f>Y88/Y89*100</f>
        <v>100</v>
      </c>
      <c r="AA88" s="52">
        <f>B88+D88+F88+H88+J88+L88+Q88+O88+S88+U88+W88+Y88</f>
        <v>888300</v>
      </c>
      <c r="AB88" s="149">
        <f>AA88/AA89*100</f>
        <v>100</v>
      </c>
      <c r="AC88" s="227"/>
    </row>
    <row r="89" spans="1:33" s="70" customFormat="1" x14ac:dyDescent="0.25">
      <c r="A89" s="68" t="s">
        <v>70</v>
      </c>
      <c r="B89" s="232">
        <f t="shared" ref="B89:G89" si="22">SUM(B88)</f>
        <v>153810</v>
      </c>
      <c r="C89" s="95">
        <f t="shared" si="22"/>
        <v>100</v>
      </c>
      <c r="D89" s="71">
        <f t="shared" si="22"/>
        <v>86625</v>
      </c>
      <c r="E89" s="95">
        <f t="shared" si="22"/>
        <v>100</v>
      </c>
      <c r="F89" s="71">
        <f t="shared" si="22"/>
        <v>123390</v>
      </c>
      <c r="G89" s="95">
        <f t="shared" si="22"/>
        <v>100</v>
      </c>
      <c r="H89" s="71">
        <f t="shared" ref="H89:M89" si="23">SUM(H88)</f>
        <v>122490</v>
      </c>
      <c r="I89" s="95">
        <f t="shared" si="23"/>
        <v>100</v>
      </c>
      <c r="J89" s="71">
        <f>SUM(J88)</f>
        <v>80550</v>
      </c>
      <c r="K89" s="95">
        <f t="shared" si="23"/>
        <v>100</v>
      </c>
      <c r="L89" s="71">
        <f t="shared" si="23"/>
        <v>38835</v>
      </c>
      <c r="M89" s="95">
        <f t="shared" si="23"/>
        <v>100</v>
      </c>
      <c r="N89" s="144"/>
      <c r="O89" s="71">
        <f>SUM(O88)</f>
        <v>31140</v>
      </c>
      <c r="P89" s="95">
        <f>SUM(P88)</f>
        <v>100</v>
      </c>
      <c r="Q89" s="71">
        <f>SUM(Q88)</f>
        <v>42885</v>
      </c>
      <c r="R89" s="95">
        <f>SUM(R88)</f>
        <v>100</v>
      </c>
      <c r="S89" s="71">
        <f t="shared" ref="S89:T89" si="24">SUM(S88)</f>
        <v>41625</v>
      </c>
      <c r="T89" s="95">
        <f t="shared" si="24"/>
        <v>100</v>
      </c>
      <c r="U89" s="71">
        <f t="shared" ref="U89:AA89" si="25">SUM(U88)</f>
        <v>23400</v>
      </c>
      <c r="V89" s="95">
        <f t="shared" si="25"/>
        <v>100</v>
      </c>
      <c r="W89" s="71">
        <f t="shared" si="25"/>
        <v>35010</v>
      </c>
      <c r="X89" s="95">
        <f t="shared" si="25"/>
        <v>100</v>
      </c>
      <c r="Y89" s="71">
        <f t="shared" si="25"/>
        <v>108540</v>
      </c>
      <c r="Z89" s="95">
        <f t="shared" si="25"/>
        <v>100</v>
      </c>
      <c r="AA89" s="71">
        <f t="shared" si="25"/>
        <v>888300</v>
      </c>
      <c r="AB89" s="95">
        <f>SUM(AB87:AB88)</f>
        <v>100</v>
      </c>
      <c r="AD89" s="90">
        <f>B89+D89+F89+H89+J89+L89+Q89+O89+S89+U89+W89+Y89</f>
        <v>888300</v>
      </c>
      <c r="AG89" s="289"/>
    </row>
    <row r="90" spans="1:33" s="330" customFormat="1" ht="15.75" x14ac:dyDescent="0.25">
      <c r="A90" s="323" t="s">
        <v>65</v>
      </c>
      <c r="B90" s="324"/>
      <c r="C90" s="315"/>
      <c r="D90" s="325"/>
      <c r="E90" s="315"/>
      <c r="F90" s="326"/>
      <c r="G90" s="315"/>
      <c r="H90" s="334"/>
      <c r="I90" s="332"/>
      <c r="J90" s="328"/>
      <c r="K90" s="315"/>
      <c r="L90" s="329"/>
      <c r="M90" s="329"/>
      <c r="N90" s="313"/>
      <c r="O90" s="314"/>
      <c r="P90" s="315"/>
      <c r="Q90" s="316"/>
      <c r="R90" s="315"/>
      <c r="S90" s="317"/>
      <c r="T90" s="315"/>
      <c r="U90" s="318"/>
      <c r="V90" s="315"/>
      <c r="W90" s="319"/>
      <c r="X90" s="315"/>
      <c r="Y90" s="320"/>
      <c r="Z90" s="315"/>
      <c r="AA90" s="321"/>
      <c r="AB90" s="315"/>
    </row>
    <row r="91" spans="1:33" x14ac:dyDescent="0.25">
      <c r="A91" s="80" t="s">
        <v>66</v>
      </c>
      <c r="B91" s="58">
        <v>17460</v>
      </c>
      <c r="C91" s="149">
        <f>B91/B92*100</f>
        <v>100</v>
      </c>
      <c r="D91" s="58">
        <v>405</v>
      </c>
      <c r="E91" s="92">
        <f>D91/D92*100</f>
        <v>100</v>
      </c>
      <c r="F91" s="58">
        <f>2790+450+4950</f>
        <v>8190</v>
      </c>
      <c r="G91" s="149">
        <f>F91/F92*100</f>
        <v>100</v>
      </c>
      <c r="H91" s="58">
        <v>1125</v>
      </c>
      <c r="I91" s="92">
        <f>H91/H92*100</f>
        <v>100</v>
      </c>
      <c r="J91" s="58">
        <v>7245</v>
      </c>
      <c r="K91" s="149">
        <f>J91/J92*100</f>
        <v>100</v>
      </c>
      <c r="L91" s="58">
        <f>450+6435</f>
        <v>6885</v>
      </c>
      <c r="M91" s="149">
        <f>L91/L92*100</f>
        <v>100</v>
      </c>
      <c r="N91" s="144"/>
      <c r="O91" s="58"/>
      <c r="P91" s="149"/>
      <c r="Q91" s="58"/>
      <c r="R91" s="149"/>
      <c r="S91" s="58"/>
      <c r="T91" s="149"/>
      <c r="U91" s="58"/>
      <c r="V91" s="149"/>
      <c r="W91" s="58">
        <v>4725</v>
      </c>
      <c r="X91" s="149">
        <f>W91/W92*100</f>
        <v>100</v>
      </c>
      <c r="Y91" s="58">
        <v>56835</v>
      </c>
      <c r="Z91" s="149">
        <f>Y91/Y92*100</f>
        <v>100</v>
      </c>
      <c r="AA91" s="52">
        <f>B91+D91+F91+H91+J91+L91+Q91+O91+S91+U91+W91+Y91</f>
        <v>102870</v>
      </c>
      <c r="AB91" s="88">
        <f>AA91/AA92*100</f>
        <v>100</v>
      </c>
    </row>
    <row r="92" spans="1:33" s="70" customFormat="1" x14ac:dyDescent="0.25">
      <c r="A92" s="68" t="s">
        <v>70</v>
      </c>
      <c r="B92" s="71">
        <f>SUM(B91)</f>
        <v>17460</v>
      </c>
      <c r="C92" s="95">
        <f>SUM(C91)</f>
        <v>100</v>
      </c>
      <c r="D92" s="71">
        <f t="shared" ref="D92:I92" si="26">SUM(D91)</f>
        <v>405</v>
      </c>
      <c r="E92" s="95">
        <f t="shared" si="26"/>
        <v>100</v>
      </c>
      <c r="F92" s="71">
        <f t="shared" si="26"/>
        <v>8190</v>
      </c>
      <c r="G92" s="95">
        <f t="shared" si="26"/>
        <v>100</v>
      </c>
      <c r="H92" s="71">
        <f t="shared" si="26"/>
        <v>1125</v>
      </c>
      <c r="I92" s="95">
        <f t="shared" si="26"/>
        <v>100</v>
      </c>
      <c r="J92" s="71">
        <f>SUM(J91)</f>
        <v>7245</v>
      </c>
      <c r="K92" s="95">
        <f>SUM(K91)</f>
        <v>100</v>
      </c>
      <c r="L92" s="71">
        <f>SUM(L91)</f>
        <v>6885</v>
      </c>
      <c r="M92" s="95">
        <f>SUM(M91)</f>
        <v>100</v>
      </c>
      <c r="N92" s="144"/>
      <c r="O92" s="71">
        <f>SUM(O91)</f>
        <v>0</v>
      </c>
      <c r="P92" s="95">
        <f>SUM(P91)</f>
        <v>0</v>
      </c>
      <c r="Q92" s="71"/>
      <c r="R92" s="95"/>
      <c r="S92" s="71">
        <f t="shared" ref="S92:V92" si="27">SUM(S91)</f>
        <v>0</v>
      </c>
      <c r="T92" s="95">
        <f t="shared" si="27"/>
        <v>0</v>
      </c>
      <c r="U92" s="71">
        <f t="shared" si="27"/>
        <v>0</v>
      </c>
      <c r="V92" s="95">
        <f t="shared" si="27"/>
        <v>0</v>
      </c>
      <c r="W92" s="71">
        <f>SUM(W91)</f>
        <v>4725</v>
      </c>
      <c r="X92" s="95">
        <f>SUM(X91)</f>
        <v>100</v>
      </c>
      <c r="Y92" s="71">
        <f>SUM(Y91)</f>
        <v>56835</v>
      </c>
      <c r="Z92" s="95">
        <f>SUM(Z91)</f>
        <v>100</v>
      </c>
      <c r="AA92" s="71">
        <f>SUM(AA91:AA91)</f>
        <v>102870</v>
      </c>
      <c r="AB92" s="94">
        <f>SUM(AB91:AB91)</f>
        <v>100</v>
      </c>
      <c r="AD92" s="90">
        <f>B92+D92+F92+H92+J92+L92+Q92+O92+S92+U92+W92+Y92</f>
        <v>102870</v>
      </c>
      <c r="AG92" s="289"/>
    </row>
    <row r="93" spans="1:33" s="330" customFormat="1" ht="15.75" x14ac:dyDescent="0.25">
      <c r="A93" s="323" t="s">
        <v>68</v>
      </c>
      <c r="B93" s="324"/>
      <c r="C93" s="315"/>
      <c r="D93" s="325"/>
      <c r="E93" s="315"/>
      <c r="F93" s="326"/>
      <c r="G93" s="315"/>
      <c r="H93" s="335"/>
      <c r="I93" s="315"/>
      <c r="J93" s="336"/>
      <c r="K93" s="315"/>
      <c r="L93" s="329"/>
      <c r="M93" s="329"/>
      <c r="N93" s="313"/>
      <c r="O93" s="314"/>
      <c r="P93" s="315"/>
      <c r="Q93" s="316"/>
      <c r="R93" s="315"/>
      <c r="S93" s="317"/>
      <c r="T93" s="315"/>
      <c r="U93" s="318"/>
      <c r="V93" s="315"/>
      <c r="W93" s="319"/>
      <c r="X93" s="315"/>
      <c r="Y93" s="320"/>
      <c r="Z93" s="315"/>
      <c r="AA93" s="321"/>
      <c r="AB93" s="315"/>
    </row>
    <row r="94" spans="1:33" x14ac:dyDescent="0.25">
      <c r="A94" s="81" t="s">
        <v>129</v>
      </c>
      <c r="B94" s="163">
        <v>8100</v>
      </c>
      <c r="C94" s="185">
        <f>B94/B95*100</f>
        <v>100</v>
      </c>
      <c r="D94" s="165"/>
      <c r="E94" s="185"/>
      <c r="F94" s="166">
        <v>900</v>
      </c>
      <c r="G94" s="185">
        <f>F94/F95*100</f>
        <v>100</v>
      </c>
      <c r="H94" s="167"/>
      <c r="I94" s="185"/>
      <c r="J94" s="168">
        <v>3375</v>
      </c>
      <c r="K94" s="185">
        <f>J94/J95*100</f>
        <v>100</v>
      </c>
      <c r="L94" s="169">
        <v>2520</v>
      </c>
      <c r="M94" s="251">
        <f>L94/L95*100</f>
        <v>100</v>
      </c>
      <c r="N94" s="144"/>
      <c r="O94" s="171">
        <v>2700</v>
      </c>
      <c r="P94" s="185">
        <f>O94/O95*100</f>
        <v>100</v>
      </c>
      <c r="Q94" s="170"/>
      <c r="R94" s="164"/>
      <c r="S94" s="172"/>
      <c r="T94" s="185"/>
      <c r="U94" s="173"/>
      <c r="V94" s="185"/>
      <c r="W94" s="174"/>
      <c r="X94" s="185"/>
      <c r="Y94" s="175"/>
      <c r="Z94" s="185"/>
      <c r="AA94" s="52">
        <f>B94+D94+F94+H94+J94+L94+Q94+O94+S94+U94+W94+Y94</f>
        <v>17595</v>
      </c>
      <c r="AB94" s="185">
        <f>AA94/AA95*100</f>
        <v>100</v>
      </c>
    </row>
    <row r="95" spans="1:33" s="70" customFormat="1" x14ac:dyDescent="0.25">
      <c r="A95" s="68" t="s">
        <v>70</v>
      </c>
      <c r="B95" s="71">
        <f>SUM(B94:B94)</f>
        <v>8100</v>
      </c>
      <c r="C95" s="95">
        <f>SUM(C94)</f>
        <v>100</v>
      </c>
      <c r="D95" s="71">
        <f>SUM(D94:D94)</f>
        <v>0</v>
      </c>
      <c r="E95" s="95">
        <f>SUM(E94:E94)</f>
        <v>0</v>
      </c>
      <c r="F95" s="71">
        <f>SUM(F94)</f>
        <v>900</v>
      </c>
      <c r="G95" s="95">
        <f>SUM(G94)</f>
        <v>100</v>
      </c>
      <c r="H95" s="71">
        <f>SUM(H94:H94)</f>
        <v>0</v>
      </c>
      <c r="I95" s="95">
        <f>SUM(I94:I94)</f>
        <v>0</v>
      </c>
      <c r="J95" s="71">
        <f>SUM(J94:J94)</f>
        <v>3375</v>
      </c>
      <c r="K95" s="95">
        <f>SUM(K94)</f>
        <v>100</v>
      </c>
      <c r="L95" s="71">
        <f>SUM(L94)</f>
        <v>2520</v>
      </c>
      <c r="M95" s="95">
        <f>SUM(M94)</f>
        <v>100</v>
      </c>
      <c r="N95" s="144"/>
      <c r="O95" s="71">
        <f>SUM(O94:O94)</f>
        <v>2700</v>
      </c>
      <c r="P95" s="95">
        <f>SUM(P94)</f>
        <v>100</v>
      </c>
      <c r="Q95" s="71"/>
      <c r="R95" s="95"/>
      <c r="S95" s="71">
        <f>SUM(S94:S94)</f>
        <v>0</v>
      </c>
      <c r="T95" s="95">
        <f>SUM(T94:T94)</f>
        <v>0</v>
      </c>
      <c r="U95" s="71"/>
      <c r="V95" s="95"/>
      <c r="W95" s="71"/>
      <c r="X95" s="95"/>
      <c r="Y95" s="71"/>
      <c r="Z95" s="95"/>
      <c r="AA95" s="71">
        <f>SUM(AA94:AA94)</f>
        <v>17595</v>
      </c>
      <c r="AB95" s="94">
        <f>SUM(AB94:AB94)</f>
        <v>100</v>
      </c>
      <c r="AD95" s="90">
        <f>B95+D95+F95+H95+J95+L95+Q95+O95+S95+U95+W95+Y95</f>
        <v>17595</v>
      </c>
    </row>
    <row r="96" spans="1:33" s="330" customFormat="1" ht="15.75" x14ac:dyDescent="0.25">
      <c r="A96" s="323" t="s">
        <v>77</v>
      </c>
      <c r="B96" s="324"/>
      <c r="C96" s="315"/>
      <c r="D96" s="325"/>
      <c r="E96" s="315"/>
      <c r="F96" s="326"/>
      <c r="G96" s="315"/>
      <c r="H96" s="327"/>
      <c r="I96" s="315"/>
      <c r="J96" s="328"/>
      <c r="K96" s="315"/>
      <c r="L96" s="329"/>
      <c r="M96" s="329"/>
      <c r="N96" s="313"/>
      <c r="O96" s="314"/>
      <c r="P96" s="315"/>
      <c r="Q96" s="316"/>
      <c r="R96" s="315"/>
      <c r="S96" s="317"/>
      <c r="T96" s="315"/>
      <c r="U96" s="318"/>
      <c r="V96" s="315"/>
      <c r="W96" s="319"/>
      <c r="X96" s="315"/>
      <c r="Y96" s="320"/>
      <c r="Z96" s="315"/>
      <c r="AA96" s="321"/>
      <c r="AB96" s="315"/>
    </row>
    <row r="97" spans="1:33" x14ac:dyDescent="0.25">
      <c r="A97" s="80" t="s">
        <v>126</v>
      </c>
      <c r="B97" s="58">
        <f>10575+34875</f>
        <v>45450</v>
      </c>
      <c r="C97" s="149">
        <f>B97/B99*100</f>
        <v>92.660550458715591</v>
      </c>
      <c r="D97" s="58">
        <v>11565</v>
      </c>
      <c r="E97" s="149">
        <f>D97/D99*100</f>
        <v>89.547038327526124</v>
      </c>
      <c r="F97" s="58">
        <v>900</v>
      </c>
      <c r="G97" s="149">
        <f>F97/F99*100</f>
        <v>100</v>
      </c>
      <c r="H97" s="58"/>
      <c r="I97" s="149"/>
      <c r="J97" s="58"/>
      <c r="K97" s="149"/>
      <c r="L97" s="58">
        <f>15840+10350</f>
        <v>26190</v>
      </c>
      <c r="M97" s="186">
        <f>L97/L99*100</f>
        <v>100</v>
      </c>
      <c r="N97" s="144"/>
      <c r="O97" s="58"/>
      <c r="P97" s="149"/>
      <c r="Q97" s="58"/>
      <c r="R97" s="149"/>
      <c r="S97" s="58"/>
      <c r="T97" s="149"/>
      <c r="U97" s="58"/>
      <c r="V97" s="149"/>
      <c r="W97" s="58"/>
      <c r="X97" s="149"/>
      <c r="Y97" s="58">
        <f>41985+33300</f>
        <v>75285</v>
      </c>
      <c r="Z97" s="149">
        <f>Y97/Y99*100</f>
        <v>100</v>
      </c>
      <c r="AA97" s="52">
        <f>B97+D97+F97+H97+J97+L97+Q97+O97+S97+U97+W97+Y97</f>
        <v>159390</v>
      </c>
      <c r="AB97" s="88">
        <f>AA97/AA99*100</f>
        <v>39.84251968503937</v>
      </c>
      <c r="AD97" s="244"/>
    </row>
    <row r="98" spans="1:33" x14ac:dyDescent="0.25">
      <c r="A98" s="80" t="s">
        <v>123</v>
      </c>
      <c r="B98" s="58">
        <v>3600</v>
      </c>
      <c r="C98" s="149">
        <f>B98/B99*100</f>
        <v>7.3394495412844041</v>
      </c>
      <c r="D98" s="58">
        <v>1350</v>
      </c>
      <c r="E98" s="149">
        <f>D98/D99*100</f>
        <v>10.452961672473867</v>
      </c>
      <c r="F98" s="58"/>
      <c r="G98" s="149"/>
      <c r="H98" s="58">
        <v>4500</v>
      </c>
      <c r="I98" s="149">
        <f>H98/H99*100</f>
        <v>100</v>
      </c>
      <c r="J98" s="58">
        <f>1350+15075+41040</f>
        <v>57465</v>
      </c>
      <c r="K98" s="149">
        <f>J98/J99*100</f>
        <v>100</v>
      </c>
      <c r="L98" s="58"/>
      <c r="M98" s="186"/>
      <c r="N98" s="144"/>
      <c r="O98" s="58">
        <f>3690+25875+14850</f>
        <v>44415</v>
      </c>
      <c r="P98" s="149">
        <f>O98/O99*100</f>
        <v>100</v>
      </c>
      <c r="Q98" s="58">
        <f>34830+13005</f>
        <v>47835</v>
      </c>
      <c r="R98" s="149">
        <f>Q98/Q99*100</f>
        <v>100</v>
      </c>
      <c r="S98" s="58">
        <f>3105+11700</f>
        <v>14805</v>
      </c>
      <c r="T98" s="149">
        <f>S98/S99*100</f>
        <v>100</v>
      </c>
      <c r="U98" s="58">
        <f>14445+18225</f>
        <v>32670</v>
      </c>
      <c r="V98" s="149">
        <f>U98/U99*100</f>
        <v>100</v>
      </c>
      <c r="W98" s="58">
        <f>14220+19800</f>
        <v>34020</v>
      </c>
      <c r="X98" s="149">
        <f>W98/W99*100</f>
        <v>100</v>
      </c>
      <c r="Y98" s="58"/>
      <c r="Z98" s="149"/>
      <c r="AA98" s="52">
        <f>B98+D98+F98+H98+J98+L98+Q98+O98+S98+U98+W98+Y98</f>
        <v>240660</v>
      </c>
      <c r="AB98" s="88">
        <f>AA98/AA99*100</f>
        <v>60.15748031496063</v>
      </c>
    </row>
    <row r="99" spans="1:33" s="70" customFormat="1" x14ac:dyDescent="0.25">
      <c r="A99" s="68" t="s">
        <v>70</v>
      </c>
      <c r="B99" s="71">
        <f>SUM(B97:B98)</f>
        <v>49050</v>
      </c>
      <c r="C99" s="95">
        <f>SUM(C97:C98)</f>
        <v>100</v>
      </c>
      <c r="D99" s="71">
        <f>SUM(D97:D98)</f>
        <v>12915</v>
      </c>
      <c r="E99" s="95">
        <f>SUM(E97:E98)</f>
        <v>99.999999999999986</v>
      </c>
      <c r="F99" s="71">
        <f>SUM(F97:F98)</f>
        <v>900</v>
      </c>
      <c r="G99" s="95">
        <f>SUM(G97)</f>
        <v>100</v>
      </c>
      <c r="H99" s="71">
        <f>SUM(H97:H98)</f>
        <v>4500</v>
      </c>
      <c r="I99" s="95">
        <f t="shared" ref="I99:M99" si="28">SUM(I97:I98)</f>
        <v>100</v>
      </c>
      <c r="J99" s="71">
        <f>SUM(J97:J98)</f>
        <v>57465</v>
      </c>
      <c r="K99" s="95">
        <f t="shared" si="28"/>
        <v>100</v>
      </c>
      <c r="L99" s="71">
        <f>SUM(L97:L98)</f>
        <v>26190</v>
      </c>
      <c r="M99" s="187">
        <f t="shared" si="28"/>
        <v>100</v>
      </c>
      <c r="N99" s="144"/>
      <c r="O99" s="71">
        <f>SUM(O97:O98)</f>
        <v>44415</v>
      </c>
      <c r="P99" s="95">
        <f>SUM(P98)</f>
        <v>100</v>
      </c>
      <c r="Q99" s="71">
        <f>SUM(Q97:Q98)</f>
        <v>47835</v>
      </c>
      <c r="R99" s="95">
        <f>SUM(R97:R98)</f>
        <v>100</v>
      </c>
      <c r="S99" s="71">
        <f t="shared" ref="S99:Y99" si="29">SUM(S97:S98)</f>
        <v>14805</v>
      </c>
      <c r="T99" s="95">
        <f t="shared" si="29"/>
        <v>100</v>
      </c>
      <c r="U99" s="71">
        <f t="shared" si="29"/>
        <v>32670</v>
      </c>
      <c r="V99" s="95">
        <f t="shared" si="29"/>
        <v>100</v>
      </c>
      <c r="W99" s="71">
        <f t="shared" si="29"/>
        <v>34020</v>
      </c>
      <c r="X99" s="95">
        <f t="shared" si="29"/>
        <v>100</v>
      </c>
      <c r="Y99" s="71">
        <f t="shared" si="29"/>
        <v>75285</v>
      </c>
      <c r="Z99" s="95">
        <f>SUM(Z98)</f>
        <v>0</v>
      </c>
      <c r="AA99" s="71">
        <f>SUM(AA97:AA98)</f>
        <v>400050</v>
      </c>
      <c r="AB99" s="94">
        <f>SUM(AB97:AB98)</f>
        <v>100</v>
      </c>
      <c r="AD99" s="90">
        <f>B99+D99+F99+H99+J99+L99+Q99+O99+S99+U99+W99+Y99</f>
        <v>400050</v>
      </c>
      <c r="AG99" s="289"/>
    </row>
    <row r="100" spans="1:33" s="322" customFormat="1" ht="15.75" x14ac:dyDescent="0.25">
      <c r="A100" s="323" t="s">
        <v>125</v>
      </c>
      <c r="B100" s="324"/>
      <c r="C100" s="315"/>
      <c r="D100" s="325"/>
      <c r="E100" s="315"/>
      <c r="F100" s="326"/>
      <c r="G100" s="315"/>
      <c r="H100" s="327"/>
      <c r="I100" s="315"/>
      <c r="J100" s="328"/>
      <c r="K100" s="315"/>
      <c r="L100" s="329"/>
      <c r="M100" s="329"/>
      <c r="N100" s="313"/>
      <c r="O100" s="314"/>
      <c r="P100" s="315"/>
      <c r="Q100" s="316"/>
      <c r="R100" s="315"/>
      <c r="S100" s="317"/>
      <c r="T100" s="315"/>
      <c r="U100" s="318"/>
      <c r="V100" s="315"/>
      <c r="W100" s="319"/>
      <c r="X100" s="315"/>
      <c r="Y100" s="320"/>
      <c r="Z100" s="315"/>
      <c r="AA100" s="321"/>
      <c r="AB100" s="315"/>
      <c r="AD100" s="337"/>
    </row>
    <row r="101" spans="1:33" s="70" customFormat="1" x14ac:dyDescent="0.25">
      <c r="A101" s="196" t="s">
        <v>128</v>
      </c>
      <c r="B101" s="71"/>
      <c r="C101" s="95"/>
      <c r="D101" s="71"/>
      <c r="E101" s="95"/>
      <c r="F101" s="192">
        <v>450</v>
      </c>
      <c r="G101" s="193">
        <f>F101/F103*100</f>
        <v>100</v>
      </c>
      <c r="H101" s="250"/>
      <c r="I101" s="193"/>
      <c r="J101" s="231"/>
      <c r="K101" s="193"/>
      <c r="L101" s="58"/>
      <c r="M101" s="186"/>
      <c r="N101" s="144"/>
      <c r="O101" s="149"/>
      <c r="P101" s="95"/>
      <c r="Q101" s="58"/>
      <c r="R101" s="149"/>
      <c r="S101" s="72"/>
      <c r="T101" s="88"/>
      <c r="U101" s="58"/>
      <c r="V101" s="149"/>
      <c r="W101" s="71"/>
      <c r="X101" s="95"/>
      <c r="Y101" s="71"/>
      <c r="Z101" s="95"/>
      <c r="AA101" s="52">
        <f>B101+D101+F101+H101+J101+L101+Q101+O101+S101+U101+W101+Y101</f>
        <v>450</v>
      </c>
      <c r="AB101" s="88">
        <f t="shared" ref="AB101" si="30">AA101/AA102*100</f>
        <v>83.333333333333343</v>
      </c>
      <c r="AD101" s="90"/>
    </row>
    <row r="102" spans="1:33" s="70" customFormat="1" x14ac:dyDescent="0.25">
      <c r="A102" s="196" t="s">
        <v>134</v>
      </c>
      <c r="B102" s="58"/>
      <c r="C102" s="95"/>
      <c r="D102" s="58"/>
      <c r="E102" s="95"/>
      <c r="F102" s="192"/>
      <c r="G102" s="193"/>
      <c r="H102" s="58"/>
      <c r="I102" s="193"/>
      <c r="J102" s="231">
        <v>540</v>
      </c>
      <c r="K102" s="193">
        <f>J102/J103*100</f>
        <v>100</v>
      </c>
      <c r="L102" s="58"/>
      <c r="M102" s="186"/>
      <c r="N102" s="144"/>
      <c r="O102" s="157"/>
      <c r="P102" s="95"/>
      <c r="Q102" s="157"/>
      <c r="R102" s="95"/>
      <c r="S102" s="71"/>
      <c r="T102" s="95"/>
      <c r="U102" s="58"/>
      <c r="V102" s="149"/>
      <c r="W102" s="58"/>
      <c r="X102" s="149"/>
      <c r="Y102" s="71"/>
      <c r="Z102" s="95"/>
      <c r="AA102" s="52">
        <f>B102+D102+F102+H102+J102+L102+Q102+O102+S102+U102+W102+Y102</f>
        <v>540</v>
      </c>
      <c r="AB102" s="88">
        <f>AA102/AA103*100</f>
        <v>54.54545454545454</v>
      </c>
      <c r="AD102" s="90"/>
    </row>
    <row r="103" spans="1:33" s="70" customFormat="1" x14ac:dyDescent="0.25">
      <c r="A103" s="68" t="s">
        <v>70</v>
      </c>
      <c r="B103" s="71">
        <f>SUM(B101:B102)</f>
        <v>0</v>
      </c>
      <c r="C103" s="95">
        <f t="shared" ref="C103:M103" si="31">SUM(C101:C102)</f>
        <v>0</v>
      </c>
      <c r="D103" s="71">
        <f>SUM(D101:D102)</f>
        <v>0</v>
      </c>
      <c r="E103" s="95">
        <f t="shared" si="31"/>
        <v>0</v>
      </c>
      <c r="F103" s="71">
        <f t="shared" si="31"/>
        <v>450</v>
      </c>
      <c r="G103" s="95">
        <f t="shared" si="31"/>
        <v>100</v>
      </c>
      <c r="H103" s="71">
        <f t="shared" si="31"/>
        <v>0</v>
      </c>
      <c r="I103" s="95">
        <f t="shared" si="31"/>
        <v>0</v>
      </c>
      <c r="J103" s="232">
        <f>SUM(J101:J102)</f>
        <v>540</v>
      </c>
      <c r="K103" s="95">
        <f t="shared" si="31"/>
        <v>100</v>
      </c>
      <c r="L103" s="71">
        <f t="shared" si="31"/>
        <v>0</v>
      </c>
      <c r="M103" s="187">
        <f t="shared" si="31"/>
        <v>0</v>
      </c>
      <c r="N103" s="144"/>
      <c r="O103" s="71">
        <f>SUM(O101:O102)</f>
        <v>0</v>
      </c>
      <c r="P103" s="95">
        <f>SUM(P101:P102)</f>
        <v>0</v>
      </c>
      <c r="Q103" s="71">
        <f>SUM(Q101:Q102)</f>
        <v>0</v>
      </c>
      <c r="R103" s="95">
        <f>SUM(R102)</f>
        <v>0</v>
      </c>
      <c r="S103" s="71">
        <f t="shared" ref="S103:V103" si="32">SUM(S101:S102)</f>
        <v>0</v>
      </c>
      <c r="T103" s="95">
        <f t="shared" si="32"/>
        <v>0</v>
      </c>
      <c r="U103" s="71">
        <f t="shared" si="32"/>
        <v>0</v>
      </c>
      <c r="V103" s="95">
        <f t="shared" si="32"/>
        <v>0</v>
      </c>
      <c r="W103" s="71">
        <f>SUM(W101:W102)</f>
        <v>0</v>
      </c>
      <c r="X103" s="95">
        <f>SUM(X101:X102)</f>
        <v>0</v>
      </c>
      <c r="Y103" s="71"/>
      <c r="Z103" s="95"/>
      <c r="AA103" s="253">
        <f>SUM(AA101:AA102)</f>
        <v>990</v>
      </c>
      <c r="AB103" s="94">
        <f>SUM(AB101:AB102)</f>
        <v>137.87878787878788</v>
      </c>
      <c r="AD103" s="90">
        <f>B103+D103+F103+H103+J103+L103+Q103+O103+S103+U103+W103+Y103</f>
        <v>990</v>
      </c>
    </row>
    <row r="104" spans="1:33" s="70" customFormat="1" x14ac:dyDescent="0.25">
      <c r="A104" s="82"/>
      <c r="B104" s="254"/>
      <c r="C104" s="255"/>
      <c r="D104" s="254"/>
      <c r="E104" s="255"/>
      <c r="F104" s="254"/>
      <c r="G104" s="255"/>
      <c r="H104" s="254"/>
      <c r="I104" s="255"/>
      <c r="J104" s="256"/>
      <c r="K104" s="255"/>
      <c r="L104" s="254"/>
      <c r="M104" s="257"/>
      <c r="N104" s="144"/>
      <c r="O104" s="254"/>
      <c r="P104" s="255"/>
      <c r="Q104" s="254"/>
      <c r="R104" s="255"/>
      <c r="S104" s="254"/>
      <c r="T104" s="255"/>
      <c r="U104" s="254"/>
      <c r="V104" s="255"/>
      <c r="W104" s="254"/>
      <c r="X104" s="255"/>
      <c r="Y104" s="254"/>
      <c r="Z104" s="255"/>
      <c r="AA104" s="258"/>
      <c r="AB104" s="106"/>
      <c r="AD104" s="90"/>
    </row>
    <row r="105" spans="1:33" s="70" customFormat="1" x14ac:dyDescent="0.25">
      <c r="A105" s="85"/>
      <c r="B105" s="86"/>
      <c r="C105" s="96"/>
      <c r="D105" s="86"/>
      <c r="E105" s="96"/>
      <c r="F105" s="86"/>
      <c r="G105" s="96"/>
      <c r="H105" s="86"/>
      <c r="I105" s="96"/>
      <c r="J105" s="259"/>
      <c r="K105" s="96"/>
      <c r="L105" s="86"/>
      <c r="M105" s="260"/>
      <c r="N105" s="144"/>
      <c r="O105" s="86"/>
      <c r="P105" s="96"/>
      <c r="Q105" s="86"/>
      <c r="R105" s="96"/>
      <c r="S105" s="86"/>
      <c r="T105" s="96"/>
      <c r="U105" s="86"/>
      <c r="V105" s="96"/>
      <c r="W105" s="86"/>
      <c r="X105" s="96"/>
      <c r="Y105" s="86"/>
      <c r="Z105" s="96"/>
      <c r="AA105" s="261"/>
      <c r="AB105" s="107"/>
      <c r="AD105" s="90"/>
    </row>
    <row r="106" spans="1:33" x14ac:dyDescent="0.25">
      <c r="O106" s="56"/>
      <c r="P106" s="54"/>
    </row>
    <row r="107" spans="1:33" s="70" customFormat="1" x14ac:dyDescent="0.25">
      <c r="A107" s="191" t="s">
        <v>142</v>
      </c>
      <c r="N107" s="147"/>
    </row>
    <row r="108" spans="1:33" s="70" customFormat="1" ht="15.75" x14ac:dyDescent="0.25">
      <c r="A108" s="361" t="s">
        <v>39</v>
      </c>
      <c r="B108" s="363" t="s">
        <v>21</v>
      </c>
      <c r="C108" s="364"/>
      <c r="D108" s="365" t="s">
        <v>22</v>
      </c>
      <c r="E108" s="366"/>
      <c r="F108" s="367" t="s">
        <v>23</v>
      </c>
      <c r="G108" s="368"/>
      <c r="H108" s="369" t="s">
        <v>24</v>
      </c>
      <c r="I108" s="370"/>
      <c r="J108" s="371" t="s">
        <v>25</v>
      </c>
      <c r="K108" s="372"/>
      <c r="L108" s="373" t="s">
        <v>40</v>
      </c>
      <c r="M108" s="374"/>
      <c r="N108" s="144"/>
      <c r="O108" s="377" t="s">
        <v>37</v>
      </c>
      <c r="P108" s="378"/>
      <c r="Q108" s="375" t="s">
        <v>27</v>
      </c>
      <c r="R108" s="376"/>
      <c r="S108" s="379" t="s">
        <v>28</v>
      </c>
      <c r="T108" s="380"/>
      <c r="U108" s="381" t="s">
        <v>29</v>
      </c>
      <c r="V108" s="382"/>
      <c r="W108" s="383" t="s">
        <v>30</v>
      </c>
      <c r="X108" s="384"/>
      <c r="Y108" s="357" t="s">
        <v>38</v>
      </c>
      <c r="Z108" s="358"/>
      <c r="AA108" s="359" t="s">
        <v>20</v>
      </c>
      <c r="AB108" s="360"/>
    </row>
    <row r="109" spans="1:33" s="70" customFormat="1" ht="15" customHeight="1" x14ac:dyDescent="0.25">
      <c r="A109" s="362"/>
      <c r="B109" s="270" t="s">
        <v>72</v>
      </c>
      <c r="C109" s="143" t="s">
        <v>89</v>
      </c>
      <c r="D109" s="270" t="s">
        <v>72</v>
      </c>
      <c r="E109" s="143" t="s">
        <v>89</v>
      </c>
      <c r="F109" s="270" t="s">
        <v>72</v>
      </c>
      <c r="G109" s="143" t="s">
        <v>89</v>
      </c>
      <c r="H109" s="270" t="s">
        <v>72</v>
      </c>
      <c r="I109" s="143" t="s">
        <v>89</v>
      </c>
      <c r="J109" s="270" t="s">
        <v>72</v>
      </c>
      <c r="K109" s="143" t="s">
        <v>89</v>
      </c>
      <c r="L109" s="270" t="s">
        <v>72</v>
      </c>
      <c r="M109" s="143" t="s">
        <v>89</v>
      </c>
      <c r="N109" s="144"/>
      <c r="O109" s="270" t="s">
        <v>72</v>
      </c>
      <c r="P109" s="143" t="s">
        <v>89</v>
      </c>
      <c r="Q109" s="270" t="s">
        <v>72</v>
      </c>
      <c r="R109" s="143" t="s">
        <v>89</v>
      </c>
      <c r="S109" s="270" t="s">
        <v>72</v>
      </c>
      <c r="T109" s="143" t="s">
        <v>89</v>
      </c>
      <c r="U109" s="270" t="s">
        <v>72</v>
      </c>
      <c r="V109" s="143" t="s">
        <v>89</v>
      </c>
      <c r="W109" s="270" t="s">
        <v>72</v>
      </c>
      <c r="X109" s="143" t="s">
        <v>89</v>
      </c>
      <c r="Y109" s="270" t="s">
        <v>72</v>
      </c>
      <c r="Z109" s="143" t="s">
        <v>89</v>
      </c>
      <c r="AA109" s="271" t="s">
        <v>72</v>
      </c>
      <c r="AB109" s="143" t="s">
        <v>89</v>
      </c>
    </row>
    <row r="110" spans="1:33" s="322" customFormat="1" ht="15" customHeight="1" x14ac:dyDescent="0.25">
      <c r="A110" s="338" t="s">
        <v>67</v>
      </c>
      <c r="B110" s="339"/>
      <c r="C110" s="340"/>
      <c r="D110" s="341"/>
      <c r="E110" s="340"/>
      <c r="F110" s="342"/>
      <c r="G110" s="340"/>
      <c r="H110" s="343"/>
      <c r="I110" s="340"/>
      <c r="J110" s="344"/>
      <c r="K110" s="345"/>
      <c r="L110" s="346"/>
      <c r="M110" s="346"/>
      <c r="N110" s="313"/>
      <c r="O110" s="347"/>
      <c r="P110" s="340"/>
      <c r="Q110" s="348"/>
      <c r="R110" s="340"/>
      <c r="S110" s="349"/>
      <c r="T110" s="340"/>
      <c r="U110" s="350"/>
      <c r="V110" s="340"/>
      <c r="W110" s="351"/>
      <c r="X110" s="340"/>
      <c r="Y110" s="352"/>
      <c r="Z110" s="340"/>
      <c r="AA110" s="353"/>
      <c r="AB110" s="340"/>
    </row>
    <row r="111" spans="1:33" s="70" customFormat="1" ht="15" customHeight="1" x14ac:dyDescent="0.25">
      <c r="A111" s="79" t="s">
        <v>96</v>
      </c>
      <c r="B111" s="58">
        <f>900+1800</f>
        <v>2700</v>
      </c>
      <c r="C111" s="149">
        <f>B111/B112*100</f>
        <v>100</v>
      </c>
      <c r="D111" s="58">
        <v>2025</v>
      </c>
      <c r="E111" s="92">
        <f>D111/D112*100</f>
        <v>100</v>
      </c>
      <c r="F111" s="58"/>
      <c r="G111" s="92"/>
      <c r="H111" s="58">
        <v>900</v>
      </c>
      <c r="I111" s="149">
        <f>H111/H112*100</f>
        <v>100</v>
      </c>
      <c r="J111" s="233"/>
      <c r="K111" s="149"/>
      <c r="L111" s="58"/>
      <c r="M111" s="149"/>
      <c r="N111" s="144"/>
      <c r="O111" s="58">
        <v>1350</v>
      </c>
      <c r="P111" s="149">
        <f>O111/O112*100</f>
        <v>100</v>
      </c>
      <c r="Q111" s="157">
        <v>4500</v>
      </c>
      <c r="R111" s="92">
        <f>Q111/Q112*100</f>
        <v>100</v>
      </c>
      <c r="S111" s="58">
        <v>1350</v>
      </c>
      <c r="T111" s="149">
        <f>S111/S112*100</f>
        <v>100</v>
      </c>
      <c r="U111" s="58"/>
      <c r="V111" s="149"/>
      <c r="W111" s="58">
        <v>8100</v>
      </c>
      <c r="X111" s="149">
        <f>W111/W112*100</f>
        <v>100</v>
      </c>
      <c r="Y111" s="58">
        <v>6975</v>
      </c>
      <c r="Z111" s="149">
        <f>Y111/Y112*100</f>
        <v>100</v>
      </c>
      <c r="AA111" s="52">
        <f>B111+D111+F111+H111+J111+L111+Q111+O111+S111+U111+W111+Y111</f>
        <v>27900</v>
      </c>
      <c r="AB111" s="88">
        <f>AA111/AA112*100</f>
        <v>100</v>
      </c>
    </row>
    <row r="112" spans="1:33" s="70" customFormat="1" ht="15" customHeight="1" x14ac:dyDescent="0.25">
      <c r="A112" s="68" t="s">
        <v>70</v>
      </c>
      <c r="B112" s="71">
        <f>SUM(B111)</f>
        <v>2700</v>
      </c>
      <c r="C112" s="95">
        <f>SUM(C110:C111)</f>
        <v>100</v>
      </c>
      <c r="D112" s="71">
        <f>SUM(D111:D111)</f>
        <v>2025</v>
      </c>
      <c r="E112" s="95">
        <f>SUM(E110:E111)</f>
        <v>100</v>
      </c>
      <c r="F112" s="71">
        <f>SUM(F111)</f>
        <v>0</v>
      </c>
      <c r="G112" s="95">
        <f t="shared" ref="G112:I112" si="33">SUM(G110:G111)</f>
        <v>0</v>
      </c>
      <c r="H112" s="71">
        <f>SUM(H111)</f>
        <v>900</v>
      </c>
      <c r="I112" s="95">
        <f t="shared" si="33"/>
        <v>100</v>
      </c>
      <c r="J112" s="232">
        <f>SUM(J111)</f>
        <v>0</v>
      </c>
      <c r="K112" s="95">
        <f>SUM(K111)</f>
        <v>0</v>
      </c>
      <c r="L112" s="71">
        <f>SUM(L111)</f>
        <v>0</v>
      </c>
      <c r="M112" s="95">
        <f>SUM(M111)</f>
        <v>0</v>
      </c>
      <c r="N112" s="262"/>
      <c r="O112" s="71">
        <f>SUM(O111)</f>
        <v>1350</v>
      </c>
      <c r="P112" s="95">
        <f>SUM(P110:P111)</f>
        <v>100</v>
      </c>
      <c r="Q112" s="71">
        <f>SUM(Q111)</f>
        <v>4500</v>
      </c>
      <c r="R112" s="95">
        <f>SUM(R111)</f>
        <v>100</v>
      </c>
      <c r="S112" s="71">
        <f>SUM(S111)</f>
        <v>1350</v>
      </c>
      <c r="T112" s="95">
        <f>SUM(T111)</f>
        <v>100</v>
      </c>
      <c r="U112" s="71">
        <f t="shared" ref="U112:X112" si="34">SUM(U110:U111)</f>
        <v>0</v>
      </c>
      <c r="V112" s="95">
        <f t="shared" si="34"/>
        <v>0</v>
      </c>
      <c r="W112" s="71">
        <f>SUM(W111)</f>
        <v>8100</v>
      </c>
      <c r="X112" s="95">
        <f t="shared" si="34"/>
        <v>100</v>
      </c>
      <c r="Y112" s="71">
        <f>SUM(Y111:Y111)</f>
        <v>6975</v>
      </c>
      <c r="Z112" s="95">
        <f>SUM(Z110:Z111)</f>
        <v>100</v>
      </c>
      <c r="AA112" s="71">
        <f>SUM(AA111)</f>
        <v>27900</v>
      </c>
      <c r="AB112" s="95">
        <f>SUM(AB110:AB111)</f>
        <v>100</v>
      </c>
      <c r="AD112" s="90">
        <f>B112+D112+F112+H112+J112+L112+Q112+O112+S112+U112+W112+Y112</f>
        <v>27900</v>
      </c>
      <c r="AG112" s="289"/>
    </row>
    <row r="113" spans="1:33" s="322" customFormat="1" ht="15.75" x14ac:dyDescent="0.25">
      <c r="A113" s="323" t="s">
        <v>101</v>
      </c>
      <c r="B113" s="324"/>
      <c r="C113" s="315"/>
      <c r="D113" s="325"/>
      <c r="E113" s="315"/>
      <c r="F113" s="326"/>
      <c r="G113" s="315"/>
      <c r="H113" s="327"/>
      <c r="I113" s="315"/>
      <c r="J113" s="328"/>
      <c r="K113" s="315"/>
      <c r="L113" s="329"/>
      <c r="M113" s="329"/>
      <c r="N113" s="313"/>
      <c r="O113" s="314"/>
      <c r="P113" s="315"/>
      <c r="Q113" s="316"/>
      <c r="R113" s="315"/>
      <c r="S113" s="317"/>
      <c r="T113" s="315"/>
      <c r="U113" s="318"/>
      <c r="V113" s="315"/>
      <c r="W113" s="319"/>
      <c r="X113" s="315"/>
      <c r="Y113" s="320"/>
      <c r="Z113" s="315"/>
      <c r="AA113" s="321"/>
      <c r="AB113" s="315"/>
      <c r="AD113" s="337"/>
    </row>
    <row r="114" spans="1:33" s="70" customFormat="1" x14ac:dyDescent="0.25">
      <c r="A114" s="79" t="s">
        <v>139</v>
      </c>
      <c r="B114" s="58"/>
      <c r="C114" s="149"/>
      <c r="D114" s="58"/>
      <c r="E114" s="92"/>
      <c r="F114" s="58"/>
      <c r="G114" s="92"/>
      <c r="H114" s="58"/>
      <c r="I114" s="149"/>
      <c r="J114" s="58"/>
      <c r="K114" s="149"/>
      <c r="L114" s="58">
        <v>2340</v>
      </c>
      <c r="M114" s="149">
        <f>L114/L115*100</f>
        <v>100</v>
      </c>
      <c r="N114" s="144"/>
      <c r="O114" s="58">
        <v>12375</v>
      </c>
      <c r="P114" s="185">
        <f>O114/O115*100</f>
        <v>100</v>
      </c>
      <c r="Q114" s="58">
        <v>18855</v>
      </c>
      <c r="R114" s="149">
        <f>Q114/Q115*100</f>
        <v>100</v>
      </c>
      <c r="S114" s="58">
        <v>16065</v>
      </c>
      <c r="T114" s="185">
        <f>S114/S115*100</f>
        <v>100</v>
      </c>
      <c r="U114" s="58">
        <v>5445</v>
      </c>
      <c r="V114" s="149">
        <f>U114/U115*100</f>
        <v>100</v>
      </c>
      <c r="W114" s="58">
        <v>6480</v>
      </c>
      <c r="X114" s="149">
        <f>W114/W115*100</f>
        <v>100</v>
      </c>
      <c r="Y114" s="58">
        <v>4815</v>
      </c>
      <c r="Z114" s="186">
        <f>Y114/Y115*100</f>
        <v>100</v>
      </c>
      <c r="AA114" s="52">
        <f>B114+D114+F114+H114+J114+L114+Q114+O114+S114+U114+W114+Y114</f>
        <v>66375</v>
      </c>
      <c r="AB114" s="88">
        <v>0</v>
      </c>
      <c r="AD114" s="90"/>
      <c r="AG114" s="289"/>
    </row>
    <row r="115" spans="1:33" s="70" customFormat="1" x14ac:dyDescent="0.25">
      <c r="A115" s="97" t="s">
        <v>70</v>
      </c>
      <c r="B115" s="98">
        <f>SUM(B114:B114)</f>
        <v>0</v>
      </c>
      <c r="C115" s="99">
        <f>SUM(C114:C114)</f>
        <v>0</v>
      </c>
      <c r="D115" s="98">
        <f>SUM(D114:D114)</f>
        <v>0</v>
      </c>
      <c r="E115" s="99">
        <f>SUM(E113:E114)</f>
        <v>0</v>
      </c>
      <c r="F115" s="98">
        <f>SUM(F114:F114)</f>
        <v>0</v>
      </c>
      <c r="G115" s="99">
        <f>SUM(G114:G114)</f>
        <v>0</v>
      </c>
      <c r="H115" s="98">
        <f>SUM(H114:H114)</f>
        <v>0</v>
      </c>
      <c r="I115" s="99">
        <f>SUM(I113:I114)</f>
        <v>0</v>
      </c>
      <c r="J115" s="98">
        <f>SUM(J113:J114)</f>
        <v>0</v>
      </c>
      <c r="K115" s="99">
        <f>SUM(K113:K114)</f>
        <v>0</v>
      </c>
      <c r="L115" s="98">
        <f>SUM(L114:L114)</f>
        <v>2340</v>
      </c>
      <c r="M115" s="99">
        <f>SUM(M114)</f>
        <v>100</v>
      </c>
      <c r="N115" s="144"/>
      <c r="O115" s="98">
        <f>SUM(O114)</f>
        <v>12375</v>
      </c>
      <c r="P115" s="99">
        <f t="shared" ref="P115" si="35">SUM(P114:P114)</f>
        <v>100</v>
      </c>
      <c r="Q115" s="98">
        <f>SUM(Q114)</f>
        <v>18855</v>
      </c>
      <c r="R115" s="99">
        <f>SUM(R114:R114)</f>
        <v>100</v>
      </c>
      <c r="S115" s="98">
        <f>SUM(S114)</f>
        <v>16065</v>
      </c>
      <c r="T115" s="99">
        <f>SUM(T114)</f>
        <v>100</v>
      </c>
      <c r="U115" s="98">
        <f t="shared" ref="U115:Y115" si="36">SUM(U114:U114)</f>
        <v>5445</v>
      </c>
      <c r="V115" s="99">
        <f t="shared" si="36"/>
        <v>100</v>
      </c>
      <c r="W115" s="98">
        <f t="shared" si="36"/>
        <v>6480</v>
      </c>
      <c r="X115" s="99">
        <f t="shared" si="36"/>
        <v>100</v>
      </c>
      <c r="Y115" s="98">
        <f t="shared" si="36"/>
        <v>4815</v>
      </c>
      <c r="Z115" s="194">
        <f>SUM(Z113:Z114)</f>
        <v>100</v>
      </c>
      <c r="AA115" s="98">
        <f>SUM(AA114:AA114)</f>
        <v>66375</v>
      </c>
      <c r="AB115" s="99">
        <f>SUM(AB114:AB114)</f>
        <v>0</v>
      </c>
      <c r="AD115" s="90">
        <f>B115+D115+F115+H115+J115+L115+Q115+O115+S115+U115+W115+Y115</f>
        <v>66375</v>
      </c>
      <c r="AG115" s="289"/>
    </row>
    <row r="116" spans="1:33" s="322" customFormat="1" ht="15.75" x14ac:dyDescent="0.25">
      <c r="A116" s="323" t="s">
        <v>115</v>
      </c>
      <c r="B116" s="324"/>
      <c r="C116" s="315"/>
      <c r="D116" s="325"/>
      <c r="E116" s="315"/>
      <c r="F116" s="326"/>
      <c r="G116" s="315"/>
      <c r="H116" s="327"/>
      <c r="I116" s="315"/>
      <c r="J116" s="328"/>
      <c r="K116" s="332"/>
      <c r="L116" s="329"/>
      <c r="M116" s="329"/>
      <c r="O116" s="317"/>
      <c r="P116" s="315"/>
      <c r="Q116" s="314"/>
      <c r="R116" s="315"/>
      <c r="S116" s="317"/>
      <c r="T116" s="315"/>
      <c r="U116" s="318"/>
      <c r="V116" s="315"/>
      <c r="W116" s="319"/>
      <c r="X116" s="315"/>
      <c r="Y116" s="320"/>
      <c r="Z116" s="315"/>
      <c r="AA116" s="321"/>
      <c r="AB116" s="315"/>
    </row>
    <row r="117" spans="1:33" s="70" customFormat="1" x14ac:dyDescent="0.25">
      <c r="A117" s="79" t="s">
        <v>97</v>
      </c>
      <c r="B117" s="58">
        <f>3555+2475</f>
        <v>6030</v>
      </c>
      <c r="C117" s="149">
        <f>B117/B118*100</f>
        <v>100</v>
      </c>
      <c r="D117" s="58">
        <f>9405+15345+7965</f>
        <v>32715</v>
      </c>
      <c r="E117" s="92">
        <f>D117/D118*100</f>
        <v>100</v>
      </c>
      <c r="F117" s="58">
        <f>22140+5400+7920+32310</f>
        <v>67770</v>
      </c>
      <c r="G117" s="92">
        <f>F117/F118*100</f>
        <v>100</v>
      </c>
      <c r="H117" s="58">
        <f>4095+1800+53100</f>
        <v>58995</v>
      </c>
      <c r="I117" s="92">
        <f>H117/H118*100</f>
        <v>100</v>
      </c>
      <c r="J117" s="58">
        <f>26775+77040</f>
        <v>103815</v>
      </c>
      <c r="K117" s="92">
        <f>J117/J118*100</f>
        <v>100</v>
      </c>
      <c r="L117" s="58">
        <f>21375+17325+75870</f>
        <v>114570</v>
      </c>
      <c r="M117" s="149">
        <f>L117/L118*100</f>
        <v>100</v>
      </c>
      <c r="N117" s="147"/>
      <c r="O117" s="58">
        <f>17280+94770</f>
        <v>112050</v>
      </c>
      <c r="P117" s="149">
        <f>O117/O118*100</f>
        <v>100</v>
      </c>
      <c r="Q117" s="58">
        <f>1710+11655+6525</f>
        <v>19890</v>
      </c>
      <c r="R117" s="149">
        <f>Q117/Q118*100</f>
        <v>100</v>
      </c>
      <c r="S117" s="58">
        <f>2250+47070</f>
        <v>49320</v>
      </c>
      <c r="T117" s="149">
        <f>S117/S118*100</f>
        <v>100</v>
      </c>
      <c r="U117" s="58">
        <f>6210+27000</f>
        <v>33210</v>
      </c>
      <c r="V117" s="149">
        <f>U117/U118*100</f>
        <v>100</v>
      </c>
      <c r="W117" s="58">
        <f>16920+59175</f>
        <v>76095</v>
      </c>
      <c r="X117" s="149">
        <f>W117/W118*100</f>
        <v>100</v>
      </c>
      <c r="Y117" s="58">
        <f>6750+9000</f>
        <v>15750</v>
      </c>
      <c r="Z117" s="149">
        <f>Y117/Y118*100</f>
        <v>100</v>
      </c>
      <c r="AA117" s="52">
        <f>B117+D117+F117+H117+J117+L117+Q117+O117+S117+U117+W117+Y117</f>
        <v>690210</v>
      </c>
      <c r="AB117" s="88">
        <f>AA117/AA118*100</f>
        <v>100</v>
      </c>
      <c r="AD117" s="227"/>
    </row>
    <row r="118" spans="1:33" s="70" customFormat="1" x14ac:dyDescent="0.25">
      <c r="A118" s="68" t="s">
        <v>70</v>
      </c>
      <c r="B118" s="71">
        <f>SUM(B117)</f>
        <v>6030</v>
      </c>
      <c r="C118" s="95">
        <f t="shared" ref="C118:G118" si="37">SUM(C117:C117)</f>
        <v>100</v>
      </c>
      <c r="D118" s="71">
        <f>SUM(D117)</f>
        <v>32715</v>
      </c>
      <c r="E118" s="95">
        <f t="shared" si="37"/>
        <v>100</v>
      </c>
      <c r="F118" s="71">
        <f>SUM(F117)</f>
        <v>67770</v>
      </c>
      <c r="G118" s="95">
        <f t="shared" si="37"/>
        <v>100</v>
      </c>
      <c r="H118" s="71">
        <f>SUM(H117)</f>
        <v>58995</v>
      </c>
      <c r="I118" s="95">
        <f>SUM(I117:I117)</f>
        <v>100</v>
      </c>
      <c r="J118" s="71">
        <f>SUM(J117)</f>
        <v>103815</v>
      </c>
      <c r="K118" s="95">
        <f>SUM(K117:K117)</f>
        <v>100</v>
      </c>
      <c r="L118" s="71">
        <f>SUM(L117)</f>
        <v>114570</v>
      </c>
      <c r="M118" s="95">
        <f>SUM(M117)</f>
        <v>100</v>
      </c>
      <c r="N118" s="147"/>
      <c r="O118" s="71">
        <f>SUM(O117)</f>
        <v>112050</v>
      </c>
      <c r="P118" s="95">
        <f t="shared" ref="P118" si="38">SUM(P117:P117)</f>
        <v>100</v>
      </c>
      <c r="Q118" s="71">
        <f>SUM(Q117)</f>
        <v>19890</v>
      </c>
      <c r="R118" s="95">
        <f>SUM(R117:R117)</f>
        <v>100</v>
      </c>
      <c r="S118" s="71">
        <f>SUM(S117)</f>
        <v>49320</v>
      </c>
      <c r="T118" s="95">
        <f>SUM(T117)</f>
        <v>100</v>
      </c>
      <c r="U118" s="71">
        <f t="shared" ref="U118:Z118" si="39">SUM(U117:U117)</f>
        <v>33210</v>
      </c>
      <c r="V118" s="95">
        <f t="shared" si="39"/>
        <v>100</v>
      </c>
      <c r="W118" s="71">
        <f>SUM(W117)</f>
        <v>76095</v>
      </c>
      <c r="X118" s="95">
        <f t="shared" si="39"/>
        <v>100</v>
      </c>
      <c r="Y118" s="71">
        <f>SUM(Y117)</f>
        <v>15750</v>
      </c>
      <c r="Z118" s="95">
        <f t="shared" si="39"/>
        <v>100</v>
      </c>
      <c r="AA118" s="71">
        <f>SUM(AA117)</f>
        <v>690210</v>
      </c>
      <c r="AB118" s="95">
        <f>SUM(AB117:AB117)</f>
        <v>100</v>
      </c>
      <c r="AD118" s="90">
        <f>B118+D118+F118+H118+J118+L118+Q118+O118+S118+U118+W118+Y118</f>
        <v>690210</v>
      </c>
      <c r="AG118" s="289"/>
    </row>
    <row r="119" spans="1:33" s="322" customFormat="1" x14ac:dyDescent="0.25">
      <c r="A119" s="354" t="s">
        <v>110</v>
      </c>
      <c r="B119" s="324"/>
      <c r="C119" s="315"/>
      <c r="D119" s="325"/>
      <c r="E119" s="315"/>
      <c r="F119" s="326"/>
      <c r="G119" s="315"/>
      <c r="H119" s="327"/>
      <c r="I119" s="315"/>
      <c r="J119" s="355"/>
      <c r="K119" s="356"/>
      <c r="L119" s="329"/>
      <c r="M119" s="329"/>
      <c r="O119" s="317"/>
      <c r="P119" s="315"/>
      <c r="Q119" s="314"/>
      <c r="R119" s="315"/>
      <c r="S119" s="317"/>
      <c r="T119" s="315"/>
      <c r="U119" s="318"/>
      <c r="V119" s="315"/>
      <c r="W119" s="319"/>
      <c r="X119" s="315"/>
      <c r="Y119" s="320"/>
      <c r="Z119" s="315"/>
      <c r="AA119" s="321"/>
      <c r="AB119" s="315"/>
    </row>
    <row r="120" spans="1:33" s="70" customFormat="1" x14ac:dyDescent="0.25">
      <c r="A120" s="79" t="s">
        <v>111</v>
      </c>
      <c r="B120" s="58">
        <v>276975</v>
      </c>
      <c r="C120" s="149">
        <f>B120/B121*100</f>
        <v>100</v>
      </c>
      <c r="D120" s="58">
        <v>367560</v>
      </c>
      <c r="E120" s="149">
        <f>D120/D121*100</f>
        <v>100</v>
      </c>
      <c r="F120" s="58">
        <f>264465+1800</f>
        <v>266265</v>
      </c>
      <c r="G120" s="149">
        <f>F120/F121*100</f>
        <v>100</v>
      </c>
      <c r="H120" s="58">
        <v>186075</v>
      </c>
      <c r="I120" s="149">
        <f>H120/H121*100</f>
        <v>100</v>
      </c>
      <c r="J120" s="233">
        <f>540+282960</f>
        <v>283500</v>
      </c>
      <c r="K120" s="149">
        <f>J120/J121*100</f>
        <v>100</v>
      </c>
      <c r="L120" s="233">
        <v>195975</v>
      </c>
      <c r="M120" s="149">
        <f>L120/L121*100</f>
        <v>100</v>
      </c>
      <c r="N120" s="147"/>
      <c r="O120" s="58">
        <v>228105</v>
      </c>
      <c r="P120" s="149">
        <f>O120/O121*100</f>
        <v>100</v>
      </c>
      <c r="Q120" s="58">
        <v>230850</v>
      </c>
      <c r="R120" s="149">
        <f>Q120/Q121*100</f>
        <v>100</v>
      </c>
      <c r="S120" s="58">
        <f>159705</f>
        <v>159705</v>
      </c>
      <c r="T120" s="149">
        <f>S120/S121*100</f>
        <v>100</v>
      </c>
      <c r="U120" s="58">
        <f>162990</f>
        <v>162990</v>
      </c>
      <c r="V120" s="149">
        <f>U120/U121*100</f>
        <v>100</v>
      </c>
      <c r="W120" s="58">
        <v>125910</v>
      </c>
      <c r="X120" s="149">
        <f>W120/W121*100</f>
        <v>100</v>
      </c>
      <c r="Y120" s="58">
        <v>131490</v>
      </c>
      <c r="Z120" s="149">
        <f>Y120/Y121*100</f>
        <v>100</v>
      </c>
      <c r="AA120" s="52">
        <f>B120+D120+F120+H120+J120+L120+Q120+O120+S120+U120+W120+Y120</f>
        <v>2615400</v>
      </c>
      <c r="AB120" s="149">
        <f>AA120/AA121*100</f>
        <v>100</v>
      </c>
    </row>
    <row r="121" spans="1:33" s="70" customFormat="1" x14ac:dyDescent="0.25">
      <c r="A121" s="68" t="s">
        <v>70</v>
      </c>
      <c r="B121" s="71">
        <f>SUM(B120)</f>
        <v>276975</v>
      </c>
      <c r="C121" s="95">
        <f>SUM(C119:C120)</f>
        <v>100</v>
      </c>
      <c r="D121" s="71">
        <f>SUM(D120)</f>
        <v>367560</v>
      </c>
      <c r="E121" s="95">
        <f>SUM(E119:E120)</f>
        <v>100</v>
      </c>
      <c r="F121" s="71">
        <f>SUM(F120)</f>
        <v>266265</v>
      </c>
      <c r="G121" s="95">
        <f>SUM(G119:G120)</f>
        <v>100</v>
      </c>
      <c r="H121" s="71">
        <f>SUM(H120)</f>
        <v>186075</v>
      </c>
      <c r="I121" s="95">
        <f>SUM(I119:I120)</f>
        <v>100</v>
      </c>
      <c r="J121" s="232">
        <f>SUM(J120)</f>
        <v>283500</v>
      </c>
      <c r="K121" s="95">
        <f>SUM(K119:K120)</f>
        <v>100</v>
      </c>
      <c r="L121" s="71">
        <f>SUM(L120)</f>
        <v>195975</v>
      </c>
      <c r="M121" s="95">
        <f>SUM(M120)</f>
        <v>100</v>
      </c>
      <c r="N121" s="147"/>
      <c r="O121" s="71">
        <f>SUM(O120)</f>
        <v>228105</v>
      </c>
      <c r="P121" s="95">
        <f>SUM(P119:P120)</f>
        <v>100</v>
      </c>
      <c r="Q121" s="71">
        <f>SUM(Q120)</f>
        <v>230850</v>
      </c>
      <c r="R121" s="95">
        <f>SUM(R119:R120)</f>
        <v>100</v>
      </c>
      <c r="S121" s="71">
        <f>SUM(S120)</f>
        <v>159705</v>
      </c>
      <c r="T121" s="95">
        <f>SUM(T120)</f>
        <v>100</v>
      </c>
      <c r="U121" s="71">
        <f t="shared" ref="U121" si="40">SUM(U119:U120)</f>
        <v>162990</v>
      </c>
      <c r="V121" s="95">
        <f>SUM(V119:V120)</f>
        <v>100</v>
      </c>
      <c r="W121" s="71">
        <f>SUM(W120)</f>
        <v>125910</v>
      </c>
      <c r="X121" s="95">
        <f>SUM(X119:X120)</f>
        <v>100</v>
      </c>
      <c r="Y121" s="71">
        <f>SUM(Y120)</f>
        <v>131490</v>
      </c>
      <c r="Z121" s="95">
        <f>SUM(Z119:Z120)</f>
        <v>100</v>
      </c>
      <c r="AA121" s="71">
        <f>SUM(AA120)</f>
        <v>2615400</v>
      </c>
      <c r="AB121" s="95">
        <f>SUM(AB119:AB120)</f>
        <v>100</v>
      </c>
      <c r="AD121" s="90">
        <f>B121+D121+F121+H121+J121+L121+Q121+O121+S121+U121+W121+Y121</f>
        <v>2615400</v>
      </c>
      <c r="AG121" s="289"/>
    </row>
    <row r="122" spans="1:33" s="322" customFormat="1" x14ac:dyDescent="0.25">
      <c r="A122" s="354" t="s">
        <v>132</v>
      </c>
      <c r="B122" s="324"/>
      <c r="C122" s="315"/>
      <c r="D122" s="325"/>
      <c r="E122" s="315"/>
      <c r="F122" s="326"/>
      <c r="G122" s="315"/>
      <c r="H122" s="327"/>
      <c r="I122" s="315"/>
      <c r="J122" s="355"/>
      <c r="K122" s="356"/>
      <c r="L122" s="329"/>
      <c r="M122" s="329"/>
      <c r="O122" s="314"/>
      <c r="P122" s="315"/>
      <c r="Q122" s="316"/>
      <c r="R122" s="315"/>
      <c r="S122" s="317"/>
      <c r="T122" s="315"/>
      <c r="U122" s="318"/>
      <c r="V122" s="315"/>
      <c r="W122" s="319"/>
      <c r="X122" s="315"/>
      <c r="Y122" s="320"/>
      <c r="Z122" s="315"/>
      <c r="AA122" s="321"/>
      <c r="AB122" s="315"/>
    </row>
    <row r="123" spans="1:33" s="70" customFormat="1" x14ac:dyDescent="0.25">
      <c r="A123" s="195" t="s">
        <v>124</v>
      </c>
      <c r="B123" s="71"/>
      <c r="C123" s="95"/>
      <c r="D123" s="71"/>
      <c r="E123" s="95"/>
      <c r="F123" s="71"/>
      <c r="G123" s="95"/>
      <c r="H123" s="71"/>
      <c r="I123" s="95"/>
      <c r="J123" s="72"/>
      <c r="K123" s="88"/>
      <c r="L123" s="71"/>
      <c r="M123" s="95"/>
      <c r="N123" s="147"/>
      <c r="O123" s="72"/>
      <c r="P123" s="88"/>
      <c r="Q123" s="72"/>
      <c r="R123" s="88"/>
      <c r="S123" s="72"/>
      <c r="T123" s="88"/>
      <c r="U123" s="72"/>
      <c r="V123" s="88"/>
      <c r="W123" s="72"/>
      <c r="X123" s="88"/>
      <c r="Y123" s="72"/>
      <c r="Z123" s="88"/>
      <c r="AA123" s="52">
        <f>B123+D123+F123+H123+J123+L123+Q123+O123+S123+U123+W123+Y123</f>
        <v>0</v>
      </c>
      <c r="AB123" s="88"/>
      <c r="AD123" s="90"/>
    </row>
    <row r="124" spans="1:33" s="70" customFormat="1" x14ac:dyDescent="0.25">
      <c r="A124" s="195"/>
      <c r="B124" s="71"/>
      <c r="C124" s="95"/>
      <c r="D124" s="71"/>
      <c r="E124" s="95"/>
      <c r="F124" s="71"/>
      <c r="G124" s="95"/>
      <c r="H124" s="71"/>
      <c r="I124" s="95"/>
      <c r="J124" s="71">
        <f>SUM(J123)</f>
        <v>0</v>
      </c>
      <c r="K124" s="95">
        <f>SUM(K123)</f>
        <v>0</v>
      </c>
      <c r="L124" s="71"/>
      <c r="M124" s="95"/>
      <c r="N124" s="147"/>
      <c r="O124" s="71"/>
      <c r="P124" s="95"/>
      <c r="Q124" s="71">
        <f>SUM(Q123)</f>
        <v>0</v>
      </c>
      <c r="R124" s="95">
        <f>SUM(R123)</f>
        <v>0</v>
      </c>
      <c r="S124" s="71"/>
      <c r="T124" s="95"/>
      <c r="U124" s="71"/>
      <c r="V124" s="95"/>
      <c r="W124" s="71"/>
      <c r="X124" s="95"/>
      <c r="Y124" s="71"/>
      <c r="Z124" s="95"/>
      <c r="AA124" s="71"/>
      <c r="AB124" s="95"/>
      <c r="AD124" s="90"/>
    </row>
    <row r="125" spans="1:33" s="70" customFormat="1" ht="20.25" x14ac:dyDescent="0.3">
      <c r="A125" s="108" t="s">
        <v>60</v>
      </c>
      <c r="B125" s="112">
        <f>B30+B51+B63+B67+B78+B83+B86+B89+B92+B95+B99+B112+B118+B121</f>
        <v>1339515</v>
      </c>
      <c r="C125" s="110"/>
      <c r="D125" s="182">
        <f>D30+D51+D63+D67+D78+D83+D86+D89+D92+D99+D112+D118+D121</f>
        <v>1537560</v>
      </c>
      <c r="E125" s="112"/>
      <c r="F125" s="112">
        <f>F30+F51+F63+F67+F78+F83+F86+F89+F92+F95+F99+F103+F118+F121</f>
        <v>1621935</v>
      </c>
      <c r="G125" s="112"/>
      <c r="H125" s="112">
        <f>H30+H51+H63+H67+H78+H83+H86+H89+H92+H99+H112+H118+H121</f>
        <v>1452510</v>
      </c>
      <c r="I125" s="110"/>
      <c r="J125" s="182">
        <f>J30+J51+J63+J67+J78+J83+J86+J89+J92+J95+J99+J103+J118+J121</f>
        <v>1601775</v>
      </c>
      <c r="K125" s="110"/>
      <c r="L125" s="112">
        <f>L30+L51+L63+L67+L78+L83+L86+L89+L92+L95+L99+L115+L118+L121</f>
        <v>1426635</v>
      </c>
      <c r="M125" s="109"/>
      <c r="N125" s="147"/>
      <c r="O125" s="112">
        <f>O30+O51+O63+O67+O78+O83+O86+O89+O95+O99+O112+O115+O118+O121</f>
        <v>1427580</v>
      </c>
      <c r="P125" s="110"/>
      <c r="Q125" s="112">
        <f>Q30+Q51+Q63+Q67+Q78+Q83+Q86+Q89+Q99+Q103+Q112+Q115+Q118+Q121</f>
        <v>1440900</v>
      </c>
      <c r="R125" s="110"/>
      <c r="S125" s="112">
        <f>S30+S51+S63+S67+S78+S83+S86+S89+S92+S95+S99+S112+S115+S118+S121</f>
        <v>1291050</v>
      </c>
      <c r="T125" s="110"/>
      <c r="U125" s="112">
        <f>U30+U51+U63+U67+U83+U86+U89+U99+U115+U118+U121</f>
        <v>1275840</v>
      </c>
      <c r="V125" s="110"/>
      <c r="W125" s="112">
        <f>W30+W51+W63+W67+W78+W83+W86+W89+W92+W99+W112+W115+W118+W121</f>
        <v>1338570</v>
      </c>
      <c r="X125" s="110"/>
      <c r="Y125" s="112">
        <f>Y30+Y51+Y63+Y67+Y78+Y83+Y86+Y89+Y92+Y99+Y112+Y115+Y118+Y121</f>
        <v>1366290</v>
      </c>
      <c r="Z125" s="110"/>
      <c r="AA125" s="113">
        <f>AA30+AA51+AA63+AA67+AA78+AA83+AA86+AA89+AA92+AA95+AA99+AA103+AA112+AA115+AA118+AA121</f>
        <v>17120160</v>
      </c>
      <c r="AB125" s="111"/>
      <c r="AD125" s="90">
        <f>B125+D125+F125+H125+J125+L125+Q125+O125+S125+U125+W125+Y125</f>
        <v>17120160</v>
      </c>
      <c r="AG125" s="183"/>
    </row>
    <row r="126" spans="1:33" x14ac:dyDescent="0.25">
      <c r="B126" s="205"/>
      <c r="D126" s="162"/>
      <c r="E126" s="217"/>
      <c r="F126" s="59"/>
      <c r="H126" s="59"/>
      <c r="I126" s="100"/>
      <c r="J126" s="234"/>
      <c r="N126" s="147"/>
      <c r="O126" s="56"/>
      <c r="P126" s="54"/>
      <c r="Q126" s="159"/>
      <c r="T126" s="159"/>
      <c r="W126" s="159"/>
      <c r="Y126" s="59"/>
      <c r="Z126" s="105"/>
      <c r="AA126" s="159"/>
      <c r="AB126" s="178"/>
      <c r="AC126" s="179"/>
      <c r="AG126" s="179"/>
    </row>
    <row r="127" spans="1:33" x14ac:dyDescent="0.25">
      <c r="A127" s="303" t="s">
        <v>141</v>
      </c>
      <c r="B127" s="304">
        <f>B125/45</f>
        <v>29767</v>
      </c>
      <c r="C127" s="294"/>
      <c r="D127" s="295">
        <f>D125/45</f>
        <v>34168</v>
      </c>
      <c r="E127" s="294"/>
      <c r="F127" s="295">
        <f>F125/45</f>
        <v>36043</v>
      </c>
      <c r="G127" s="294"/>
      <c r="H127" s="295">
        <f>H125/45</f>
        <v>32278</v>
      </c>
      <c r="I127" s="296"/>
      <c r="J127" s="295">
        <f>J125/45</f>
        <v>35595</v>
      </c>
      <c r="K127" s="294"/>
      <c r="L127" s="297">
        <f>L125/45</f>
        <v>31703</v>
      </c>
      <c r="M127" s="298"/>
      <c r="N127" s="299"/>
      <c r="O127" s="300">
        <f>O125/45</f>
        <v>31724</v>
      </c>
      <c r="P127" s="297"/>
      <c r="Q127" s="297">
        <f>Q125/45</f>
        <v>32020</v>
      </c>
      <c r="R127" s="294"/>
      <c r="S127" s="293">
        <f>S125/45</f>
        <v>28690</v>
      </c>
      <c r="T127" s="294"/>
      <c r="U127" s="293">
        <f>U125/45</f>
        <v>28352</v>
      </c>
      <c r="V127" s="294"/>
      <c r="W127" s="293">
        <f>W125/45</f>
        <v>29746</v>
      </c>
      <c r="X127" s="294"/>
      <c r="Y127" s="293">
        <f>Y125/45</f>
        <v>30362</v>
      </c>
      <c r="Z127" s="301"/>
      <c r="AA127" s="302">
        <f>B127+D127+F127+H127+J127+L127+Q127+O127+S127+U127+W127+Y127</f>
        <v>380448</v>
      </c>
      <c r="AB127" s="180"/>
      <c r="AD127" s="90"/>
      <c r="AG127" s="179"/>
    </row>
    <row r="128" spans="1:33" x14ac:dyDescent="0.25">
      <c r="B128" s="59"/>
      <c r="E128" s="177"/>
      <c r="H128" s="247"/>
      <c r="I128" s="100"/>
      <c r="J128" s="205"/>
      <c r="K128" s="177"/>
      <c r="L128" s="205"/>
      <c r="N128" s="147"/>
      <c r="O128" s="287"/>
      <c r="P128" s="147"/>
      <c r="Q128" s="239"/>
      <c r="T128" s="204"/>
      <c r="U128" s="59"/>
      <c r="Y128" s="59"/>
      <c r="Z128" s="100"/>
      <c r="AA128" s="176"/>
      <c r="AB128" s="179"/>
      <c r="AD128" s="179"/>
    </row>
    <row r="129" spans="1:33" s="70" customFormat="1" x14ac:dyDescent="0.25">
      <c r="B129" s="91"/>
      <c r="C129" s="183"/>
      <c r="D129" s="210"/>
      <c r="E129" s="211"/>
      <c r="F129" s="246"/>
      <c r="H129" s="273"/>
      <c r="J129" s="285"/>
      <c r="L129" s="91"/>
      <c r="N129" s="147"/>
      <c r="O129" s="147"/>
      <c r="P129" s="147"/>
      <c r="Q129" s="154"/>
      <c r="S129" s="91"/>
      <c r="U129" s="91"/>
      <c r="W129" s="91"/>
      <c r="Y129" s="183"/>
      <c r="AA129" s="154"/>
      <c r="AB129" s="252"/>
      <c r="AG129" s="289"/>
    </row>
    <row r="130" spans="1:33" x14ac:dyDescent="0.25">
      <c r="B130"/>
      <c r="C130" s="184"/>
      <c r="D130" s="208"/>
      <c r="E130" s="209"/>
      <c r="F130" s="208"/>
      <c r="G130"/>
      <c r="H130" s="184"/>
      <c r="I130" s="219"/>
      <c r="J130" s="184"/>
      <c r="K130"/>
      <c r="L130" s="197"/>
      <c r="M130" s="236"/>
      <c r="N130" s="147"/>
      <c r="O130" s="147"/>
      <c r="P130" s="147"/>
      <c r="Q130"/>
      <c r="R130" s="240"/>
      <c r="S130"/>
      <c r="T130"/>
      <c r="U130"/>
      <c r="V130"/>
      <c r="W130"/>
      <c r="X130"/>
      <c r="Y130" s="53"/>
      <c r="Z130"/>
      <c r="AA130" s="208"/>
      <c r="AB130"/>
    </row>
    <row r="131" spans="1:33" x14ac:dyDescent="0.25">
      <c r="A131" s="34"/>
      <c r="B131" s="59"/>
      <c r="D131" s="207"/>
      <c r="E131" s="212"/>
      <c r="F131" s="213"/>
      <c r="H131" s="248"/>
      <c r="I131" s="59"/>
      <c r="J131" s="59"/>
      <c r="L131" s="235"/>
      <c r="M131" s="236"/>
      <c r="N131" s="147"/>
      <c r="O131" s="147"/>
      <c r="P131" s="147"/>
      <c r="Q131" s="276"/>
      <c r="R131" s="277"/>
    </row>
    <row r="132" spans="1:33" x14ac:dyDescent="0.25">
      <c r="A132" s="34"/>
      <c r="B132" s="59"/>
      <c r="D132" s="207"/>
      <c r="E132" s="212"/>
      <c r="F132" s="213"/>
      <c r="H132" s="248"/>
      <c r="I132" s="59"/>
      <c r="J132" s="59"/>
      <c r="L132" s="235"/>
      <c r="M132" s="236"/>
      <c r="N132" s="147"/>
      <c r="O132" s="147"/>
      <c r="P132" s="147"/>
      <c r="Q132" s="276"/>
      <c r="R132" s="277"/>
    </row>
    <row r="133" spans="1:33" x14ac:dyDescent="0.25">
      <c r="A133" s="34"/>
      <c r="B133" s="59"/>
      <c r="D133" s="207"/>
      <c r="E133" s="59"/>
      <c r="F133" s="59"/>
      <c r="H133" s="248"/>
      <c r="I133" s="59"/>
      <c r="J133" s="59"/>
      <c r="L133" s="235"/>
      <c r="M133" s="236"/>
      <c r="N133" s="147"/>
      <c r="O133" s="147"/>
      <c r="P133" s="147"/>
      <c r="Q133" s="235"/>
      <c r="R133" s="277"/>
    </row>
    <row r="134" spans="1:33" x14ac:dyDescent="0.25">
      <c r="A134" s="34"/>
      <c r="B134" s="59"/>
      <c r="D134" s="207"/>
      <c r="E134"/>
      <c r="F134" s="59"/>
      <c r="H134" s="248"/>
      <c r="I134" s="59"/>
      <c r="J134" s="59"/>
      <c r="L134" s="235"/>
      <c r="M134" s="236"/>
      <c r="N134" s="147"/>
      <c r="O134" s="147"/>
      <c r="P134" s="147"/>
      <c r="Q134" s="235"/>
      <c r="R134" s="277"/>
    </row>
    <row r="135" spans="1:33" x14ac:dyDescent="0.25">
      <c r="A135" s="34"/>
      <c r="B135" s="59"/>
      <c r="C135" s="204"/>
      <c r="D135" s="59"/>
      <c r="F135" s="59"/>
      <c r="H135" s="248"/>
      <c r="I135" s="59"/>
      <c r="J135" s="59"/>
      <c r="L135" s="235"/>
      <c r="M135" s="236"/>
      <c r="N135" s="147"/>
      <c r="O135" s="147"/>
      <c r="P135" s="147"/>
      <c r="Q135" s="242"/>
      <c r="R135" s="277"/>
      <c r="Y135" s="59"/>
      <c r="Z135" s="100"/>
    </row>
    <row r="136" spans="1:33" x14ac:dyDescent="0.25">
      <c r="A136" s="70"/>
      <c r="B136" s="59"/>
      <c r="C136" s="204"/>
      <c r="D136" s="59"/>
      <c r="F136" s="59"/>
      <c r="H136" s="248"/>
      <c r="I136" s="59"/>
      <c r="J136" s="59"/>
      <c r="L136" s="235"/>
      <c r="M136" s="236"/>
      <c r="N136" s="147"/>
      <c r="O136" s="147"/>
      <c r="P136" s="147"/>
      <c r="Q136" s="235"/>
      <c r="R136" s="278"/>
      <c r="Z136" s="100"/>
      <c r="AD136">
        <v>0.67500000000000004</v>
      </c>
    </row>
    <row r="137" spans="1:33" x14ac:dyDescent="0.25">
      <c r="A137" s="70"/>
      <c r="B137" s="59"/>
      <c r="C137" s="204"/>
      <c r="D137" s="59"/>
      <c r="E137" s="177"/>
      <c r="F137" s="59"/>
      <c r="H137" s="248"/>
      <c r="I137" s="59"/>
      <c r="J137" s="59"/>
      <c r="L137" s="235"/>
      <c r="M137" s="237"/>
      <c r="N137" s="147"/>
      <c r="O137" s="147"/>
      <c r="P137" s="147"/>
      <c r="Q137" s="235"/>
      <c r="R137" s="277"/>
      <c r="Z137" s="100"/>
      <c r="AD137">
        <f>3.465+252.18+2.025+2.79+18.225+14.535</f>
        <v>293.22000000000008</v>
      </c>
    </row>
    <row r="138" spans="1:33" x14ac:dyDescent="0.25">
      <c r="A138" s="197"/>
      <c r="B138" s="59"/>
      <c r="C138" s="204"/>
      <c r="D138" s="59"/>
      <c r="F138" s="59"/>
      <c r="H138" s="248"/>
      <c r="I138" s="59"/>
      <c r="J138" s="59"/>
      <c r="L138" s="235"/>
      <c r="M138" s="237"/>
      <c r="N138" s="147"/>
      <c r="O138" s="147"/>
      <c r="P138" s="147"/>
      <c r="R138" s="278"/>
      <c r="Z138" s="100"/>
      <c r="AD138">
        <v>3.8250000000000002</v>
      </c>
    </row>
    <row r="139" spans="1:33" x14ac:dyDescent="0.25">
      <c r="A139" s="197"/>
      <c r="B139" s="59"/>
      <c r="C139" s="204"/>
      <c r="D139" s="59"/>
      <c r="F139" s="59"/>
      <c r="H139" s="248"/>
      <c r="I139" s="59"/>
      <c r="J139" s="59"/>
      <c r="N139" s="147"/>
      <c r="O139" s="147"/>
      <c r="P139" s="147"/>
      <c r="Q139" s="235"/>
      <c r="R139" s="279"/>
      <c r="X139" s="105"/>
      <c r="Z139" s="100"/>
      <c r="AD139">
        <f>6.3+10.395</f>
        <v>16.695</v>
      </c>
    </row>
    <row r="140" spans="1:33" x14ac:dyDescent="0.25">
      <c r="A140" s="197"/>
      <c r="B140" s="59"/>
      <c r="C140" s="204"/>
      <c r="D140" s="59"/>
      <c r="F140" s="59"/>
      <c r="H140" s="248"/>
      <c r="I140" s="59"/>
      <c r="J140" s="59"/>
      <c r="N140" s="147"/>
      <c r="O140" s="147"/>
      <c r="P140" s="147"/>
      <c r="Q140" s="235"/>
      <c r="R140" s="277"/>
      <c r="X140" s="105"/>
      <c r="Z140" s="100"/>
      <c r="AD140">
        <v>62.145000000000003</v>
      </c>
    </row>
    <row r="141" spans="1:33" x14ac:dyDescent="0.25">
      <c r="A141" s="197"/>
      <c r="B141" s="59"/>
      <c r="C141" s="204"/>
      <c r="D141" s="59"/>
      <c r="F141" s="59"/>
      <c r="H141" s="248"/>
      <c r="I141" s="59"/>
      <c r="J141" s="59"/>
      <c r="N141" s="147"/>
      <c r="O141" s="147"/>
      <c r="P141" s="147"/>
      <c r="Q141" s="235"/>
      <c r="R141" s="277"/>
      <c r="X141" s="105"/>
      <c r="Z141" s="100"/>
      <c r="AD141">
        <f>8.28+41.04+77.22</f>
        <v>126.53999999999999</v>
      </c>
    </row>
    <row r="142" spans="1:33" x14ac:dyDescent="0.25">
      <c r="A142" s="197"/>
      <c r="B142" s="59"/>
      <c r="C142" s="204"/>
      <c r="D142" s="59"/>
      <c r="F142" s="59"/>
      <c r="H142" s="248"/>
      <c r="I142" s="59"/>
      <c r="J142" s="59"/>
      <c r="N142" s="147"/>
      <c r="O142" s="147"/>
      <c r="P142" s="147"/>
      <c r="Q142" s="235"/>
      <c r="R142" s="277"/>
      <c r="X142" s="105"/>
      <c r="Z142" s="100"/>
      <c r="AD142">
        <f>43.695+47.97</f>
        <v>91.664999999999992</v>
      </c>
    </row>
    <row r="143" spans="1:33" x14ac:dyDescent="0.25">
      <c r="A143" s="197"/>
      <c r="B143" s="59"/>
      <c r="C143" s="204"/>
      <c r="D143" s="59"/>
      <c r="F143" s="59"/>
      <c r="H143" s="248"/>
      <c r="I143" s="59"/>
      <c r="J143" s="59"/>
      <c r="N143" s="147"/>
      <c r="O143" s="147"/>
      <c r="P143" s="147"/>
      <c r="Q143" s="235"/>
      <c r="R143" s="277"/>
      <c r="X143" s="105"/>
      <c r="Z143" s="100"/>
      <c r="AD143">
        <v>11.295</v>
      </c>
    </row>
    <row r="144" spans="1:33" x14ac:dyDescent="0.25">
      <c r="B144" s="59"/>
      <c r="C144" s="204"/>
      <c r="D144" s="59"/>
      <c r="F144" s="59"/>
      <c r="H144" s="248"/>
      <c r="I144" s="243"/>
      <c r="J144" s="59"/>
      <c r="N144" s="147"/>
      <c r="O144" s="147"/>
      <c r="P144" s="147"/>
      <c r="Q144" s="235"/>
      <c r="R144" s="280"/>
      <c r="AD144">
        <v>2.7450000000000001</v>
      </c>
    </row>
    <row r="145" spans="1:30" x14ac:dyDescent="0.25">
      <c r="A145" s="197"/>
      <c r="B145" s="59"/>
      <c r="C145" s="204"/>
      <c r="D145" s="59"/>
      <c r="F145" s="59"/>
      <c r="H145" s="248"/>
      <c r="I145" s="213"/>
      <c r="J145" s="59"/>
      <c r="N145" s="147"/>
      <c r="O145" s="147"/>
      <c r="P145" s="147"/>
      <c r="R145" s="281"/>
      <c r="AD145" s="244">
        <f>3.375+10.935</f>
        <v>14.31</v>
      </c>
    </row>
    <row r="146" spans="1:30" x14ac:dyDescent="0.25">
      <c r="A146" s="197"/>
      <c r="B146" s="59"/>
      <c r="C146" s="204"/>
      <c r="D146" s="59"/>
      <c r="F146" s="59"/>
      <c r="H146" s="248"/>
      <c r="I146" s="59"/>
      <c r="J146" s="59"/>
      <c r="N146" s="147"/>
      <c r="O146" s="147"/>
      <c r="P146" s="147"/>
      <c r="R146" s="202"/>
      <c r="AD146">
        <v>4.95</v>
      </c>
    </row>
    <row r="147" spans="1:30" x14ac:dyDescent="0.25">
      <c r="A147" s="199"/>
      <c r="B147" s="59"/>
      <c r="C147" s="204"/>
      <c r="D147" s="59"/>
      <c r="F147" s="59"/>
      <c r="H147" s="54"/>
      <c r="I147" s="59"/>
      <c r="J147" s="59"/>
      <c r="N147" s="147"/>
      <c r="O147" s="147"/>
      <c r="P147" s="147"/>
      <c r="Q147" s="200"/>
      <c r="R147" s="201"/>
      <c r="AD147">
        <v>0.67500000000000004</v>
      </c>
    </row>
    <row r="148" spans="1:30" x14ac:dyDescent="0.25">
      <c r="A148" s="197"/>
      <c r="B148" s="59"/>
      <c r="C148" s="204"/>
      <c r="D148" s="59"/>
      <c r="F148" s="59"/>
      <c r="H148" s="54"/>
      <c r="I148" s="59"/>
      <c r="J148" s="59"/>
      <c r="N148" s="147"/>
      <c r="O148" s="147"/>
      <c r="P148" s="147"/>
      <c r="AD148">
        <f>9.675+23.895</f>
        <v>33.57</v>
      </c>
    </row>
    <row r="149" spans="1:30" s="54" customFormat="1" hidden="1" x14ac:dyDescent="0.25">
      <c r="A149" s="34"/>
      <c r="B149" s="59"/>
      <c r="C149" s="204"/>
      <c r="D149" s="59"/>
      <c r="F149" s="59"/>
      <c r="H149"/>
      <c r="I149" s="59"/>
      <c r="J149" s="59"/>
      <c r="L149" s="56"/>
      <c r="M149" s="56"/>
      <c r="N149" s="147"/>
      <c r="O149" s="147"/>
      <c r="P149" s="147"/>
    </row>
    <row r="150" spans="1:30" s="54" customFormat="1" x14ac:dyDescent="0.25">
      <c r="A150" s="34"/>
      <c r="B150" s="59"/>
      <c r="C150" s="204"/>
      <c r="D150" s="59"/>
      <c r="F150" s="59"/>
      <c r="I150" s="59"/>
      <c r="J150" s="59"/>
      <c r="L150" s="56"/>
      <c r="M150" s="56"/>
      <c r="N150" s="147"/>
      <c r="O150" s="147"/>
      <c r="P150" s="147"/>
      <c r="AD150">
        <v>12.824999999999999</v>
      </c>
    </row>
    <row r="151" spans="1:30" x14ac:dyDescent="0.25">
      <c r="A151" s="197"/>
      <c r="B151" s="59"/>
      <c r="C151" s="204"/>
      <c r="D151" s="59"/>
      <c r="E151" s="177"/>
      <c r="F151" s="59"/>
      <c r="H151"/>
      <c r="I151" s="220"/>
      <c r="J151" s="59"/>
      <c r="N151" s="147"/>
      <c r="O151" s="147"/>
      <c r="P151" s="147"/>
      <c r="R151"/>
      <c r="S151"/>
      <c r="T151"/>
      <c r="U151"/>
      <c r="V151"/>
      <c r="W151"/>
      <c r="X151"/>
      <c r="Y151"/>
      <c r="Z151"/>
      <c r="AB151"/>
      <c r="AD151">
        <v>56.835000000000001</v>
      </c>
    </row>
    <row r="152" spans="1:30" x14ac:dyDescent="0.25">
      <c r="A152" s="197"/>
      <c r="B152" s="59"/>
      <c r="C152" s="204"/>
      <c r="D152" s="59"/>
      <c r="F152" s="59"/>
      <c r="G152"/>
      <c r="H152" s="59"/>
      <c r="J152" s="59"/>
      <c r="N152" s="147"/>
      <c r="O152" s="147"/>
      <c r="P152" s="147"/>
      <c r="R152"/>
      <c r="S152"/>
      <c r="T152"/>
      <c r="U152"/>
      <c r="V152"/>
      <c r="W152"/>
      <c r="X152"/>
      <c r="Y152"/>
      <c r="Z152"/>
      <c r="AB152"/>
      <c r="AD152">
        <f>17.55+24.435</f>
        <v>41.984999999999999</v>
      </c>
    </row>
    <row r="153" spans="1:30" x14ac:dyDescent="0.25">
      <c r="A153" s="197"/>
      <c r="B153" s="59"/>
      <c r="C153" s="204"/>
      <c r="D153" s="59"/>
      <c r="F153" s="59"/>
      <c r="G153"/>
      <c r="H153" s="59"/>
      <c r="J153" s="59"/>
      <c r="N153" s="147"/>
      <c r="O153" s="147"/>
      <c r="P153" s="147"/>
      <c r="R153"/>
      <c r="S153"/>
      <c r="T153"/>
      <c r="U153"/>
      <c r="V153"/>
      <c r="W153"/>
      <c r="X153"/>
      <c r="Y153"/>
      <c r="Z153"/>
      <c r="AB153"/>
      <c r="AD153" s="100">
        <v>33.299999999999997</v>
      </c>
    </row>
    <row r="154" spans="1:30" x14ac:dyDescent="0.25">
      <c r="A154" s="197"/>
      <c r="B154" s="59"/>
      <c r="C154" s="204"/>
      <c r="D154" s="59"/>
      <c r="F154" s="59"/>
      <c r="G154"/>
      <c r="H154" s="59"/>
      <c r="J154" s="59"/>
      <c r="N154" s="147"/>
      <c r="O154" s="147"/>
      <c r="P154" s="147"/>
      <c r="R154"/>
      <c r="S154"/>
      <c r="T154"/>
      <c r="U154"/>
      <c r="V154"/>
      <c r="W154"/>
      <c r="X154"/>
      <c r="Y154"/>
      <c r="Z154"/>
      <c r="AB154"/>
      <c r="AD154">
        <v>6.9749999999999996</v>
      </c>
    </row>
    <row r="155" spans="1:30" x14ac:dyDescent="0.25">
      <c r="A155" s="197"/>
      <c r="B155" s="59"/>
      <c r="C155" s="177"/>
      <c r="D155" s="59"/>
      <c r="F155" s="59"/>
      <c r="G155"/>
      <c r="H155" s="59"/>
      <c r="J155" s="59"/>
      <c r="N155" s="147"/>
      <c r="O155" s="147"/>
      <c r="P155" s="147"/>
      <c r="R155"/>
      <c r="S155"/>
      <c r="T155"/>
      <c r="U155"/>
      <c r="V155"/>
      <c r="W155"/>
      <c r="X155"/>
      <c r="Y155"/>
      <c r="Z155"/>
      <c r="AB155"/>
      <c r="AD155" s="100">
        <v>0.9</v>
      </c>
    </row>
    <row r="156" spans="1:30" x14ac:dyDescent="0.25">
      <c r="A156" s="197"/>
      <c r="B156" s="59"/>
      <c r="C156" s="177"/>
      <c r="D156" s="59"/>
      <c r="F156" s="59"/>
      <c r="G156"/>
      <c r="H156" s="59"/>
      <c r="J156" s="59"/>
      <c r="N156" s="147"/>
      <c r="O156" s="147"/>
      <c r="P156" s="147"/>
      <c r="R156"/>
      <c r="S156"/>
      <c r="T156"/>
      <c r="U156"/>
      <c r="V156"/>
      <c r="W156"/>
      <c r="X156"/>
      <c r="Y156"/>
      <c r="Z156"/>
      <c r="AB156"/>
      <c r="AD156">
        <f>16.785+6.12+32.67+1.035+3.825+14.49+7.56+188.82+52.56+0.9+24.525+3.285+25.56+9.135+8.19</f>
        <v>395.46</v>
      </c>
    </row>
    <row r="157" spans="1:30" x14ac:dyDescent="0.25">
      <c r="A157" s="197"/>
      <c r="B157" s="59"/>
      <c r="C157" s="177"/>
      <c r="D157" s="59"/>
      <c r="F157" s="59"/>
      <c r="G157"/>
      <c r="H157" s="59"/>
      <c r="J157" s="59"/>
      <c r="N157" s="147"/>
      <c r="O157" s="147"/>
      <c r="P157" s="147"/>
      <c r="R157"/>
      <c r="S157"/>
      <c r="T157"/>
      <c r="U157"/>
      <c r="V157"/>
      <c r="W157"/>
      <c r="X157"/>
      <c r="Y157"/>
      <c r="Z157"/>
      <c r="AB157"/>
      <c r="AD157" s="244">
        <v>4.8150000000000004</v>
      </c>
    </row>
    <row r="158" spans="1:30" x14ac:dyDescent="0.25">
      <c r="A158" s="197"/>
      <c r="B158" s="59"/>
      <c r="C158" s="177"/>
      <c r="D158" s="59"/>
      <c r="F158" s="59"/>
      <c r="G158"/>
      <c r="H158" s="59"/>
      <c r="J158" s="59"/>
      <c r="N158" s="147"/>
      <c r="O158" s="147"/>
      <c r="P158" s="147"/>
      <c r="R158"/>
      <c r="S158"/>
      <c r="T158"/>
      <c r="U158"/>
      <c r="V158"/>
      <c r="W158"/>
      <c r="X158"/>
      <c r="Y158"/>
      <c r="Z158"/>
      <c r="AB158"/>
      <c r="AD158">
        <v>6.75</v>
      </c>
    </row>
    <row r="159" spans="1:30" x14ac:dyDescent="0.25">
      <c r="A159" s="198"/>
      <c r="B159" s="59"/>
      <c r="D159" s="59"/>
      <c r="F159" s="59"/>
      <c r="H159" s="59"/>
      <c r="J159" s="59"/>
      <c r="N159" s="147"/>
      <c r="O159" s="147"/>
      <c r="P159" s="147"/>
      <c r="Q159"/>
      <c r="R159"/>
      <c r="S159"/>
      <c r="T159"/>
      <c r="U159"/>
      <c r="V159"/>
      <c r="W159"/>
      <c r="X159"/>
      <c r="Y159"/>
      <c r="Z159"/>
      <c r="AB159"/>
      <c r="AD159">
        <v>9</v>
      </c>
    </row>
    <row r="160" spans="1:30" x14ac:dyDescent="0.25">
      <c r="A160" s="197"/>
      <c r="B160" s="59"/>
      <c r="D160" s="59"/>
      <c r="F160" s="59"/>
      <c r="H160" s="59"/>
      <c r="J160" s="59"/>
      <c r="N160" s="147"/>
      <c r="O160" s="147"/>
      <c r="P160" s="147"/>
      <c r="Q160"/>
      <c r="R160"/>
      <c r="S160"/>
      <c r="T160"/>
      <c r="U160"/>
      <c r="V160"/>
      <c r="W160"/>
      <c r="X160"/>
      <c r="Y160"/>
      <c r="Z160"/>
      <c r="AB160"/>
      <c r="AD160">
        <v>3.645</v>
      </c>
    </row>
    <row r="161" spans="1:30" x14ac:dyDescent="0.25">
      <c r="A161" s="34"/>
      <c r="B161" s="59"/>
      <c r="D161" s="59"/>
      <c r="F161" s="59"/>
      <c r="H161" s="59"/>
      <c r="J161" s="59"/>
      <c r="N161" s="147"/>
      <c r="O161" s="147"/>
      <c r="P161" s="147"/>
      <c r="Q161"/>
      <c r="R161"/>
      <c r="S161"/>
      <c r="T161"/>
      <c r="U161"/>
      <c r="V161"/>
      <c r="W161"/>
      <c r="X161"/>
      <c r="Y161"/>
      <c r="Z161"/>
      <c r="AB161"/>
      <c r="AD161">
        <v>131.49</v>
      </c>
    </row>
    <row r="162" spans="1:30" x14ac:dyDescent="0.25">
      <c r="A162" s="34"/>
      <c r="B162" s="59"/>
      <c r="D162" s="59"/>
      <c r="F162" s="59"/>
      <c r="H162" s="59"/>
      <c r="J162" s="59"/>
      <c r="N162" s="147"/>
      <c r="O162" s="147"/>
      <c r="P162" s="147"/>
      <c r="Q162"/>
      <c r="R162"/>
      <c r="S162"/>
      <c r="T162"/>
      <c r="U162"/>
      <c r="V162"/>
      <c r="W162"/>
      <c r="X162"/>
      <c r="Y162"/>
      <c r="Z162"/>
      <c r="AB162"/>
      <c r="AD162" s="292">
        <f>SUM(AD136:AD161)</f>
        <v>1366.29</v>
      </c>
    </row>
    <row r="163" spans="1:30" x14ac:dyDescent="0.25">
      <c r="A163" s="34"/>
      <c r="B163" s="59"/>
      <c r="D163" s="59"/>
      <c r="F163" s="59"/>
      <c r="H163" s="59"/>
      <c r="J163" s="59"/>
      <c r="N163" s="147"/>
      <c r="O163" s="147"/>
      <c r="P163" s="147"/>
      <c r="Q163"/>
      <c r="R163"/>
      <c r="S163"/>
      <c r="T163"/>
      <c r="U163"/>
      <c r="V163"/>
      <c r="W163"/>
      <c r="X163"/>
      <c r="Y163"/>
      <c r="Z163"/>
      <c r="AB163"/>
    </row>
    <row r="164" spans="1:30" x14ac:dyDescent="0.25">
      <c r="A164" s="34"/>
      <c r="B164" s="59"/>
      <c r="D164" s="59"/>
      <c r="F164" s="59"/>
      <c r="H164" s="59"/>
      <c r="J164" s="59"/>
      <c r="Q164"/>
      <c r="R164"/>
      <c r="S164"/>
      <c r="T164"/>
      <c r="U164"/>
      <c r="V164"/>
      <c r="W164"/>
      <c r="X164"/>
      <c r="Y164"/>
      <c r="Z164"/>
      <c r="AB164"/>
    </row>
    <row r="165" spans="1:30" x14ac:dyDescent="0.25">
      <c r="A165" s="34"/>
      <c r="B165" s="59"/>
      <c r="D165" s="59"/>
      <c r="F165" s="59"/>
      <c r="H165" s="59"/>
      <c r="J165" s="59"/>
      <c r="Q165"/>
      <c r="R165"/>
      <c r="S165"/>
      <c r="T165"/>
      <c r="U165"/>
      <c r="V165"/>
      <c r="W165"/>
      <c r="X165"/>
      <c r="Y165"/>
      <c r="Z165"/>
      <c r="AB165"/>
    </row>
    <row r="166" spans="1:30" x14ac:dyDescent="0.25">
      <c r="A166" s="34"/>
      <c r="B166" s="59"/>
      <c r="D166" s="59"/>
      <c r="F166" s="59"/>
      <c r="H166" s="59"/>
      <c r="J166" s="59"/>
      <c r="Q166"/>
      <c r="R166"/>
      <c r="S166"/>
      <c r="T166"/>
      <c r="U166"/>
      <c r="V166"/>
      <c r="W166"/>
      <c r="X166"/>
      <c r="Y166"/>
      <c r="Z166"/>
      <c r="AB166"/>
    </row>
    <row r="167" spans="1:30" x14ac:dyDescent="0.25">
      <c r="A167" s="34"/>
      <c r="B167" s="59"/>
      <c r="D167" s="59"/>
      <c r="F167" s="59"/>
      <c r="H167" s="59"/>
      <c r="J167" s="59"/>
      <c r="Q167"/>
      <c r="R167"/>
      <c r="S167"/>
      <c r="T167"/>
      <c r="U167"/>
      <c r="V167"/>
      <c r="W167"/>
      <c r="X167"/>
      <c r="Y167"/>
      <c r="Z167"/>
      <c r="AB167"/>
    </row>
    <row r="168" spans="1:30" x14ac:dyDescent="0.25">
      <c r="A168" s="54"/>
      <c r="L168" s="53"/>
      <c r="M168" s="54"/>
      <c r="N168" s="263"/>
      <c r="O168" s="263"/>
      <c r="P168" s="263"/>
      <c r="Q168"/>
      <c r="R168"/>
      <c r="S168"/>
      <c r="T168"/>
      <c r="U168"/>
      <c r="V168"/>
      <c r="W168"/>
      <c r="X168"/>
      <c r="Y168"/>
      <c r="Z168"/>
      <c r="AB168"/>
    </row>
    <row r="169" spans="1:30" s="56" customFormat="1" hidden="1" x14ac:dyDescent="0.25">
      <c r="A169" s="34"/>
      <c r="B169" s="59"/>
      <c r="C169" s="54"/>
      <c r="D169" s="59"/>
      <c r="E169" s="54"/>
      <c r="F169" s="59"/>
      <c r="G169" s="54"/>
      <c r="H169" s="59"/>
      <c r="I169" s="54"/>
      <c r="J169" s="59"/>
      <c r="K169" s="54"/>
      <c r="N169" s="266"/>
      <c r="O169" s="266"/>
      <c r="P169" s="266"/>
      <c r="R169" s="54"/>
      <c r="T169" s="54"/>
      <c r="V169" s="54"/>
      <c r="X169" s="54"/>
      <c r="Z169" s="54"/>
      <c r="AA169"/>
      <c r="AB169" s="54"/>
    </row>
    <row r="170" spans="1:30" s="55" customFormat="1" x14ac:dyDescent="0.25">
      <c r="B170" s="60"/>
      <c r="C170" s="102"/>
      <c r="D170" s="60"/>
      <c r="E170" s="102"/>
      <c r="F170" s="60"/>
      <c r="G170" s="102"/>
      <c r="H170" s="60"/>
      <c r="I170" s="102"/>
      <c r="J170" s="60"/>
      <c r="K170" s="102"/>
      <c r="L170" s="60"/>
      <c r="M170" s="102"/>
      <c r="N170" s="267"/>
      <c r="O170" s="267"/>
      <c r="P170" s="267"/>
      <c r="Q170" s="60"/>
      <c r="R170" s="102"/>
      <c r="S170" s="60"/>
      <c r="T170" s="102"/>
      <c r="U170" s="60"/>
      <c r="V170" s="102"/>
      <c r="W170" s="60"/>
      <c r="X170" s="102"/>
      <c r="Y170" s="60"/>
      <c r="Z170" s="102"/>
      <c r="AB170" s="102"/>
    </row>
    <row r="171" spans="1:30" x14ac:dyDescent="0.25">
      <c r="B171" s="53"/>
      <c r="C171" s="100"/>
      <c r="D171" s="53"/>
      <c r="E171" s="100"/>
      <c r="F171" s="53"/>
      <c r="G171" s="100"/>
      <c r="H171" s="53"/>
      <c r="I171" s="100"/>
      <c r="J171" s="53"/>
      <c r="K171" s="100"/>
      <c r="L171" s="53"/>
      <c r="M171" s="100"/>
      <c r="Q171" s="53"/>
      <c r="R171" s="100"/>
      <c r="S171" s="53"/>
      <c r="T171" s="100"/>
      <c r="U171" s="53"/>
      <c r="V171" s="100"/>
      <c r="W171" s="53"/>
      <c r="X171" s="100"/>
      <c r="Y171" s="53"/>
      <c r="Z171" s="100"/>
      <c r="AA171" s="53"/>
      <c r="AB171" s="100"/>
    </row>
    <row r="172" spans="1:30" x14ac:dyDescent="0.25">
      <c r="B172" s="53"/>
      <c r="C172" s="53"/>
      <c r="D172" s="53"/>
      <c r="E172" s="100"/>
      <c r="F172" s="53"/>
      <c r="G172" s="100"/>
      <c r="H172" s="53"/>
      <c r="I172" s="100"/>
      <c r="J172" s="53"/>
      <c r="K172" s="100"/>
      <c r="L172" s="53"/>
      <c r="M172" s="100"/>
      <c r="Q172" s="53"/>
      <c r="R172" s="100"/>
      <c r="S172" s="53"/>
      <c r="T172" s="100"/>
      <c r="U172" s="53"/>
      <c r="V172" s="100"/>
      <c r="W172" s="53"/>
      <c r="X172" s="100"/>
      <c r="Y172" s="53"/>
      <c r="Z172" s="100"/>
      <c r="AA172" s="53"/>
      <c r="AB172" s="100"/>
    </row>
    <row r="173" spans="1:30" x14ac:dyDescent="0.25">
      <c r="B173" s="53"/>
      <c r="C173" s="53"/>
      <c r="D173" s="53"/>
      <c r="E173" s="100"/>
      <c r="F173" s="53"/>
      <c r="G173" s="100"/>
      <c r="H173" s="53"/>
      <c r="I173" s="100"/>
      <c r="J173" s="53"/>
      <c r="K173" s="100"/>
      <c r="L173" s="53"/>
      <c r="M173" s="100"/>
      <c r="Q173" s="53"/>
      <c r="R173" s="100"/>
      <c r="S173" s="53"/>
      <c r="T173" s="100"/>
      <c r="U173" s="53"/>
      <c r="V173" s="100"/>
      <c r="W173" s="53"/>
      <c r="X173" s="100"/>
      <c r="Y173" s="53"/>
      <c r="Z173" s="100"/>
      <c r="AA173" s="53"/>
      <c r="AB173" s="100"/>
    </row>
    <row r="174" spans="1:30" x14ac:dyDescent="0.25">
      <c r="B174" s="53"/>
      <c r="C174" s="53"/>
      <c r="D174" s="53"/>
      <c r="E174" s="100"/>
      <c r="F174" s="53"/>
      <c r="G174" s="100"/>
      <c r="H174" s="53"/>
      <c r="I174" s="100"/>
      <c r="J174" s="53"/>
      <c r="K174" s="100"/>
      <c r="L174" s="53"/>
      <c r="M174" s="100"/>
      <c r="Q174" s="53"/>
      <c r="R174" s="100"/>
      <c r="S174" s="53"/>
      <c r="T174" s="100"/>
      <c r="U174" s="53"/>
      <c r="V174" s="100"/>
      <c r="W174" s="53"/>
      <c r="X174" s="100"/>
      <c r="Y174" s="53"/>
      <c r="Z174" s="100"/>
      <c r="AA174" s="53"/>
      <c r="AB174" s="100"/>
    </row>
    <row r="175" spans="1:30" x14ac:dyDescent="0.25">
      <c r="B175" s="53"/>
      <c r="C175" s="53"/>
      <c r="D175" s="53"/>
      <c r="E175" s="100"/>
      <c r="F175" s="53"/>
      <c r="G175" s="100"/>
      <c r="H175" s="53"/>
      <c r="I175" s="100"/>
      <c r="J175" s="53"/>
      <c r="K175" s="100"/>
      <c r="L175" s="53"/>
      <c r="M175" s="100"/>
      <c r="Q175" s="53"/>
      <c r="R175" s="100"/>
      <c r="S175" s="53"/>
      <c r="T175" s="100"/>
      <c r="U175" s="53"/>
      <c r="V175" s="100"/>
      <c r="W175" s="53"/>
      <c r="X175" s="100"/>
      <c r="Y175" s="53"/>
      <c r="Z175" s="100"/>
      <c r="AA175" s="53"/>
      <c r="AB175" s="100"/>
    </row>
    <row r="176" spans="1:30" x14ac:dyDescent="0.25">
      <c r="B176" s="53"/>
      <c r="C176" s="53"/>
      <c r="D176" s="53"/>
      <c r="E176" s="100"/>
      <c r="F176" s="53"/>
      <c r="G176" s="100"/>
      <c r="H176" s="53"/>
      <c r="I176" s="100"/>
      <c r="J176" s="53"/>
      <c r="K176" s="100"/>
      <c r="L176" s="53"/>
      <c r="M176" s="100"/>
      <c r="Q176" s="53"/>
      <c r="R176" s="100"/>
      <c r="S176" s="53"/>
      <c r="T176" s="100"/>
      <c r="U176" s="53"/>
      <c r="V176" s="100"/>
      <c r="W176" s="53"/>
      <c r="X176" s="100"/>
      <c r="Y176" s="53"/>
      <c r="Z176" s="100"/>
      <c r="AA176" s="53"/>
      <c r="AB176" s="100"/>
    </row>
    <row r="177" spans="1:28" x14ac:dyDescent="0.25">
      <c r="B177" s="53"/>
      <c r="C177" s="53"/>
      <c r="D177" s="53"/>
      <c r="E177" s="100"/>
      <c r="F177" s="53"/>
      <c r="G177" s="100"/>
      <c r="H177" s="53"/>
      <c r="I177" s="100"/>
      <c r="J177" s="53"/>
      <c r="K177" s="100"/>
      <c r="L177" s="53"/>
      <c r="M177" s="100"/>
      <c r="Q177" s="53"/>
      <c r="R177" s="100"/>
      <c r="S177" s="53"/>
      <c r="T177" s="100"/>
      <c r="U177" s="53"/>
      <c r="V177" s="100"/>
      <c r="W177" s="53"/>
      <c r="X177" s="100"/>
      <c r="Y177" s="53"/>
      <c r="Z177" s="100"/>
      <c r="AA177" s="53"/>
      <c r="AB177" s="100"/>
    </row>
    <row r="178" spans="1:28" x14ac:dyDescent="0.25">
      <c r="B178" s="53"/>
      <c r="C178" s="53"/>
      <c r="D178" s="53"/>
      <c r="E178" s="100"/>
      <c r="F178" s="53"/>
      <c r="G178" s="100"/>
      <c r="H178" s="53"/>
      <c r="I178" s="100"/>
      <c r="J178" s="53"/>
      <c r="K178" s="100"/>
      <c r="L178" s="53"/>
      <c r="M178" s="100"/>
      <c r="Q178" s="53"/>
      <c r="R178" s="100"/>
      <c r="S178" s="53"/>
      <c r="T178" s="100"/>
      <c r="U178" s="53"/>
      <c r="V178" s="100"/>
      <c r="W178" s="53"/>
      <c r="X178" s="100"/>
      <c r="Y178" s="53"/>
      <c r="Z178" s="100"/>
      <c r="AA178" s="53"/>
      <c r="AB178" s="100"/>
    </row>
    <row r="179" spans="1:28" x14ac:dyDescent="0.25">
      <c r="B179" s="53"/>
      <c r="C179" s="53"/>
      <c r="D179" s="53"/>
      <c r="E179" s="100"/>
      <c r="F179" s="53"/>
      <c r="G179" s="100"/>
      <c r="H179" s="53"/>
      <c r="I179" s="100"/>
      <c r="J179" s="53"/>
      <c r="K179" s="100"/>
      <c r="L179" s="53"/>
      <c r="M179" s="100"/>
      <c r="Q179" s="53"/>
      <c r="R179" s="100"/>
      <c r="S179" s="53"/>
      <c r="T179" s="100"/>
      <c r="U179" s="53"/>
      <c r="V179" s="100"/>
      <c r="W179" s="53"/>
      <c r="X179" s="100"/>
      <c r="Y179" s="53"/>
      <c r="Z179" s="100"/>
      <c r="AA179" s="53"/>
      <c r="AB179" s="100"/>
    </row>
    <row r="180" spans="1:28" x14ac:dyDescent="0.25">
      <c r="B180" s="53"/>
      <c r="C180" s="53"/>
      <c r="D180" s="53"/>
      <c r="E180" s="100"/>
      <c r="F180" s="53"/>
      <c r="G180" s="100"/>
      <c r="H180" s="53"/>
      <c r="I180" s="100"/>
      <c r="J180" s="53"/>
      <c r="K180" s="100"/>
      <c r="L180" s="53"/>
      <c r="M180" s="100"/>
      <c r="Q180" s="53"/>
      <c r="R180" s="100"/>
      <c r="S180" s="53"/>
      <c r="T180" s="100"/>
      <c r="U180" s="53"/>
      <c r="V180" s="100"/>
      <c r="W180" s="53"/>
      <c r="X180" s="100"/>
      <c r="Y180" s="53"/>
      <c r="Z180" s="100"/>
      <c r="AA180" s="53"/>
      <c r="AB180" s="100"/>
    </row>
    <row r="181" spans="1:28" x14ac:dyDescent="0.25">
      <c r="B181" s="53"/>
      <c r="C181" s="53"/>
      <c r="D181" s="53"/>
      <c r="E181" s="100"/>
      <c r="F181" s="53"/>
      <c r="G181" s="100"/>
      <c r="H181" s="53"/>
      <c r="I181" s="100"/>
      <c r="J181" s="53"/>
      <c r="K181" s="100"/>
      <c r="L181" s="53"/>
      <c r="M181" s="100"/>
      <c r="Q181" s="53"/>
      <c r="R181" s="100"/>
      <c r="S181" s="53"/>
      <c r="T181" s="100"/>
      <c r="U181" s="53"/>
      <c r="V181" s="100"/>
      <c r="W181" s="53"/>
      <c r="X181" s="100"/>
      <c r="Y181" s="53"/>
      <c r="Z181" s="100"/>
      <c r="AA181" s="53"/>
      <c r="AB181" s="100"/>
    </row>
    <row r="182" spans="1:28" x14ac:dyDescent="0.25">
      <c r="B182" s="53"/>
      <c r="C182" s="53"/>
      <c r="D182" s="53"/>
      <c r="E182" s="100"/>
      <c r="F182" s="53"/>
      <c r="G182" s="100"/>
      <c r="H182" s="53"/>
      <c r="I182" s="100"/>
      <c r="J182" s="53"/>
      <c r="K182" s="100"/>
      <c r="L182" s="53"/>
      <c r="M182" s="100"/>
      <c r="Q182" s="53"/>
      <c r="R182" s="100"/>
      <c r="S182" s="53"/>
      <c r="T182" s="100"/>
      <c r="U182" s="53"/>
      <c r="V182" s="100"/>
      <c r="W182" s="53"/>
      <c r="X182" s="100"/>
      <c r="Y182" s="53"/>
      <c r="Z182" s="100"/>
      <c r="AA182" s="53"/>
      <c r="AB182" s="100"/>
    </row>
    <row r="183" spans="1:28" x14ac:dyDescent="0.25">
      <c r="B183" s="53"/>
      <c r="C183" s="53"/>
      <c r="D183" s="53"/>
      <c r="E183" s="100"/>
      <c r="F183" s="53"/>
      <c r="G183" s="100"/>
      <c r="H183" s="53"/>
      <c r="I183" s="100"/>
      <c r="J183" s="53"/>
      <c r="K183" s="100"/>
      <c r="L183" s="53"/>
      <c r="M183" s="100"/>
      <c r="Q183" s="53"/>
      <c r="R183" s="100"/>
      <c r="S183" s="53"/>
      <c r="T183" s="100"/>
      <c r="U183" s="53"/>
      <c r="V183" s="100"/>
      <c r="W183" s="53"/>
      <c r="X183" s="100"/>
      <c r="Y183" s="53"/>
      <c r="Z183" s="100"/>
      <c r="AA183" s="53"/>
      <c r="AB183" s="100"/>
    </row>
    <row r="184" spans="1:28" x14ac:dyDescent="0.25">
      <c r="B184" s="53"/>
      <c r="C184" s="53"/>
      <c r="D184" s="53"/>
      <c r="E184" s="100"/>
      <c r="F184" s="53"/>
      <c r="G184" s="100"/>
      <c r="H184" s="53"/>
      <c r="I184" s="100"/>
      <c r="J184" s="53"/>
      <c r="K184" s="100"/>
      <c r="L184" s="53"/>
      <c r="M184" s="100"/>
      <c r="Q184" s="53"/>
      <c r="R184" s="100"/>
      <c r="S184" s="53"/>
      <c r="T184" s="100"/>
      <c r="U184" s="53"/>
      <c r="V184" s="100"/>
      <c r="W184" s="53"/>
      <c r="X184" s="100"/>
      <c r="Y184" s="53"/>
      <c r="Z184" s="100"/>
      <c r="AA184" s="53"/>
      <c r="AB184" s="100"/>
    </row>
    <row r="185" spans="1:28" x14ac:dyDescent="0.25">
      <c r="B185" s="53"/>
      <c r="C185" s="53"/>
      <c r="D185" s="53"/>
      <c r="E185" s="100"/>
      <c r="F185" s="53"/>
      <c r="G185" s="100"/>
      <c r="H185" s="53"/>
      <c r="I185" s="100"/>
      <c r="J185" s="53"/>
      <c r="K185" s="100"/>
      <c r="L185" s="53"/>
      <c r="M185" s="100"/>
      <c r="Q185" s="53"/>
      <c r="R185" s="100"/>
      <c r="S185" s="53"/>
      <c r="T185" s="100"/>
      <c r="U185" s="53"/>
      <c r="V185" s="100"/>
      <c r="W185" s="53"/>
      <c r="X185" s="100"/>
      <c r="Y185" s="53"/>
      <c r="Z185" s="100"/>
      <c r="AA185" s="53"/>
      <c r="AB185" s="100"/>
    </row>
    <row r="186" spans="1:28" x14ac:dyDescent="0.25">
      <c r="B186" s="53"/>
      <c r="C186" s="53"/>
      <c r="D186" s="53"/>
      <c r="E186" s="100"/>
      <c r="F186" s="53"/>
      <c r="G186" s="100"/>
      <c r="H186" s="53"/>
      <c r="I186" s="100"/>
      <c r="J186" s="53"/>
      <c r="K186" s="100"/>
      <c r="L186" s="53"/>
      <c r="M186" s="100"/>
      <c r="Q186" s="53"/>
      <c r="R186" s="100"/>
      <c r="S186" s="53"/>
      <c r="T186" s="100"/>
      <c r="U186" s="53"/>
      <c r="V186" s="100"/>
      <c r="W186" s="53"/>
      <c r="X186" s="100"/>
      <c r="Y186" s="53"/>
      <c r="Z186" s="100"/>
      <c r="AA186" s="53"/>
      <c r="AB186" s="100"/>
    </row>
    <row r="187" spans="1:28" x14ac:dyDescent="0.25">
      <c r="B187" s="53"/>
      <c r="C187" s="53"/>
      <c r="D187" s="53"/>
      <c r="E187" s="100"/>
      <c r="F187" s="53"/>
      <c r="G187" s="100"/>
      <c r="H187" s="53"/>
      <c r="I187" s="100"/>
      <c r="J187" s="53"/>
      <c r="K187" s="100"/>
      <c r="L187" s="53"/>
      <c r="M187" s="100"/>
      <c r="Q187" s="53"/>
      <c r="R187" s="100"/>
      <c r="S187" s="53"/>
      <c r="T187" s="100"/>
      <c r="U187" s="53"/>
      <c r="V187" s="100"/>
      <c r="W187" s="53"/>
      <c r="X187" s="100"/>
      <c r="Y187" s="53"/>
      <c r="Z187" s="100"/>
      <c r="AA187" s="53"/>
      <c r="AB187" s="100"/>
    </row>
    <row r="188" spans="1:28" x14ac:dyDescent="0.25">
      <c r="A188" s="49"/>
      <c r="B188" s="148"/>
      <c r="C188" s="101"/>
      <c r="D188" s="73"/>
      <c r="E188" s="101"/>
      <c r="F188" s="73"/>
      <c r="G188" s="101"/>
      <c r="H188" s="73"/>
      <c r="I188" s="101"/>
      <c r="J188" s="73"/>
      <c r="K188" s="101"/>
      <c r="L188" s="73"/>
      <c r="M188" s="101"/>
      <c r="N188" s="268"/>
      <c r="O188" s="268"/>
      <c r="P188" s="268"/>
      <c r="Q188" s="73"/>
      <c r="R188" s="101"/>
      <c r="S188" s="73"/>
      <c r="T188" s="101"/>
      <c r="U188" s="73"/>
      <c r="V188" s="101"/>
      <c r="W188" s="73"/>
      <c r="X188" s="101"/>
      <c r="Y188" s="73"/>
      <c r="Z188" s="101"/>
      <c r="AA188" s="73"/>
      <c r="AB188" s="101"/>
    </row>
    <row r="189" spans="1:28" x14ac:dyDescent="0.25">
      <c r="B189" s="53"/>
      <c r="D189"/>
      <c r="F189"/>
      <c r="H189"/>
      <c r="J189"/>
      <c r="L189"/>
      <c r="M189"/>
      <c r="Q189"/>
      <c r="S189"/>
      <c r="U189"/>
      <c r="W189"/>
      <c r="Y189"/>
    </row>
    <row r="190" spans="1:28" x14ac:dyDescent="0.25">
      <c r="B190"/>
      <c r="D190"/>
      <c r="F190"/>
      <c r="H190"/>
      <c r="J190"/>
      <c r="L190"/>
      <c r="M190"/>
      <c r="Q190"/>
      <c r="S190"/>
      <c r="U190"/>
      <c r="W190"/>
      <c r="Y190"/>
    </row>
    <row r="191" spans="1:28" x14ac:dyDescent="0.25">
      <c r="B191"/>
      <c r="D191"/>
      <c r="F191"/>
      <c r="H191"/>
      <c r="J191"/>
      <c r="L191"/>
      <c r="M191"/>
      <c r="Q191"/>
      <c r="S191"/>
      <c r="U191"/>
      <c r="W191"/>
      <c r="Y191"/>
    </row>
    <row r="192" spans="1:28" x14ac:dyDescent="0.25">
      <c r="B192"/>
      <c r="D192"/>
      <c r="F192"/>
      <c r="H192"/>
      <c r="J192"/>
      <c r="L192"/>
      <c r="M192"/>
      <c r="Q192"/>
      <c r="S192"/>
      <c r="U192"/>
      <c r="W192"/>
      <c r="Y192"/>
    </row>
    <row r="193" spans="1:28" x14ac:dyDescent="0.25">
      <c r="B193"/>
      <c r="D193"/>
      <c r="F193"/>
      <c r="H193"/>
      <c r="J193"/>
      <c r="L193"/>
      <c r="M193"/>
      <c r="Q193"/>
      <c r="S193"/>
      <c r="U193"/>
      <c r="W193"/>
      <c r="Y193"/>
    </row>
    <row r="194" spans="1:28" x14ac:dyDescent="0.25">
      <c r="B194"/>
      <c r="D194"/>
      <c r="F194"/>
      <c r="H194"/>
      <c r="J194"/>
      <c r="L194"/>
      <c r="M194"/>
      <c r="Q194"/>
      <c r="S194"/>
      <c r="U194"/>
      <c r="W194"/>
      <c r="Y194"/>
    </row>
    <row r="195" spans="1:28" x14ac:dyDescent="0.25">
      <c r="B195"/>
      <c r="D195"/>
      <c r="F195"/>
      <c r="H195"/>
      <c r="J195"/>
      <c r="L195"/>
      <c r="M195"/>
      <c r="Q195"/>
      <c r="S195"/>
      <c r="U195"/>
      <c r="W195"/>
      <c r="Y195"/>
    </row>
    <row r="196" spans="1:28" x14ac:dyDescent="0.25">
      <c r="B196"/>
      <c r="D196"/>
      <c r="F196"/>
      <c r="H196"/>
      <c r="J196"/>
      <c r="L196"/>
      <c r="M196"/>
      <c r="Q196"/>
      <c r="S196"/>
      <c r="U196"/>
      <c r="W196"/>
      <c r="Y196"/>
    </row>
    <row r="197" spans="1:28" x14ac:dyDescent="0.25">
      <c r="B197"/>
      <c r="D197"/>
      <c r="F197"/>
      <c r="H197"/>
      <c r="J197"/>
      <c r="L197"/>
      <c r="M197"/>
      <c r="Q197"/>
      <c r="S197"/>
      <c r="U197"/>
      <c r="W197"/>
      <c r="Y197"/>
    </row>
    <row r="198" spans="1:28" x14ac:dyDescent="0.25">
      <c r="B198"/>
      <c r="D198"/>
      <c r="F198"/>
      <c r="H198"/>
      <c r="J198"/>
      <c r="L198"/>
      <c r="M198"/>
      <c r="Q198"/>
      <c r="S198"/>
      <c r="U198"/>
      <c r="W198"/>
      <c r="Y198"/>
    </row>
    <row r="199" spans="1:28" x14ac:dyDescent="0.25">
      <c r="B199"/>
      <c r="D199"/>
      <c r="F199"/>
      <c r="H199"/>
      <c r="J199"/>
      <c r="L199"/>
      <c r="M199"/>
      <c r="Q199"/>
      <c r="S199"/>
      <c r="U199"/>
      <c r="W199"/>
      <c r="Y199"/>
    </row>
    <row r="200" spans="1:28" x14ac:dyDescent="0.25">
      <c r="B200"/>
      <c r="D200"/>
      <c r="F200"/>
      <c r="H200"/>
      <c r="J200"/>
      <c r="L200"/>
      <c r="M200"/>
      <c r="Q200"/>
      <c r="S200"/>
      <c r="U200"/>
      <c r="W200"/>
      <c r="Y200"/>
    </row>
    <row r="201" spans="1:28" x14ac:dyDescent="0.25">
      <c r="B201"/>
      <c r="D201"/>
      <c r="F201"/>
      <c r="H201"/>
      <c r="J201"/>
      <c r="L201"/>
      <c r="M201"/>
      <c r="Q201"/>
      <c r="S201"/>
      <c r="U201"/>
      <c r="W201"/>
      <c r="Y201"/>
    </row>
    <row r="202" spans="1:28" x14ac:dyDescent="0.25">
      <c r="B202"/>
      <c r="D202"/>
      <c r="F202"/>
      <c r="H202"/>
      <c r="J202"/>
      <c r="L202"/>
      <c r="M202"/>
      <c r="Q202"/>
      <c r="S202"/>
      <c r="U202"/>
      <c r="W202"/>
      <c r="Y202"/>
    </row>
    <row r="203" spans="1:28" x14ac:dyDescent="0.25">
      <c r="B203"/>
      <c r="D203"/>
      <c r="F203"/>
      <c r="H203"/>
      <c r="J203"/>
      <c r="L203"/>
      <c r="M203"/>
      <c r="Q203"/>
      <c r="S203"/>
      <c r="U203"/>
      <c r="W203"/>
      <c r="Y203"/>
    </row>
    <row r="204" spans="1:28" x14ac:dyDescent="0.25">
      <c r="B204" s="385" t="s">
        <v>78</v>
      </c>
      <c r="C204" s="385"/>
      <c r="D204" s="385" t="s">
        <v>79</v>
      </c>
      <c r="E204" s="385"/>
      <c r="F204" s="385" t="s">
        <v>80</v>
      </c>
      <c r="G204" s="385"/>
      <c r="H204" s="385" t="s">
        <v>81</v>
      </c>
      <c r="I204" s="385"/>
      <c r="J204" s="385" t="s">
        <v>82</v>
      </c>
      <c r="K204" s="385"/>
      <c r="L204" s="385" t="s">
        <v>83</v>
      </c>
      <c r="M204" s="385"/>
      <c r="N204" s="269"/>
      <c r="O204" s="269"/>
      <c r="P204" s="269"/>
      <c r="Q204" s="385" t="s">
        <v>84</v>
      </c>
      <c r="R204" s="385"/>
      <c r="S204" s="385" t="s">
        <v>85</v>
      </c>
      <c r="T204" s="385"/>
      <c r="U204" t="s">
        <v>86</v>
      </c>
      <c r="V204"/>
      <c r="W204" t="s">
        <v>87</v>
      </c>
      <c r="X204"/>
      <c r="Y204" t="s">
        <v>88</v>
      </c>
      <c r="Z204"/>
      <c r="AA204" t="s">
        <v>71</v>
      </c>
    </row>
    <row r="205" spans="1:28" x14ac:dyDescent="0.25">
      <c r="A205" s="54" t="s">
        <v>73</v>
      </c>
      <c r="B205" s="53">
        <f>+B171</f>
        <v>0</v>
      </c>
      <c r="C205" s="54" t="str">
        <f>IFERROR(B205/B$212,"")</f>
        <v/>
      </c>
      <c r="D205" s="53">
        <f>+D171</f>
        <v>0</v>
      </c>
      <c r="E205" s="54" t="str">
        <f>IFERROR(D205/D$212,"")</f>
        <v/>
      </c>
      <c r="F205" s="53">
        <f>+F171</f>
        <v>0</v>
      </c>
      <c r="G205" s="54" t="str">
        <f>IFERROR(F205/F$212,"")</f>
        <v/>
      </c>
      <c r="H205" s="53">
        <f>+H171</f>
        <v>0</v>
      </c>
      <c r="I205" s="54" t="str">
        <f>IFERROR(H205/H$212,"")</f>
        <v/>
      </c>
      <c r="J205" s="53">
        <f>+J171</f>
        <v>0</v>
      </c>
      <c r="K205" s="54" t="str">
        <f>IFERROR(J205/J$212,"")</f>
        <v/>
      </c>
      <c r="L205" s="53">
        <f>+L171</f>
        <v>0</v>
      </c>
      <c r="M205" s="53"/>
      <c r="Q205" s="53">
        <f>+Q171</f>
        <v>0</v>
      </c>
      <c r="R205" s="54" t="str">
        <f>IFERROR(Q205/Q$212,"")</f>
        <v/>
      </c>
      <c r="S205" s="53">
        <f>+S171</f>
        <v>0</v>
      </c>
      <c r="T205" s="54" t="str">
        <f>IFERROR(S205/S$212,"")</f>
        <v/>
      </c>
      <c r="U205" s="53">
        <f>+U171</f>
        <v>0</v>
      </c>
      <c r="V205" s="54" t="str">
        <f>IFERROR(U205/U$212,"")</f>
        <v/>
      </c>
      <c r="W205" s="53">
        <f>+W171</f>
        <v>0</v>
      </c>
      <c r="X205" s="54" t="str">
        <f>IFERROR(W205/W$212,"")</f>
        <v/>
      </c>
      <c r="Y205" s="53">
        <f>+Y171</f>
        <v>0</v>
      </c>
      <c r="Z205" s="54" t="str">
        <f t="shared" ref="Z205:Z211" si="41">IFERROR(Y205/Y$212,"")</f>
        <v/>
      </c>
      <c r="AA205" s="53">
        <f>+AA171</f>
        <v>0</v>
      </c>
      <c r="AB205" s="54" t="str">
        <f>IFERROR(AA205/AA$212,"")</f>
        <v/>
      </c>
    </row>
    <row r="206" spans="1:28" x14ac:dyDescent="0.25">
      <c r="A206" s="54" t="s">
        <v>74</v>
      </c>
      <c r="B206" s="53">
        <f>+B172</f>
        <v>0</v>
      </c>
      <c r="C206" s="54" t="str">
        <f t="shared" ref="C206:C211" si="42">IFERROR(B206/B$212,"")</f>
        <v/>
      </c>
      <c r="D206" s="53">
        <f>+D172</f>
        <v>0</v>
      </c>
      <c r="E206" s="54" t="str">
        <f t="shared" ref="E206:E211" si="43">IFERROR(D206/D$212,"")</f>
        <v/>
      </c>
      <c r="F206" s="53">
        <f>+F172</f>
        <v>0</v>
      </c>
      <c r="G206" s="54" t="str">
        <f t="shared" ref="G206:G211" si="44">IFERROR(F206/F$212,"")</f>
        <v/>
      </c>
      <c r="H206" s="53">
        <f>+H172</f>
        <v>0</v>
      </c>
      <c r="I206" s="54" t="str">
        <f t="shared" ref="I206:I211" si="45">IFERROR(H206/H$212,"")</f>
        <v/>
      </c>
      <c r="J206" s="53">
        <f>+J172</f>
        <v>0</v>
      </c>
      <c r="K206" s="54" t="str">
        <f t="shared" ref="K206:K211" si="46">IFERROR(J206/J$212,"")</f>
        <v/>
      </c>
      <c r="L206" s="53">
        <f>+L172</f>
        <v>0</v>
      </c>
      <c r="M206" s="53"/>
      <c r="Q206" s="53">
        <f>+Q172</f>
        <v>0</v>
      </c>
      <c r="R206" s="54" t="str">
        <f t="shared" ref="R206:R211" si="47">IFERROR(Q206/Q$212,"")</f>
        <v/>
      </c>
      <c r="S206" s="53">
        <f>+S172</f>
        <v>0</v>
      </c>
      <c r="T206" s="54" t="str">
        <f t="shared" ref="T206:T211" si="48">IFERROR(S206/S$212,"")</f>
        <v/>
      </c>
      <c r="U206" s="53">
        <f>+U172</f>
        <v>0</v>
      </c>
      <c r="V206" s="54" t="str">
        <f t="shared" ref="V206:V211" si="49">IFERROR(U206/U$212,"")</f>
        <v/>
      </c>
      <c r="W206" s="53">
        <f>+W172</f>
        <v>0</v>
      </c>
      <c r="X206" s="54" t="str">
        <f t="shared" ref="X206:X211" si="50">IFERROR(W206/W$212,"")</f>
        <v/>
      </c>
      <c r="Y206" s="53">
        <f>+Y172</f>
        <v>0</v>
      </c>
      <c r="Z206" s="54" t="str">
        <f t="shared" si="41"/>
        <v/>
      </c>
      <c r="AA206" s="53">
        <f>+AA172</f>
        <v>0</v>
      </c>
      <c r="AB206" s="54" t="str">
        <f t="shared" ref="AB206:AB211" si="51">IFERROR(AA206/AA$212,"")</f>
        <v/>
      </c>
    </row>
    <row r="207" spans="1:28" x14ac:dyDescent="0.25">
      <c r="A207" s="54" t="s">
        <v>75</v>
      </c>
      <c r="B207" s="53">
        <f>+B173</f>
        <v>0</v>
      </c>
      <c r="C207" s="54" t="str">
        <f t="shared" si="42"/>
        <v/>
      </c>
      <c r="D207" s="53">
        <f>+D173</f>
        <v>0</v>
      </c>
      <c r="E207" s="54" t="str">
        <f t="shared" si="43"/>
        <v/>
      </c>
      <c r="F207" s="53">
        <f>+F173</f>
        <v>0</v>
      </c>
      <c r="G207" s="54" t="str">
        <f t="shared" si="44"/>
        <v/>
      </c>
      <c r="H207" s="53">
        <f>+H173</f>
        <v>0</v>
      </c>
      <c r="I207" s="54" t="str">
        <f t="shared" si="45"/>
        <v/>
      </c>
      <c r="J207" s="53">
        <f>+J173</f>
        <v>0</v>
      </c>
      <c r="K207" s="54" t="str">
        <f t="shared" si="46"/>
        <v/>
      </c>
      <c r="L207" s="53">
        <f>+L173</f>
        <v>0</v>
      </c>
      <c r="M207" s="53"/>
      <c r="Q207" s="53">
        <f>+Q173</f>
        <v>0</v>
      </c>
      <c r="R207" s="54" t="str">
        <f t="shared" si="47"/>
        <v/>
      </c>
      <c r="S207" s="53">
        <f>+S173</f>
        <v>0</v>
      </c>
      <c r="T207" s="54" t="str">
        <f t="shared" si="48"/>
        <v/>
      </c>
      <c r="U207" s="53">
        <f>+U173</f>
        <v>0</v>
      </c>
      <c r="V207" s="54" t="str">
        <f t="shared" si="49"/>
        <v/>
      </c>
      <c r="W207" s="53">
        <f>+W173</f>
        <v>0</v>
      </c>
      <c r="X207" s="54" t="str">
        <f t="shared" si="50"/>
        <v/>
      </c>
      <c r="Y207" s="53">
        <f>+Y173</f>
        <v>0</v>
      </c>
      <c r="Z207" s="54" t="str">
        <f t="shared" si="41"/>
        <v/>
      </c>
      <c r="AA207" s="53">
        <f>+AA173</f>
        <v>0</v>
      </c>
      <c r="AB207" s="54" t="str">
        <f t="shared" si="51"/>
        <v/>
      </c>
    </row>
    <row r="208" spans="1:28" x14ac:dyDescent="0.25">
      <c r="A208" s="54" t="s">
        <v>90</v>
      </c>
      <c r="B208" s="53">
        <f>+B185</f>
        <v>0</v>
      </c>
      <c r="C208" s="54" t="str">
        <f t="shared" si="42"/>
        <v/>
      </c>
      <c r="D208" s="53">
        <f>+D185</f>
        <v>0</v>
      </c>
      <c r="E208" s="54" t="str">
        <f t="shared" si="43"/>
        <v/>
      </c>
      <c r="F208" s="53">
        <f>+F185</f>
        <v>0</v>
      </c>
      <c r="G208" s="54" t="str">
        <f t="shared" si="44"/>
        <v/>
      </c>
      <c r="H208" s="53">
        <f>+H185</f>
        <v>0</v>
      </c>
      <c r="I208" s="54" t="str">
        <f t="shared" si="45"/>
        <v/>
      </c>
      <c r="J208" s="53">
        <f>+J185</f>
        <v>0</v>
      </c>
      <c r="K208" s="54" t="str">
        <f t="shared" si="46"/>
        <v/>
      </c>
      <c r="L208" s="53">
        <f>+L185</f>
        <v>0</v>
      </c>
      <c r="M208" s="53"/>
      <c r="Q208" s="53">
        <f>+Q185</f>
        <v>0</v>
      </c>
      <c r="R208" s="54" t="str">
        <f t="shared" si="47"/>
        <v/>
      </c>
      <c r="S208" s="53">
        <f>+S185</f>
        <v>0</v>
      </c>
      <c r="T208" s="54" t="str">
        <f t="shared" si="48"/>
        <v/>
      </c>
      <c r="U208" s="53">
        <f>+U185</f>
        <v>0</v>
      </c>
      <c r="V208" s="54" t="str">
        <f t="shared" si="49"/>
        <v/>
      </c>
      <c r="W208" s="53">
        <f>+W185</f>
        <v>0</v>
      </c>
      <c r="X208" s="54" t="str">
        <f t="shared" si="50"/>
        <v/>
      </c>
      <c r="Y208" s="53">
        <f>+Y185</f>
        <v>0</v>
      </c>
      <c r="Z208" s="54" t="str">
        <f t="shared" si="41"/>
        <v/>
      </c>
      <c r="AA208" s="53">
        <f>+AA185</f>
        <v>0</v>
      </c>
      <c r="AB208" s="54" t="str">
        <f t="shared" si="51"/>
        <v/>
      </c>
    </row>
    <row r="209" spans="1:28" x14ac:dyDescent="0.25">
      <c r="A209" s="54" t="s">
        <v>91</v>
      </c>
      <c r="B209" s="53" t="e">
        <f>+B178+#REF!</f>
        <v>#REF!</v>
      </c>
      <c r="C209" s="54" t="str">
        <f t="shared" si="42"/>
        <v/>
      </c>
      <c r="D209" s="53" t="e">
        <f>+D178+#REF!</f>
        <v>#REF!</v>
      </c>
      <c r="E209" s="54" t="str">
        <f t="shared" si="43"/>
        <v/>
      </c>
      <c r="F209" s="53" t="e">
        <f>+F178+#REF!</f>
        <v>#REF!</v>
      </c>
      <c r="G209" s="54" t="str">
        <f t="shared" si="44"/>
        <v/>
      </c>
      <c r="H209" s="53" t="e">
        <f>+H178+#REF!</f>
        <v>#REF!</v>
      </c>
      <c r="I209" s="54" t="str">
        <f t="shared" si="45"/>
        <v/>
      </c>
      <c r="J209" s="53" t="e">
        <f>+J178+#REF!</f>
        <v>#REF!</v>
      </c>
      <c r="K209" s="54" t="str">
        <f t="shared" si="46"/>
        <v/>
      </c>
      <c r="L209" s="53" t="e">
        <f>+L178+#REF!</f>
        <v>#REF!</v>
      </c>
      <c r="M209" s="53"/>
      <c r="Q209" s="53" t="e">
        <f>+Q178+#REF!</f>
        <v>#REF!</v>
      </c>
      <c r="R209" s="54" t="str">
        <f t="shared" si="47"/>
        <v/>
      </c>
      <c r="S209" s="53" t="e">
        <f>+S178+#REF!</f>
        <v>#REF!</v>
      </c>
      <c r="T209" s="54" t="str">
        <f t="shared" si="48"/>
        <v/>
      </c>
      <c r="U209" s="53" t="e">
        <f>+U178+#REF!</f>
        <v>#REF!</v>
      </c>
      <c r="V209" s="54" t="str">
        <f t="shared" si="49"/>
        <v/>
      </c>
      <c r="W209" s="53" t="e">
        <f>+W178+#REF!</f>
        <v>#REF!</v>
      </c>
      <c r="X209" s="54" t="str">
        <f t="shared" si="50"/>
        <v/>
      </c>
      <c r="Y209" s="53" t="e">
        <f>+Y178+#REF!</f>
        <v>#REF!</v>
      </c>
      <c r="Z209" s="54" t="str">
        <f t="shared" si="41"/>
        <v/>
      </c>
      <c r="AA209" s="53" t="e">
        <f>+AA178+#REF!</f>
        <v>#REF!</v>
      </c>
      <c r="AB209" s="54" t="str">
        <f t="shared" si="51"/>
        <v/>
      </c>
    </row>
    <row r="210" spans="1:28" x14ac:dyDescent="0.25">
      <c r="A210" s="54" t="s">
        <v>92</v>
      </c>
      <c r="B210" s="53">
        <f>+B177</f>
        <v>0</v>
      </c>
      <c r="C210" s="54" t="str">
        <f t="shared" si="42"/>
        <v/>
      </c>
      <c r="D210" s="53">
        <f>+D177</f>
        <v>0</v>
      </c>
      <c r="E210" s="54" t="str">
        <f t="shared" si="43"/>
        <v/>
      </c>
      <c r="F210" s="53">
        <f>+F177</f>
        <v>0</v>
      </c>
      <c r="G210" s="54" t="str">
        <f t="shared" si="44"/>
        <v/>
      </c>
      <c r="H210" s="53">
        <f>+H177</f>
        <v>0</v>
      </c>
      <c r="I210" s="54" t="str">
        <f t="shared" si="45"/>
        <v/>
      </c>
      <c r="J210" s="53">
        <f>+J177</f>
        <v>0</v>
      </c>
      <c r="K210" s="54" t="str">
        <f t="shared" si="46"/>
        <v/>
      </c>
      <c r="L210" s="53">
        <f>+L177</f>
        <v>0</v>
      </c>
      <c r="M210" s="53"/>
      <c r="Q210" s="53">
        <f>+Q177</f>
        <v>0</v>
      </c>
      <c r="R210" s="54" t="str">
        <f t="shared" si="47"/>
        <v/>
      </c>
      <c r="S210" s="53">
        <f>+S177</f>
        <v>0</v>
      </c>
      <c r="T210" s="54" t="str">
        <f t="shared" si="48"/>
        <v/>
      </c>
      <c r="U210" s="53">
        <f>+U177</f>
        <v>0</v>
      </c>
      <c r="V210" s="54" t="str">
        <f t="shared" si="49"/>
        <v/>
      </c>
      <c r="W210" s="53">
        <f>+W177</f>
        <v>0</v>
      </c>
      <c r="X210" s="54" t="str">
        <f t="shared" si="50"/>
        <v/>
      </c>
      <c r="Y210" s="53">
        <f>+Y177</f>
        <v>0</v>
      </c>
      <c r="Z210" s="54" t="str">
        <f t="shared" si="41"/>
        <v/>
      </c>
      <c r="AA210" s="53">
        <f>+AA177</f>
        <v>0</v>
      </c>
      <c r="AB210" s="54" t="str">
        <f t="shared" si="51"/>
        <v/>
      </c>
    </row>
    <row r="211" spans="1:28" x14ac:dyDescent="0.25">
      <c r="A211" s="54" t="s">
        <v>93</v>
      </c>
      <c r="B211" s="53">
        <f>+B174+B176+B179+B180+B187</f>
        <v>0</v>
      </c>
      <c r="C211" s="54" t="str">
        <f t="shared" si="42"/>
        <v/>
      </c>
      <c r="D211" s="53">
        <f>+D174+D176+D179+D180+D187</f>
        <v>0</v>
      </c>
      <c r="E211" s="54" t="str">
        <f t="shared" si="43"/>
        <v/>
      </c>
      <c r="F211" s="53">
        <f>+F174+F176+F179+F180+F187</f>
        <v>0</v>
      </c>
      <c r="G211" s="54" t="str">
        <f t="shared" si="44"/>
        <v/>
      </c>
      <c r="H211" s="53">
        <f>+H174+H176+H179+H180+H187</f>
        <v>0</v>
      </c>
      <c r="I211" s="54" t="str">
        <f t="shared" si="45"/>
        <v/>
      </c>
      <c r="J211" s="53">
        <f>+J174+J176+J179+J180+J187</f>
        <v>0</v>
      </c>
      <c r="K211" s="54" t="str">
        <f t="shared" si="46"/>
        <v/>
      </c>
      <c r="L211" s="53">
        <f>+L174+L176+L179+L180+L187</f>
        <v>0</v>
      </c>
      <c r="M211" s="53"/>
      <c r="Q211" s="53">
        <f>+Q174+Q176+Q179+Q180+Q187</f>
        <v>0</v>
      </c>
      <c r="R211" s="54" t="str">
        <f t="shared" si="47"/>
        <v/>
      </c>
      <c r="S211" s="53">
        <f>+S174+S176+S179+S180+S187</f>
        <v>0</v>
      </c>
      <c r="T211" s="54" t="str">
        <f t="shared" si="48"/>
        <v/>
      </c>
      <c r="U211" s="53">
        <f>+U174+U176+U179+U180+U187</f>
        <v>0</v>
      </c>
      <c r="V211" s="54" t="str">
        <f t="shared" si="49"/>
        <v/>
      </c>
      <c r="W211" s="53">
        <f>+W174+W176+W179+W180+W187</f>
        <v>0</v>
      </c>
      <c r="X211" s="54" t="str">
        <f t="shared" si="50"/>
        <v/>
      </c>
      <c r="Y211" s="53">
        <f>+Y174+Y176+Y179+Y180+Y187</f>
        <v>0</v>
      </c>
      <c r="Z211" s="54" t="str">
        <f t="shared" si="41"/>
        <v/>
      </c>
      <c r="AA211" s="53">
        <f>+AA174+AA176+AA179+AA180+AA187</f>
        <v>0</v>
      </c>
      <c r="AB211" s="54" t="str">
        <f t="shared" si="51"/>
        <v/>
      </c>
    </row>
    <row r="212" spans="1:28" x14ac:dyDescent="0.25">
      <c r="A212" s="74" t="s">
        <v>71</v>
      </c>
      <c r="B212" s="73" t="e">
        <f t="shared" ref="B212:AA212" si="52">SUM(B205:B211)</f>
        <v>#REF!</v>
      </c>
      <c r="C212" s="74">
        <f t="shared" si="52"/>
        <v>0</v>
      </c>
      <c r="D212" s="73" t="e">
        <f t="shared" si="52"/>
        <v>#REF!</v>
      </c>
      <c r="E212" s="74">
        <f>SUM(E205:E211)</f>
        <v>0</v>
      </c>
      <c r="F212" s="73" t="e">
        <f t="shared" si="52"/>
        <v>#REF!</v>
      </c>
      <c r="G212" s="74">
        <f>SUM(G205:G211)</f>
        <v>0</v>
      </c>
      <c r="H212" s="73" t="e">
        <f t="shared" si="52"/>
        <v>#REF!</v>
      </c>
      <c r="I212" s="74">
        <f>SUM(I205:I211)</f>
        <v>0</v>
      </c>
      <c r="J212" s="73" t="e">
        <f t="shared" si="52"/>
        <v>#REF!</v>
      </c>
      <c r="K212" s="74">
        <f>SUM(K205:K211)</f>
        <v>0</v>
      </c>
      <c r="L212" s="73" t="e">
        <f t="shared" si="52"/>
        <v>#REF!</v>
      </c>
      <c r="M212" s="73"/>
      <c r="N212" s="268"/>
      <c r="O212" s="268"/>
      <c r="P212" s="268"/>
      <c r="Q212" s="73" t="e">
        <f t="shared" si="52"/>
        <v>#REF!</v>
      </c>
      <c r="R212" s="74">
        <f>SUM(R205:R211)</f>
        <v>0</v>
      </c>
      <c r="S212" s="73" t="e">
        <f t="shared" si="52"/>
        <v>#REF!</v>
      </c>
      <c r="T212" s="74">
        <f>SUM(T205:T211)</f>
        <v>0</v>
      </c>
      <c r="U212" s="73" t="e">
        <f t="shared" si="52"/>
        <v>#REF!</v>
      </c>
      <c r="V212" s="74">
        <f>SUM(V205:V211)</f>
        <v>0</v>
      </c>
      <c r="W212" s="73" t="e">
        <f t="shared" si="52"/>
        <v>#REF!</v>
      </c>
      <c r="X212" s="74">
        <f>SUM(X205:X211)</f>
        <v>0</v>
      </c>
      <c r="Y212" s="73" t="e">
        <f t="shared" si="52"/>
        <v>#REF!</v>
      </c>
      <c r="Z212" s="74">
        <f>SUM(Z205:Z211)</f>
        <v>0</v>
      </c>
      <c r="AA212" s="73" t="e">
        <f t="shared" si="52"/>
        <v>#REF!</v>
      </c>
      <c r="AB212" s="74">
        <f>SUM(AB205:AB211)</f>
        <v>0</v>
      </c>
    </row>
    <row r="213" spans="1:28" x14ac:dyDescent="0.25">
      <c r="AA213" s="53"/>
    </row>
    <row r="214" spans="1:28" x14ac:dyDescent="0.25">
      <c r="A214" s="54"/>
    </row>
    <row r="220" spans="1:28" x14ac:dyDescent="0.25">
      <c r="B220"/>
      <c r="C220"/>
      <c r="D220"/>
      <c r="E220"/>
      <c r="F220"/>
      <c r="G220"/>
      <c r="H220"/>
      <c r="I220"/>
      <c r="J220"/>
      <c r="K220"/>
      <c r="L220"/>
      <c r="M220"/>
      <c r="Q220"/>
      <c r="R220"/>
      <c r="S220"/>
      <c r="T220"/>
      <c r="U220"/>
      <c r="V220"/>
      <c r="W220"/>
      <c r="X220"/>
      <c r="Y220"/>
      <c r="Z220"/>
      <c r="AB220"/>
    </row>
  </sheetData>
  <sheetProtection selectLockedCells="1"/>
  <mergeCells count="64">
    <mergeCell ref="S204:T204"/>
    <mergeCell ref="Q204:R204"/>
    <mergeCell ref="B204:C204"/>
    <mergeCell ref="F204:G204"/>
    <mergeCell ref="D204:E204"/>
    <mergeCell ref="L204:M204"/>
    <mergeCell ref="J204:K204"/>
    <mergeCell ref="H204:I204"/>
    <mergeCell ref="A5:A6"/>
    <mergeCell ref="B5:C5"/>
    <mergeCell ref="D5:E5"/>
    <mergeCell ref="F5:G5"/>
    <mergeCell ref="AA5:AB5"/>
    <mergeCell ref="Q5:R5"/>
    <mergeCell ref="O5:P5"/>
    <mergeCell ref="S5:T5"/>
    <mergeCell ref="U5:V5"/>
    <mergeCell ref="W5:X5"/>
    <mergeCell ref="Y5:Z5"/>
    <mergeCell ref="L5:M5"/>
    <mergeCell ref="J5:K5"/>
    <mergeCell ref="H5:I5"/>
    <mergeCell ref="A38:A39"/>
    <mergeCell ref="B38:C38"/>
    <mergeCell ref="D38:E38"/>
    <mergeCell ref="F38:G38"/>
    <mergeCell ref="H38:I38"/>
    <mergeCell ref="J38:K38"/>
    <mergeCell ref="L38:M38"/>
    <mergeCell ref="Q38:R38"/>
    <mergeCell ref="O38:P38"/>
    <mergeCell ref="S38:T38"/>
    <mergeCell ref="U38:V38"/>
    <mergeCell ref="W38:X38"/>
    <mergeCell ref="Y38:Z38"/>
    <mergeCell ref="AA38:AB38"/>
    <mergeCell ref="A74:A75"/>
    <mergeCell ref="B74:C74"/>
    <mergeCell ref="D74:E74"/>
    <mergeCell ref="F74:G74"/>
    <mergeCell ref="H74:I74"/>
    <mergeCell ref="J74:K74"/>
    <mergeCell ref="L74:M74"/>
    <mergeCell ref="Q74:R74"/>
    <mergeCell ref="O74:P74"/>
    <mergeCell ref="S74:T74"/>
    <mergeCell ref="U74:V74"/>
    <mergeCell ref="W74:X74"/>
    <mergeCell ref="Y74:Z74"/>
    <mergeCell ref="AA74:AB74"/>
    <mergeCell ref="A108:A109"/>
    <mergeCell ref="B108:C108"/>
    <mergeCell ref="D108:E108"/>
    <mergeCell ref="F108:G108"/>
    <mergeCell ref="H108:I108"/>
    <mergeCell ref="J108:K108"/>
    <mergeCell ref="L108:M108"/>
    <mergeCell ref="Q108:R108"/>
    <mergeCell ref="O108:P108"/>
    <mergeCell ref="S108:T108"/>
    <mergeCell ref="U108:V108"/>
    <mergeCell ref="W108:X108"/>
    <mergeCell ref="Y108:Z108"/>
    <mergeCell ref="AA108:AB108"/>
  </mergeCells>
  <pageMargins left="0.7" right="0.63" top="0.75" bottom="0.57999999999999996" header="0.3" footer="0.3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OF FISH TRADED,BROKER</vt:lpstr>
      <vt:lpstr>SOURCE OF FISH UNLOADED BY.F.G</vt:lpstr>
      <vt:lpstr>FISH UNLOADING OVER LND VEHICLS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PC-2</cp:lastModifiedBy>
  <cp:lastPrinted>2022-02-10T02:56:57Z</cp:lastPrinted>
  <dcterms:created xsi:type="dcterms:W3CDTF">2010-07-07T09:12:52Z</dcterms:created>
  <dcterms:modified xsi:type="dcterms:W3CDTF">2023-05-18T02:43:53Z</dcterms:modified>
</cp:coreProperties>
</file>