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4FADD6B-CAF8-4E23-A183-C750BF8D00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228" i="1" l="1"/>
  <c r="B225" i="1"/>
  <c r="B222" i="1"/>
  <c r="B219" i="1"/>
  <c r="B216" i="1"/>
  <c r="B213" i="1"/>
  <c r="B199" i="1"/>
  <c r="B196" i="1"/>
  <c r="B193" i="1"/>
  <c r="B190" i="1"/>
  <c r="B184" i="1"/>
  <c r="B181" i="1"/>
  <c r="B178" i="1"/>
  <c r="B175" i="1"/>
  <c r="B172" i="1"/>
  <c r="B155" i="1"/>
  <c r="B152" i="1"/>
  <c r="B149" i="1"/>
  <c r="B146" i="1"/>
  <c r="B143" i="1"/>
  <c r="B140" i="1"/>
  <c r="B137" i="1"/>
  <c r="B134" i="1"/>
  <c r="B131" i="1"/>
  <c r="B117" i="1"/>
  <c r="B114" i="1"/>
  <c r="B111" i="1"/>
  <c r="B108" i="1"/>
  <c r="B105" i="1"/>
  <c r="B102" i="1"/>
  <c r="B96" i="1"/>
  <c r="B93" i="1"/>
  <c r="B90" i="1"/>
  <c r="B76" i="1"/>
  <c r="B73" i="1"/>
  <c r="B70" i="1"/>
  <c r="B67" i="1"/>
  <c r="B64" i="1"/>
  <c r="B61" i="1"/>
  <c r="B58" i="1"/>
  <c r="B55" i="1"/>
  <c r="B49" i="1"/>
  <c r="B35" i="1"/>
  <c r="B32" i="1"/>
  <c r="B29" i="1"/>
  <c r="B26" i="1"/>
  <c r="B23" i="1"/>
  <c r="B20" i="1"/>
  <c r="B17" i="1"/>
  <c r="B14" i="1"/>
  <c r="B11" i="1"/>
  <c r="B8" i="1"/>
  <c r="D230" i="1" l="1"/>
  <c r="B229" i="1" l="1"/>
  <c r="B226" i="1"/>
  <c r="B223" i="1"/>
  <c r="B220" i="1"/>
  <c r="B217" i="1"/>
  <c r="B200" i="1"/>
  <c r="B197" i="1"/>
  <c r="B194" i="1"/>
  <c r="B185" i="1"/>
  <c r="B182" i="1"/>
  <c r="B179" i="1"/>
  <c r="B176" i="1"/>
  <c r="B173" i="1"/>
  <c r="B156" i="1"/>
  <c r="B153" i="1"/>
  <c r="B150" i="1"/>
  <c r="B147" i="1"/>
  <c r="B141" i="1"/>
  <c r="B138" i="1"/>
  <c r="B132" i="1"/>
  <c r="B118" i="1"/>
  <c r="B115" i="1"/>
  <c r="B112" i="1"/>
  <c r="B109" i="1"/>
  <c r="B106" i="1"/>
  <c r="B103" i="1"/>
  <c r="B97" i="1"/>
  <c r="B94" i="1"/>
  <c r="B91" i="1"/>
  <c r="B77" i="1"/>
  <c r="B74" i="1"/>
  <c r="B71" i="1"/>
  <c r="B68" i="1"/>
  <c r="B62" i="1"/>
  <c r="B59" i="1"/>
  <c r="B56" i="1"/>
  <c r="B50" i="1"/>
  <c r="B36" i="1"/>
  <c r="B33" i="1"/>
  <c r="B30" i="1"/>
  <c r="B27" i="1"/>
  <c r="B24" i="1"/>
  <c r="B21" i="1"/>
  <c r="B18" i="1"/>
  <c r="B15" i="1"/>
  <c r="B12" i="1"/>
  <c r="B9" i="1"/>
  <c r="N232" i="1"/>
  <c r="N99" i="1"/>
  <c r="N230" i="1" s="1"/>
  <c r="M232" i="1"/>
  <c r="M230" i="1"/>
  <c r="L232" i="1"/>
  <c r="L230" i="1"/>
  <c r="K232" i="1"/>
  <c r="L234" i="1" l="1"/>
  <c r="K53" i="1"/>
  <c r="K52" i="1"/>
  <c r="B52" i="1" s="1"/>
  <c r="K159" i="1"/>
  <c r="K158" i="1"/>
  <c r="K100" i="1"/>
  <c r="K99" i="1"/>
  <c r="K230" i="1" l="1"/>
  <c r="K234" i="1" s="1"/>
  <c r="J232" i="1"/>
  <c r="J100" i="1"/>
  <c r="J99" i="1"/>
  <c r="J230" i="1" s="1"/>
  <c r="I232" i="1" l="1"/>
  <c r="I188" i="1"/>
  <c r="I187" i="1"/>
  <c r="I230" i="1" s="1"/>
  <c r="H232" i="1" l="1"/>
  <c r="H230" i="1"/>
  <c r="F232" i="1" l="1"/>
  <c r="G232" i="1"/>
  <c r="G159" i="1"/>
  <c r="G158" i="1"/>
  <c r="G230" i="1" s="1"/>
  <c r="F230" i="1" l="1"/>
  <c r="F188" i="1"/>
  <c r="F187" i="1"/>
  <c r="B187" i="1" s="1"/>
  <c r="E232" i="1" l="1"/>
  <c r="E159" i="1"/>
  <c r="E158" i="1"/>
  <c r="E100" i="1"/>
  <c r="B100" i="1" s="1"/>
  <c r="E99" i="1"/>
  <c r="B99" i="1" s="1"/>
  <c r="E230" i="1" l="1"/>
  <c r="C159" i="1"/>
  <c r="B159" i="1" s="1"/>
  <c r="C158" i="1"/>
  <c r="D232" i="1"/>
  <c r="C232" i="1"/>
  <c r="C230" i="1" l="1"/>
  <c r="B158" i="1"/>
  <c r="B230" i="1" s="1"/>
  <c r="B232" i="1" l="1"/>
  <c r="D234" i="1" l="1"/>
  <c r="D237" i="1" s="1"/>
  <c r="C234" i="1" l="1"/>
  <c r="C237" i="1" s="1"/>
  <c r="K237" i="1" l="1"/>
  <c r="G234" i="1" l="1"/>
  <c r="G237" i="1" s="1"/>
  <c r="B191" i="1"/>
  <c r="L237" i="1" l="1"/>
  <c r="E234" i="1" l="1"/>
  <c r="E237" i="1" s="1"/>
  <c r="F234" i="1"/>
  <c r="F237" i="1" s="1"/>
  <c r="H234" i="1"/>
  <c r="H237" i="1" s="1"/>
  <c r="I234" i="1"/>
  <c r="I237" i="1" s="1"/>
  <c r="J234" i="1"/>
  <c r="J237" i="1" s="1"/>
  <c r="N234" i="1" l="1"/>
  <c r="N237" i="1" s="1"/>
  <c r="M234" i="1" l="1"/>
  <c r="M237" i="1" s="1"/>
  <c r="B214" i="1" l="1"/>
  <c r="D8" i="2" l="1"/>
  <c r="E8" i="2"/>
  <c r="F8" i="2"/>
  <c r="C9" i="2"/>
  <c r="B11" i="2"/>
  <c r="C12" i="2"/>
  <c r="D14" i="2"/>
  <c r="E14" i="2"/>
  <c r="F14" i="2"/>
  <c r="C15" i="2"/>
  <c r="D17" i="2"/>
  <c r="E17" i="2"/>
  <c r="F17" i="2"/>
  <c r="C18" i="2"/>
  <c r="D20" i="2"/>
  <c r="E20" i="2"/>
  <c r="F20" i="2"/>
  <c r="C21" i="2"/>
  <c r="E23" i="2"/>
  <c r="D26" i="2"/>
  <c r="E26" i="2"/>
  <c r="F26" i="2"/>
  <c r="C27" i="2"/>
  <c r="D29" i="2"/>
  <c r="B29" i="2" s="1"/>
  <c r="E29" i="2"/>
  <c r="F29" i="2"/>
  <c r="C30" i="2"/>
  <c r="D32" i="2"/>
  <c r="F32" i="2"/>
  <c r="B32" i="2" s="1"/>
  <c r="C33" i="2"/>
  <c r="D35" i="2"/>
  <c r="E35" i="2"/>
  <c r="F35" i="2"/>
  <c r="C36" i="2"/>
  <c r="D49" i="2"/>
  <c r="E49" i="2"/>
  <c r="E52" i="2"/>
  <c r="D55" i="2"/>
  <c r="E55" i="2"/>
  <c r="C56" i="2"/>
  <c r="D58" i="2"/>
  <c r="E58" i="2"/>
  <c r="B58" i="2" s="1"/>
  <c r="C59" i="2"/>
  <c r="B61" i="2"/>
  <c r="C62" i="2"/>
  <c r="B64" i="2"/>
  <c r="C65" i="2"/>
  <c r="D67" i="2"/>
  <c r="E67" i="2"/>
  <c r="B67" i="2" s="1"/>
  <c r="C68" i="2"/>
  <c r="D70" i="2"/>
  <c r="E70" i="2"/>
  <c r="B70" i="2" s="1"/>
  <c r="C71" i="2"/>
  <c r="D73" i="2"/>
  <c r="E73" i="2"/>
  <c r="D76" i="2"/>
  <c r="B76" i="2" s="1"/>
  <c r="C77" i="2"/>
  <c r="D90" i="2"/>
  <c r="D118" i="2" s="1"/>
  <c r="E90" i="2"/>
  <c r="C91" i="2"/>
  <c r="B93" i="2"/>
  <c r="C94" i="2"/>
  <c r="D96" i="2"/>
  <c r="E96" i="2"/>
  <c r="C97" i="2"/>
  <c r="E99" i="2"/>
  <c r="B99" i="2" s="1"/>
  <c r="C100" i="2"/>
  <c r="D102" i="2"/>
  <c r="B102" i="2" s="1"/>
  <c r="C103" i="2"/>
  <c r="D105" i="2"/>
  <c r="E105" i="2"/>
  <c r="B105" i="2" s="1"/>
  <c r="C106" i="2"/>
  <c r="D108" i="2"/>
  <c r="E108" i="2"/>
  <c r="B108" i="2" s="1"/>
  <c r="C109" i="2"/>
  <c r="D111" i="2"/>
  <c r="E111" i="2"/>
  <c r="B111" i="2" s="1"/>
  <c r="C112" i="2"/>
  <c r="D114" i="2"/>
  <c r="E114" i="2"/>
  <c r="C115" i="2"/>
  <c r="D131" i="2"/>
  <c r="E131" i="2"/>
  <c r="C132" i="2"/>
  <c r="D134" i="2"/>
  <c r="B134" i="2" s="1"/>
  <c r="E134" i="2"/>
  <c r="C135" i="2"/>
  <c r="D137" i="2"/>
  <c r="E137" i="2"/>
  <c r="C138" i="2"/>
  <c r="D140" i="2"/>
  <c r="E140" i="2"/>
  <c r="C141" i="2"/>
  <c r="D143" i="2"/>
  <c r="B143" i="2" s="1"/>
  <c r="E143" i="2"/>
  <c r="C144" i="2"/>
  <c r="B146" i="2"/>
  <c r="C147" i="2"/>
  <c r="D149" i="2"/>
  <c r="E149" i="2"/>
  <c r="C150" i="2"/>
  <c r="D152" i="2"/>
  <c r="B152" i="2" s="1"/>
  <c r="E152" i="2"/>
  <c r="C153" i="2"/>
  <c r="E155" i="2"/>
  <c r="B155" i="2" s="1"/>
  <c r="C156" i="2"/>
  <c r="B158" i="2"/>
  <c r="D158" i="2"/>
  <c r="C159" i="2"/>
  <c r="B173" i="2"/>
  <c r="C174" i="2"/>
  <c r="E176" i="2"/>
  <c r="B176" i="2" s="1"/>
  <c r="C177" i="2"/>
  <c r="D179" i="2"/>
  <c r="E179" i="2"/>
  <c r="C180" i="2"/>
  <c r="D182" i="2"/>
  <c r="B182" i="2" s="1"/>
  <c r="E182" i="2"/>
  <c r="C183" i="2"/>
  <c r="B185" i="2"/>
  <c r="C186" i="2"/>
  <c r="D188" i="2"/>
  <c r="E188" i="2"/>
  <c r="C189" i="2"/>
  <c r="B191" i="2"/>
  <c r="C192" i="2"/>
  <c r="E194" i="2"/>
  <c r="B194" i="2" s="1"/>
  <c r="C195" i="2"/>
  <c r="B197" i="2"/>
  <c r="D197" i="2"/>
  <c r="C198" i="2"/>
  <c r="D200" i="2"/>
  <c r="B200" i="2" s="1"/>
  <c r="E200" i="2"/>
  <c r="C201" i="2"/>
  <c r="D203" i="2"/>
  <c r="E203" i="2"/>
  <c r="B214" i="2"/>
  <c r="D214" i="2"/>
  <c r="C215" i="2"/>
  <c r="D217" i="2"/>
  <c r="B217" i="2" s="1"/>
  <c r="C218" i="2"/>
  <c r="B220" i="2"/>
  <c r="D220" i="2"/>
  <c r="C221" i="2"/>
  <c r="D223" i="2"/>
  <c r="B223" i="2" s="1"/>
  <c r="C224" i="2"/>
  <c r="D226" i="2"/>
  <c r="E226" i="2"/>
  <c r="B226" i="2" s="1"/>
  <c r="C227" i="2"/>
  <c r="D229" i="2"/>
  <c r="E229" i="2"/>
  <c r="B229" i="2" s="1"/>
  <c r="C230" i="2"/>
  <c r="D232" i="2"/>
  <c r="E232" i="2"/>
  <c r="E235" i="2"/>
  <c r="B235" i="2" s="1"/>
  <c r="C236" i="2"/>
  <c r="E238" i="2"/>
  <c r="B238" i="2" s="1"/>
  <c r="C239" i="2"/>
  <c r="E241" i="2"/>
  <c r="B241" i="2" s="1"/>
  <c r="C242" i="2"/>
  <c r="D255" i="2"/>
  <c r="E255" i="2"/>
  <c r="C256" i="2"/>
  <c r="D258" i="2"/>
  <c r="E258" i="2"/>
  <c r="C259" i="2"/>
  <c r="B261" i="2"/>
  <c r="E261" i="2"/>
  <c r="C262" i="2"/>
  <c r="D264" i="2"/>
  <c r="E264" i="2"/>
  <c r="C265" i="2"/>
  <c r="D267" i="2"/>
  <c r="B267" i="2" s="1"/>
  <c r="E267" i="2"/>
  <c r="C268" i="2"/>
  <c r="B270" i="2"/>
  <c r="C271" i="2"/>
  <c r="D273" i="2"/>
  <c r="E273" i="2"/>
  <c r="C274" i="2"/>
  <c r="D276" i="2"/>
  <c r="E276" i="2"/>
  <c r="C277" i="2"/>
  <c r="D279" i="2"/>
  <c r="E279" i="2"/>
  <c r="C280" i="2"/>
  <c r="B282" i="2"/>
  <c r="C283" i="2"/>
  <c r="C285" i="2"/>
  <c r="G285" i="2"/>
  <c r="H285" i="2"/>
  <c r="F288" i="2"/>
  <c r="H288" i="2"/>
  <c r="F289" i="2"/>
  <c r="B53" i="1"/>
  <c r="B65" i="1"/>
  <c r="B135" i="1"/>
  <c r="B144" i="1"/>
  <c r="B188" i="1"/>
  <c r="B279" i="2" l="1"/>
  <c r="B179" i="2"/>
  <c r="B140" i="2"/>
  <c r="B114" i="2"/>
  <c r="D40" i="2"/>
  <c r="B17" i="2"/>
  <c r="B188" i="2"/>
  <c r="B149" i="2"/>
  <c r="D84" i="2"/>
  <c r="B96" i="2"/>
  <c r="B35" i="2"/>
  <c r="B285" i="2" s="1"/>
  <c r="B273" i="2"/>
  <c r="B258" i="2"/>
  <c r="B55" i="2"/>
  <c r="B20" i="2"/>
  <c r="B26" i="2"/>
  <c r="B14" i="2"/>
  <c r="F38" i="2"/>
  <c r="B131" i="2"/>
  <c r="B264" i="2"/>
  <c r="B276" i="2"/>
  <c r="B137" i="2"/>
  <c r="E285" i="2"/>
  <c r="B255" i="2"/>
  <c r="B90" i="2"/>
  <c r="B8" i="2"/>
  <c r="B234" i="1"/>
  <c r="B237" i="1"/>
  <c r="D288" i="2"/>
  <c r="D285" i="2"/>
  <c r="D245" i="2"/>
  <c r="D207" i="2"/>
  <c r="D162" i="2"/>
</calcChain>
</file>

<file path=xl/sharedStrings.xml><?xml version="1.0" encoding="utf-8"?>
<sst xmlns="http://schemas.openxmlformats.org/spreadsheetml/2006/main" count="354" uniqueCount="173">
  <si>
    <t>Alimasag</t>
  </si>
  <si>
    <t>Alumahan</t>
  </si>
  <si>
    <t>Asohos</t>
  </si>
  <si>
    <t>Bagulan</t>
  </si>
  <si>
    <t>Baliwis</t>
  </si>
  <si>
    <t>Bangus</t>
  </si>
  <si>
    <t>Bisugo</t>
  </si>
  <si>
    <t>Bunak</t>
  </si>
  <si>
    <t>Burao</t>
  </si>
  <si>
    <t>Dilis</t>
  </si>
  <si>
    <t>Espada</t>
  </si>
  <si>
    <t>Galunggong</t>
  </si>
  <si>
    <t>Gulyasan</t>
  </si>
  <si>
    <t>Hipon</t>
  </si>
  <si>
    <t>Kalaso</t>
  </si>
  <si>
    <t>Kanuping</t>
  </si>
  <si>
    <t>Labahita</t>
  </si>
  <si>
    <t>Lapu-lapu</t>
  </si>
  <si>
    <t>Tulingan</t>
  </si>
  <si>
    <t>Samaral</t>
  </si>
  <si>
    <t>Sapsap</t>
  </si>
  <si>
    <t>Saramulyete</t>
  </si>
  <si>
    <t>Siga</t>
  </si>
  <si>
    <t>Talakitok</t>
  </si>
  <si>
    <t>Tambakol</t>
  </si>
  <si>
    <t>Tamban</t>
  </si>
  <si>
    <t>Tanigue</t>
  </si>
  <si>
    <t>Tilapia</t>
  </si>
  <si>
    <t>Torcillo</t>
  </si>
  <si>
    <t>Salmon</t>
  </si>
  <si>
    <t>Alatan</t>
  </si>
  <si>
    <t>Dulong</t>
  </si>
  <si>
    <t>Kalapato</t>
  </si>
  <si>
    <t>Pusit (carpet)</t>
  </si>
  <si>
    <t>Butete</t>
  </si>
  <si>
    <t>Hiwas</t>
  </si>
  <si>
    <t>Oriles</t>
  </si>
  <si>
    <t>Pargo</t>
  </si>
  <si>
    <t>Banak</t>
  </si>
  <si>
    <t>Batalay</t>
  </si>
  <si>
    <t>Burara</t>
  </si>
  <si>
    <t>Pugita</t>
  </si>
  <si>
    <t>Salay-salay</t>
  </si>
  <si>
    <t>MONTHLY VOLUME OF FISH per BROKER</t>
  </si>
  <si>
    <t xml:space="preserve">                    CY - 2005</t>
  </si>
  <si>
    <t>SPECIES</t>
  </si>
  <si>
    <t>JAN</t>
  </si>
  <si>
    <t>FEB</t>
  </si>
  <si>
    <t>OCT</t>
  </si>
  <si>
    <t>NOV</t>
  </si>
  <si>
    <t>DEC</t>
  </si>
  <si>
    <t xml:space="preserve">TABLE  03.  </t>
  </si>
  <si>
    <t>TOTAL</t>
  </si>
  <si>
    <t>VOLUME</t>
  </si>
  <si>
    <t>AWP</t>
  </si>
  <si>
    <t>FEB.</t>
  </si>
  <si>
    <t xml:space="preserve"> MARCH</t>
  </si>
  <si>
    <t xml:space="preserve">  APRIL</t>
  </si>
  <si>
    <t xml:space="preserve"> M AY</t>
  </si>
  <si>
    <t xml:space="preserve"> JUNE</t>
  </si>
  <si>
    <t>JULY</t>
  </si>
  <si>
    <t>AUGUST</t>
  </si>
  <si>
    <t>SEPT</t>
  </si>
  <si>
    <t>Alimango</t>
  </si>
  <si>
    <t xml:space="preserve">  MARCH</t>
  </si>
  <si>
    <t xml:space="preserve"> APRIL</t>
  </si>
  <si>
    <t>M AY</t>
  </si>
  <si>
    <t>JUNE</t>
  </si>
  <si>
    <t>Big Head</t>
  </si>
  <si>
    <t>(Karpa)</t>
  </si>
  <si>
    <t>Bugaong</t>
  </si>
  <si>
    <t>Bugiw</t>
  </si>
  <si>
    <t>- 2 -</t>
  </si>
  <si>
    <t>Dilat/siga</t>
  </si>
  <si>
    <t>Dorado</t>
  </si>
  <si>
    <t>Ginto--ginto</t>
  </si>
  <si>
    <t>- 3 -</t>
  </si>
  <si>
    <t>Kapis(Scallop)</t>
  </si>
  <si>
    <t>- 4 -</t>
  </si>
  <si>
    <t>Manitis</t>
  </si>
  <si>
    <t>Maya-maya</t>
  </si>
  <si>
    <t>Ning-ning</t>
  </si>
  <si>
    <t>Pagi</t>
  </si>
  <si>
    <t>Patalay</t>
  </si>
  <si>
    <t>Pating</t>
  </si>
  <si>
    <t>Pusit</t>
  </si>
  <si>
    <t>Sagisi</t>
  </si>
  <si>
    <t>Siwarik</t>
  </si>
  <si>
    <t>Sugpo</t>
  </si>
  <si>
    <t xml:space="preserve">Tanigue </t>
  </si>
  <si>
    <t>(Aswang)</t>
  </si>
  <si>
    <t>Yamas</t>
  </si>
  <si>
    <t>GRAND  TOTAL</t>
  </si>
  <si>
    <t xml:space="preserve">               AWP</t>
  </si>
  <si>
    <t>CALENDAR YEAR 2006.</t>
  </si>
  <si>
    <t>Aswang</t>
  </si>
  <si>
    <t>Bidbid</t>
  </si>
  <si>
    <t>Dalagang Bukid</t>
  </si>
  <si>
    <t>Malasugui</t>
  </si>
  <si>
    <t>Tahong</t>
  </si>
  <si>
    <t>Tambakulis</t>
  </si>
  <si>
    <r>
      <t xml:space="preserve">MONTHLY VOLUME </t>
    </r>
    <r>
      <rPr>
        <b/>
        <sz val="10"/>
        <rFont val="Arial"/>
        <family val="2"/>
      </rPr>
      <t>(in kgs.</t>
    </r>
    <r>
      <rPr>
        <sz val="10"/>
        <rFont val="Arial"/>
        <family val="2"/>
      </rPr>
      <t>) OF FISH UNLOADED PER SPECIE,  LUCENA FISHING PORT COMPLEX, DALAHICAN, LUCENA CITY:</t>
    </r>
  </si>
  <si>
    <t>Mais-mais</t>
  </si>
  <si>
    <t>Jan</t>
  </si>
  <si>
    <t>Feb</t>
  </si>
  <si>
    <t>AUG</t>
  </si>
  <si>
    <t>TOTAL VOLUME</t>
  </si>
  <si>
    <t>PRICE</t>
  </si>
  <si>
    <t>MAR</t>
  </si>
  <si>
    <t>APR</t>
  </si>
  <si>
    <r>
      <t>Iliw/</t>
    </r>
    <r>
      <rPr>
        <b/>
        <sz val="9"/>
        <rFont val="Arial"/>
        <family val="2"/>
      </rPr>
      <t>Bugiw</t>
    </r>
    <r>
      <rPr>
        <b/>
        <sz val="10"/>
        <rFont val="Arial"/>
        <family val="2"/>
      </rPr>
      <t xml:space="preserve"> </t>
    </r>
    <r>
      <rPr>
        <b/>
        <sz val="9"/>
        <rFont val="Arial"/>
        <family val="2"/>
      </rPr>
      <t>Flying fish</t>
    </r>
  </si>
  <si>
    <t>Lucena Fish Port Complex</t>
  </si>
  <si>
    <t>TRANSSHIPMENT</t>
  </si>
  <si>
    <t>GRAND TOTAL</t>
  </si>
  <si>
    <t>ALUMAHAN (Long-jawed Mackerel)</t>
  </si>
  <si>
    <r>
      <t xml:space="preserve">BISUGO </t>
    </r>
    <r>
      <rPr>
        <sz val="10"/>
        <rFont val="Arial"/>
        <family val="2"/>
      </rPr>
      <t>(Threadfin Bream)</t>
    </r>
  </si>
  <si>
    <r>
      <t xml:space="preserve">DORADO </t>
    </r>
    <r>
      <rPr>
        <sz val="10"/>
        <rFont val="Arial"/>
        <family val="2"/>
      </rPr>
      <t>(Dolphin Fish)</t>
    </r>
  </si>
  <si>
    <r>
      <t xml:space="preserve">DILIS   </t>
    </r>
    <r>
      <rPr>
        <sz val="11"/>
        <rFont val="Arial"/>
        <family val="2"/>
      </rPr>
      <t>(Anchovy)</t>
    </r>
  </si>
  <si>
    <r>
      <t xml:space="preserve">LABAHITA </t>
    </r>
    <r>
      <rPr>
        <sz val="10"/>
        <rFont val="Arial"/>
        <family val="2"/>
      </rPr>
      <t>(Unicorn Fish or Surgeon Fish)</t>
    </r>
  </si>
  <si>
    <r>
      <t xml:space="preserve">LAPU-LAPU </t>
    </r>
    <r>
      <rPr>
        <sz val="11"/>
        <rFont val="Arial"/>
        <family val="2"/>
      </rPr>
      <t>(Grouper)</t>
    </r>
  </si>
  <si>
    <r>
      <t xml:space="preserve">MAYA-MAYA </t>
    </r>
    <r>
      <rPr>
        <sz val="10.5"/>
        <rFont val="Arial"/>
        <family val="2"/>
      </rPr>
      <t>(Red Snapper)</t>
    </r>
  </si>
  <si>
    <t>Saramulyete/ Manitis</t>
  </si>
  <si>
    <t>SALAY GUINTO</t>
  </si>
  <si>
    <t>(Scad)</t>
  </si>
  <si>
    <r>
      <t xml:space="preserve">TALAKITOK/ MALIPUTO </t>
    </r>
    <r>
      <rPr>
        <sz val="8"/>
        <rFont val="Arial"/>
        <family val="2"/>
      </rPr>
      <t>(Trevally,Jack,Cavalla)</t>
    </r>
  </si>
  <si>
    <t>SCALLOP</t>
  </si>
  <si>
    <t>SIGA</t>
  </si>
  <si>
    <t>SIWARIK</t>
  </si>
  <si>
    <r>
      <t xml:space="preserve">SUGPO </t>
    </r>
    <r>
      <rPr>
        <sz val="10"/>
        <rFont val="Arial"/>
        <family val="2"/>
      </rPr>
      <t>(Prawn)</t>
    </r>
  </si>
  <si>
    <r>
      <t xml:space="preserve">TAMBAKOL </t>
    </r>
    <r>
      <rPr>
        <sz val="10.5"/>
        <rFont val="Arial"/>
        <family val="2"/>
      </rPr>
      <t>(Skipjack Tuna)</t>
    </r>
  </si>
  <si>
    <r>
      <t xml:space="preserve">TANIGUE </t>
    </r>
    <r>
      <rPr>
        <sz val="10.5"/>
        <rFont val="Arial"/>
        <family val="2"/>
      </rPr>
      <t>(Spanish Mackerel)</t>
    </r>
  </si>
  <si>
    <t>TANIGUE/ (aswang)</t>
  </si>
  <si>
    <r>
      <t xml:space="preserve">TAWILIS </t>
    </r>
    <r>
      <rPr>
        <sz val="10.5"/>
        <rFont val="Arial"/>
        <family val="2"/>
      </rPr>
      <t>(Herring)</t>
    </r>
  </si>
  <si>
    <t>BAGOONG</t>
  </si>
  <si>
    <t>BALIWIS</t>
  </si>
  <si>
    <t>BARAKUDA</t>
  </si>
  <si>
    <t>BATALAY</t>
  </si>
  <si>
    <r>
      <t xml:space="preserve">BANGUS       </t>
    </r>
    <r>
      <rPr>
        <sz val="10"/>
        <rFont val="Arial"/>
        <family val="2"/>
      </rPr>
      <t>(Milk Fish)</t>
    </r>
  </si>
  <si>
    <t>BUNAK</t>
  </si>
  <si>
    <r>
      <t xml:space="preserve">BURARA        </t>
    </r>
    <r>
      <rPr>
        <sz val="10.5"/>
        <rFont val="Arial"/>
        <family val="2"/>
      </rPr>
      <t>(Big eye snapper)</t>
    </r>
  </si>
  <si>
    <t>BUROT</t>
  </si>
  <si>
    <r>
      <t xml:space="preserve">DULONG     </t>
    </r>
    <r>
      <rPr>
        <sz val="10.5"/>
        <rFont val="Arial"/>
        <family val="2"/>
      </rPr>
      <t>(Starry Goby)</t>
    </r>
  </si>
  <si>
    <r>
      <rPr>
        <b/>
        <sz val="9"/>
        <rFont val="Arial"/>
        <family val="2"/>
      </rPr>
      <t xml:space="preserve">DALAGANG BUKID </t>
    </r>
    <r>
      <rPr>
        <b/>
        <sz val="8"/>
        <rFont val="Arial"/>
        <family val="2"/>
      </rPr>
      <t xml:space="preserve"> </t>
    </r>
    <r>
      <rPr>
        <sz val="10"/>
        <rFont val="Arial"/>
        <family val="2"/>
      </rPr>
      <t>(Yellow Tail Fusilier/Caesio)</t>
    </r>
  </si>
  <si>
    <r>
      <t xml:space="preserve">GALUNGGONG </t>
    </r>
    <r>
      <rPr>
        <sz val="10.5"/>
        <rFont val="Arial"/>
        <family val="2"/>
      </rPr>
      <t>(Hard Tail Mackerel)</t>
    </r>
  </si>
  <si>
    <t>HIPON</t>
  </si>
  <si>
    <r>
      <t xml:space="preserve">GULYASAN </t>
    </r>
    <r>
      <rPr>
        <sz val="10"/>
        <rFont val="Arial"/>
        <family val="2"/>
      </rPr>
      <t>(Skipjack Tuna/ Stripped Tuna)</t>
    </r>
  </si>
  <si>
    <t>KALAPATO</t>
  </si>
  <si>
    <t>KALASO</t>
  </si>
  <si>
    <t>KANUPING</t>
  </si>
  <si>
    <t>NING-NING</t>
  </si>
  <si>
    <t>ORILES</t>
  </si>
  <si>
    <t>PUSIT(Carpet)</t>
  </si>
  <si>
    <t>TANASIA</t>
  </si>
  <si>
    <r>
      <t xml:space="preserve">TILAPIA          </t>
    </r>
    <r>
      <rPr>
        <sz val="10"/>
        <rFont val="Arial"/>
        <family val="2"/>
      </rPr>
      <t>(St. Peter Fish)</t>
    </r>
  </si>
  <si>
    <t>TORCILLO</t>
  </si>
  <si>
    <t>TULIS</t>
  </si>
  <si>
    <r>
      <t xml:space="preserve">MALASUGUI </t>
    </r>
    <r>
      <rPr>
        <sz val="9"/>
        <rFont val="Arial"/>
        <family val="2"/>
      </rPr>
      <t>(Black or White Marlin/Sword Fish</t>
    </r>
    <r>
      <rPr>
        <sz val="9.5"/>
        <rFont val="Arial"/>
        <family val="2"/>
      </rPr>
      <t>)</t>
    </r>
  </si>
  <si>
    <r>
      <t xml:space="preserve">SAGUISE     </t>
    </r>
    <r>
      <rPr>
        <sz val="10"/>
        <rFont val="Arial"/>
        <family val="2"/>
      </rPr>
      <t>(Deep red water/Long tail red snapper/</t>
    </r>
  </si>
  <si>
    <r>
      <t xml:space="preserve">HIWAS/CHABITA        </t>
    </r>
    <r>
      <rPr>
        <sz val="10.5"/>
        <rFont val="Arial"/>
        <family val="2"/>
      </rPr>
      <t>(Moon Fish)</t>
    </r>
  </si>
  <si>
    <t xml:space="preserve">PUSIT  </t>
  </si>
  <si>
    <r>
      <rPr>
        <b/>
        <sz val="8"/>
        <rFont val="Arial"/>
        <family val="2"/>
      </rPr>
      <t>BURAO</t>
    </r>
    <r>
      <rPr>
        <b/>
        <sz val="10"/>
        <rFont val="Arial"/>
        <family val="2"/>
      </rPr>
      <t>/</t>
    </r>
    <r>
      <rPr>
        <sz val="8"/>
        <rFont val="Arial Narrow Special G1"/>
        <family val="2"/>
        <charset val="2"/>
      </rPr>
      <t>MATANGBAKA</t>
    </r>
    <r>
      <rPr>
        <b/>
        <sz val="8"/>
        <rFont val="Arial Narrow Special G1"/>
        <family val="2"/>
        <charset val="2"/>
      </rPr>
      <t xml:space="preserve">                           </t>
    </r>
    <r>
      <rPr>
        <sz val="10"/>
        <rFont val="Arial"/>
        <family val="2"/>
      </rPr>
      <t>(Purse-eyed scad)</t>
    </r>
  </si>
  <si>
    <t>TULINGAN (Frigate Tuna)</t>
  </si>
  <si>
    <r>
      <t xml:space="preserve">TAMBAN </t>
    </r>
    <r>
      <rPr>
        <sz val="10"/>
        <rFont val="Arial"/>
        <family val="2"/>
      </rPr>
      <t xml:space="preserve"> (Sardinella/Indian sardines)</t>
    </r>
  </si>
  <si>
    <r>
      <t xml:space="preserve">ALIMASAG    </t>
    </r>
    <r>
      <rPr>
        <sz val="10"/>
        <rFont val="Arial"/>
        <family val="2"/>
      </rPr>
      <t>(Blue Crab)</t>
    </r>
  </si>
  <si>
    <r>
      <t>SAPSAP</t>
    </r>
    <r>
      <rPr>
        <sz val="8.5"/>
        <rFont val="Arial"/>
        <family val="2"/>
      </rPr>
      <t>(Small Flat Fish/Slipmouth, Ponyfish)</t>
    </r>
  </si>
  <si>
    <r>
      <t xml:space="preserve">ESPADA        </t>
    </r>
    <r>
      <rPr>
        <sz val="10"/>
        <rFont val="Arial"/>
        <family val="2"/>
      </rPr>
      <t>(Belt Fish/Hairtail)</t>
    </r>
  </si>
  <si>
    <r>
      <t xml:space="preserve">ALAMANG    </t>
    </r>
    <r>
      <rPr>
        <sz val="10"/>
        <rFont val="Arial"/>
        <family val="2"/>
      </rPr>
      <t>(Acetes)</t>
    </r>
  </si>
  <si>
    <t>PARGO</t>
  </si>
  <si>
    <r>
      <t xml:space="preserve">MONTHLY VOLUME OF FISH UNLOADED and TRANSSHIPED (in M.T.) PER SPECIE  </t>
    </r>
    <r>
      <rPr>
        <b/>
        <sz val="11"/>
        <rFont val="Arial"/>
        <family val="2"/>
      </rPr>
      <t>CY - 2019</t>
    </r>
    <r>
      <rPr>
        <sz val="11"/>
        <rFont val="Arial"/>
        <family val="2"/>
      </rPr>
      <t>.</t>
    </r>
  </si>
  <si>
    <t>continuation of Fish Unloaded per Specie CY-2019.</t>
  </si>
  <si>
    <t>CARPA/Imelda</t>
  </si>
  <si>
    <t>TUNA/Pink Salmon</t>
  </si>
  <si>
    <t>(Needle Fish)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</si>
</sst>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#,##0.000_);\(#,##0.000\)"/>
    <numFmt numFmtId="168" formatCode="#,##0.00;[Red]#,##0.00"/>
    <numFmt numFmtId="169" formatCode="0.00;[Red]0.00"/>
    <numFmt numFmtId="170" formatCode="#,##0.000;[Red]#,##0.000"/>
    <numFmt numFmtId="171" formatCode="#,##0;[Red]#,##0"/>
    <numFmt numFmtId="172" formatCode="_(* #,##0.0_);_(* \(#,##0.0\);_(* &quot;-&quot;??_);_(@_)"/>
  </numFmts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36"/>
      <name val="Comic Sans MS"/>
      <family val="4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color rgb="FF19049A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i/>
      <sz val="12"/>
      <color rgb="FFFF0000"/>
      <name val="Calibri"/>
      <family val="2"/>
      <scheme val="minor"/>
    </font>
    <font>
      <b/>
      <sz val="12"/>
      <name val="Times New Roman"/>
      <family val="1"/>
    </font>
    <font>
      <b/>
      <i/>
      <sz val="10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sz val="10.5"/>
      <name val="Arial"/>
      <family val="2"/>
    </font>
    <font>
      <sz val="9.5"/>
      <name val="Arial"/>
      <family val="2"/>
    </font>
    <font>
      <b/>
      <sz val="8"/>
      <name val="Calibri"/>
      <family val="2"/>
      <scheme val="minor"/>
    </font>
    <font>
      <b/>
      <sz val="8"/>
      <name val="Arial Narrow Special G1"/>
      <family val="2"/>
      <charset val="2"/>
    </font>
    <font>
      <sz val="8"/>
      <name val="Arial Narrow Special G1"/>
      <family val="2"/>
      <charset val="2"/>
    </font>
    <font>
      <sz val="8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9C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65" fontId="0" fillId="0" borderId="5" xfId="1" applyNumberFormat="1" applyFont="1" applyBorder="1"/>
    <xf numFmtId="2" fontId="0" fillId="0" borderId="0" xfId="0" applyNumberFormat="1"/>
    <xf numFmtId="43" fontId="0" fillId="0" borderId="0" xfId="1" applyFont="1"/>
    <xf numFmtId="0" fontId="0" fillId="0" borderId="6" xfId="0" applyBorder="1"/>
    <xf numFmtId="165" fontId="0" fillId="0" borderId="6" xfId="1" applyNumberFormat="1" applyFont="1" applyBorder="1"/>
    <xf numFmtId="0" fontId="0" fillId="0" borderId="0" xfId="0" quotePrefix="1" applyAlignment="1">
      <alignment horizontal="center"/>
    </xf>
    <xf numFmtId="165" fontId="0" fillId="0" borderId="2" xfId="1" applyNumberFormat="1" applyFont="1" applyBorder="1"/>
    <xf numFmtId="165" fontId="0" fillId="0" borderId="0" xfId="1" applyNumberFormat="1" applyFont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3" fillId="0" borderId="6" xfId="0" applyFont="1" applyBorder="1"/>
    <xf numFmtId="2" fontId="0" fillId="0" borderId="0" xfId="0" quotePrefix="1" applyNumberFormat="1" applyAlignment="1">
      <alignment horizontal="center"/>
    </xf>
    <xf numFmtId="165" fontId="3" fillId="0" borderId="2" xfId="1" applyNumberFormat="1" applyFont="1" applyBorder="1"/>
    <xf numFmtId="0" fontId="3" fillId="0" borderId="4" xfId="0" applyFont="1" applyBorder="1"/>
    <xf numFmtId="165" fontId="0" fillId="0" borderId="4" xfId="1" applyNumberFormat="1" applyFont="1" applyBorder="1"/>
    <xf numFmtId="0" fontId="6" fillId="0" borderId="5" xfId="0" applyFont="1" applyBorder="1" applyAlignment="1">
      <alignment horizontal="center"/>
    </xf>
    <xf numFmtId="165" fontId="3" fillId="0" borderId="0" xfId="0" quotePrefix="1" applyNumberFormat="1" applyFont="1"/>
    <xf numFmtId="165" fontId="3" fillId="0" borderId="5" xfId="0" quotePrefix="1" applyNumberFormat="1" applyFont="1" applyBorder="1"/>
    <xf numFmtId="165" fontId="3" fillId="0" borderId="5" xfId="1" quotePrefix="1" applyNumberFormat="1" applyFont="1" applyBorder="1"/>
    <xf numFmtId="165" fontId="3" fillId="0" borderId="0" xfId="0" applyNumberFormat="1" applyFont="1"/>
    <xf numFmtId="0" fontId="3" fillId="0" borderId="4" xfId="0" applyFont="1" applyBorder="1" applyAlignment="1">
      <alignment horizontal="left"/>
    </xf>
    <xf numFmtId="165" fontId="3" fillId="0" borderId="4" xfId="1" applyNumberFormat="1" applyFont="1" applyBorder="1"/>
    <xf numFmtId="2" fontId="3" fillId="0" borderId="4" xfId="0" applyNumberFormat="1" applyFont="1" applyBorder="1"/>
    <xf numFmtId="2" fontId="3" fillId="0" borderId="2" xfId="0" applyNumberFormat="1" applyFont="1" applyBorder="1"/>
    <xf numFmtId="37" fontId="4" fillId="0" borderId="1" xfId="0" applyNumberFormat="1" applyFont="1" applyBorder="1" applyAlignment="1">
      <alignment horizontal="left"/>
    </xf>
    <xf numFmtId="37" fontId="4" fillId="0" borderId="1" xfId="1" applyNumberFormat="1" applyFont="1" applyBorder="1" applyAlignment="1" applyProtection="1">
      <alignment horizontal="left"/>
    </xf>
    <xf numFmtId="167" fontId="4" fillId="0" borderId="1" xfId="0" applyNumberFormat="1" applyFont="1" applyBorder="1" applyAlignment="1">
      <alignment horizontal="left"/>
    </xf>
    <xf numFmtId="167" fontId="4" fillId="0" borderId="1" xfId="1" applyNumberFormat="1" applyFont="1" applyBorder="1" applyAlignment="1" applyProtection="1">
      <alignment horizontal="left"/>
    </xf>
    <xf numFmtId="167" fontId="4" fillId="0" borderId="1" xfId="1" applyNumberFormat="1" applyFont="1" applyBorder="1" applyAlignment="1">
      <alignment horizontal="left"/>
    </xf>
    <xf numFmtId="37" fontId="4" fillId="0" borderId="1" xfId="1" applyNumberFormat="1" applyFont="1" applyBorder="1" applyAlignment="1">
      <alignment horizontal="left"/>
    </xf>
    <xf numFmtId="164" fontId="0" fillId="0" borderId="0" xfId="0" applyNumberFormat="1"/>
    <xf numFmtId="43" fontId="3" fillId="0" borderId="5" xfId="1" quotePrefix="1" applyFont="1" applyBorder="1"/>
    <xf numFmtId="43" fontId="3" fillId="0" borderId="0" xfId="1" quotePrefix="1" applyFont="1" applyBorder="1"/>
    <xf numFmtId="37" fontId="0" fillId="0" borderId="7" xfId="0" applyNumberFormat="1" applyBorder="1"/>
    <xf numFmtId="37" fontId="0" fillId="0" borderId="0" xfId="0" applyNumberFormat="1"/>
    <xf numFmtId="37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5" fontId="3" fillId="0" borderId="1" xfId="1" applyNumberFormat="1" applyFont="1" applyBorder="1"/>
    <xf numFmtId="0" fontId="3" fillId="0" borderId="1" xfId="0" applyFont="1" applyBorder="1"/>
    <xf numFmtId="165" fontId="0" fillId="0" borderId="1" xfId="1" applyNumberFormat="1" applyFont="1" applyBorder="1"/>
    <xf numFmtId="2" fontId="3" fillId="0" borderId="1" xfId="0" applyNumberFormat="1" applyFont="1" applyBorder="1"/>
    <xf numFmtId="165" fontId="0" fillId="0" borderId="1" xfId="1" quotePrefix="1" applyNumberFormat="1" applyFont="1" applyBorder="1"/>
    <xf numFmtId="2" fontId="0" fillId="0" borderId="1" xfId="0" applyNumberFormat="1" applyBorder="1"/>
    <xf numFmtId="43" fontId="0" fillId="0" borderId="1" xfId="1" applyFont="1" applyBorder="1"/>
    <xf numFmtId="0" fontId="0" fillId="0" borderId="1" xfId="0" quotePrefix="1" applyBorder="1"/>
    <xf numFmtId="43" fontId="0" fillId="0" borderId="1" xfId="1" quotePrefix="1" applyFont="1" applyBorder="1"/>
    <xf numFmtId="165" fontId="0" fillId="0" borderId="1" xfId="0" applyNumberFormat="1" applyBorder="1"/>
    <xf numFmtId="165" fontId="3" fillId="0" borderId="6" xfId="1" applyNumberFormat="1" applyFont="1" applyBorder="1"/>
    <xf numFmtId="3" fontId="0" fillId="0" borderId="1" xfId="0" quotePrefix="1" applyNumberFormat="1" applyBorder="1"/>
    <xf numFmtId="165" fontId="0" fillId="0" borderId="8" xfId="1" applyNumberFormat="1" applyFont="1" applyBorder="1"/>
    <xf numFmtId="0" fontId="0" fillId="0" borderId="9" xfId="0" applyBorder="1"/>
    <xf numFmtId="167" fontId="4" fillId="0" borderId="6" xfId="1" applyNumberFormat="1" applyFont="1" applyBorder="1" applyAlignment="1">
      <alignment horizontal="left"/>
    </xf>
    <xf numFmtId="0" fontId="0" fillId="0" borderId="8" xfId="0" applyBorder="1"/>
    <xf numFmtId="0" fontId="0" fillId="0" borderId="10" xfId="0" applyBorder="1"/>
    <xf numFmtId="165" fontId="0" fillId="0" borderId="10" xfId="1" applyNumberFormat="1" applyFont="1" applyBorder="1"/>
    <xf numFmtId="165" fontId="0" fillId="0" borderId="9" xfId="1" applyNumberFormat="1" applyFont="1" applyBorder="1"/>
    <xf numFmtId="2" fontId="0" fillId="0" borderId="1" xfId="1" applyNumberFormat="1" applyFont="1" applyBorder="1"/>
    <xf numFmtId="2" fontId="0" fillId="0" borderId="1" xfId="1" quotePrefix="1" applyNumberFormat="1" applyFont="1" applyBorder="1"/>
    <xf numFmtId="2" fontId="0" fillId="0" borderId="1" xfId="0" quotePrefix="1" applyNumberFormat="1" applyBorder="1"/>
    <xf numFmtId="165" fontId="0" fillId="0" borderId="6" xfId="1" quotePrefix="1" applyNumberFormat="1" applyFont="1" applyBorder="1"/>
    <xf numFmtId="0" fontId="0" fillId="0" borderId="6" xfId="0" quotePrefix="1" applyBorder="1"/>
    <xf numFmtId="165" fontId="0" fillId="0" borderId="1" xfId="1" quotePrefix="1" applyNumberFormat="1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6" fontId="7" fillId="0" borderId="0" xfId="0" applyNumberFormat="1" applyFont="1"/>
    <xf numFmtId="166" fontId="7" fillId="0" borderId="0" xfId="1" applyNumberFormat="1" applyFont="1"/>
    <xf numFmtId="37" fontId="0" fillId="0" borderId="0" xfId="1" applyNumberFormat="1" applyFont="1"/>
    <xf numFmtId="165" fontId="0" fillId="0" borderId="0" xfId="0" applyNumberFormat="1"/>
    <xf numFmtId="166" fontId="2" fillId="0" borderId="0" xfId="0" applyNumberFormat="1" applyFont="1"/>
    <xf numFmtId="43" fontId="0" fillId="0" borderId="0" xfId="0" applyNumberFormat="1"/>
    <xf numFmtId="167" fontId="11" fillId="0" borderId="1" xfId="0" applyNumberFormat="1" applyFont="1" applyBorder="1" applyAlignment="1">
      <alignment horizontal="left"/>
    </xf>
    <xf numFmtId="2" fontId="11" fillId="0" borderId="1" xfId="0" applyNumberFormat="1" applyFont="1" applyBorder="1"/>
    <xf numFmtId="0" fontId="11" fillId="0" borderId="1" xfId="0" applyFont="1" applyBorder="1" applyAlignment="1">
      <alignment horizontal="left"/>
    </xf>
    <xf numFmtId="167" fontId="11" fillId="0" borderId="1" xfId="1" applyNumberFormat="1" applyFont="1" applyBorder="1" applyAlignment="1">
      <alignment horizontal="left"/>
    </xf>
    <xf numFmtId="39" fontId="11" fillId="0" borderId="1" xfId="0" applyNumberFormat="1" applyFont="1" applyBorder="1" applyAlignment="1">
      <alignment horizontal="right"/>
    </xf>
    <xf numFmtId="37" fontId="11" fillId="0" borderId="1" xfId="1" applyNumberFormat="1" applyFont="1" applyBorder="1" applyAlignment="1" applyProtection="1">
      <alignment horizontal="left"/>
    </xf>
    <xf numFmtId="39" fontId="0" fillId="0" borderId="0" xfId="0" applyNumberFormat="1"/>
    <xf numFmtId="43" fontId="7" fillId="0" borderId="0" xfId="1" applyFont="1"/>
    <xf numFmtId="43" fontId="7" fillId="0" borderId="0" xfId="0" applyNumberFormat="1" applyFont="1"/>
    <xf numFmtId="170" fontId="0" fillId="0" borderId="0" xfId="0" applyNumberFormat="1"/>
    <xf numFmtId="0" fontId="0" fillId="3" borderId="13" xfId="0" applyFill="1" applyBorder="1"/>
    <xf numFmtId="0" fontId="3" fillId="3" borderId="5" xfId="0" applyFont="1" applyFill="1" applyBorder="1"/>
    <xf numFmtId="0" fontId="0" fillId="3" borderId="6" xfId="0" applyFill="1" applyBorder="1"/>
    <xf numFmtId="0" fontId="0" fillId="3" borderId="5" xfId="0" applyFill="1" applyBorder="1"/>
    <xf numFmtId="2" fontId="12" fillId="3" borderId="0" xfId="0" applyNumberFormat="1" applyFont="1" applyFill="1"/>
    <xf numFmtId="0" fontId="0" fillId="3" borderId="0" xfId="0" applyFill="1"/>
    <xf numFmtId="0" fontId="8" fillId="3" borderId="0" xfId="0" applyFont="1" applyFill="1"/>
    <xf numFmtId="0" fontId="0" fillId="3" borderId="2" xfId="0" applyFill="1" applyBorder="1"/>
    <xf numFmtId="0" fontId="13" fillId="3" borderId="5" xfId="0" applyFont="1" applyFill="1" applyBorder="1"/>
    <xf numFmtId="0" fontId="1" fillId="3" borderId="6" xfId="0" applyFont="1" applyFill="1" applyBorder="1"/>
    <xf numFmtId="0" fontId="4" fillId="3" borderId="0" xfId="0" applyFont="1" applyFill="1"/>
    <xf numFmtId="0" fontId="0" fillId="3" borderId="14" xfId="0" applyFill="1" applyBorder="1"/>
    <xf numFmtId="39" fontId="11" fillId="0" borderId="1" xfId="0" applyNumberFormat="1" applyFont="1" applyBorder="1"/>
    <xf numFmtId="165" fontId="11" fillId="0" borderId="1" xfId="1" applyNumberFormat="1" applyFont="1" applyBorder="1"/>
    <xf numFmtId="37" fontId="11" fillId="0" borderId="1" xfId="0" applyNumberFormat="1" applyFont="1" applyBorder="1"/>
    <xf numFmtId="0" fontId="11" fillId="0" borderId="1" xfId="0" applyFont="1" applyBorder="1"/>
    <xf numFmtId="164" fontId="11" fillId="0" borderId="1" xfId="0" applyNumberFormat="1" applyFont="1" applyBorder="1"/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0" xfId="0" applyFont="1"/>
    <xf numFmtId="39" fontId="14" fillId="0" borderId="1" xfId="0" applyNumberFormat="1" applyFont="1" applyBorder="1"/>
    <xf numFmtId="37" fontId="14" fillId="0" borderId="1" xfId="0" applyNumberFormat="1" applyFont="1" applyBorder="1"/>
    <xf numFmtId="2" fontId="11" fillId="0" borderId="0" xfId="0" applyNumberFormat="1" applyFont="1"/>
    <xf numFmtId="39" fontId="14" fillId="0" borderId="0" xfId="0" applyNumberFormat="1" applyFont="1"/>
    <xf numFmtId="2" fontId="14" fillId="0" borderId="0" xfId="0" applyNumberFormat="1" applyFont="1"/>
    <xf numFmtId="37" fontId="14" fillId="0" borderId="0" xfId="0" applyNumberFormat="1" applyFont="1"/>
    <xf numFmtId="2" fontId="14" fillId="0" borderId="0" xfId="0" applyNumberFormat="1" applyFont="1" applyAlignment="1">
      <alignment horizontal="right"/>
    </xf>
    <xf numFmtId="165" fontId="14" fillId="0" borderId="2" xfId="1" applyNumberFormat="1" applyFont="1" applyBorder="1"/>
    <xf numFmtId="0" fontId="14" fillId="0" borderId="2" xfId="0" applyFont="1" applyBorder="1"/>
    <xf numFmtId="0" fontId="15" fillId="2" borderId="4" xfId="0" applyFont="1" applyFill="1" applyBorder="1" applyAlignment="1">
      <alignment horizontal="right"/>
    </xf>
    <xf numFmtId="165" fontId="14" fillId="0" borderId="1" xfId="1" applyNumberFormat="1" applyFont="1" applyBorder="1"/>
    <xf numFmtId="39" fontId="11" fillId="0" borderId="5" xfId="0" applyNumberFormat="1" applyFont="1" applyBorder="1"/>
    <xf numFmtId="0" fontId="11" fillId="0" borderId="5" xfId="0" applyFont="1" applyBorder="1"/>
    <xf numFmtId="0" fontId="11" fillId="0" borderId="0" xfId="0" applyFont="1"/>
    <xf numFmtId="165" fontId="11" fillId="0" borderId="0" xfId="1" applyNumberFormat="1" applyFont="1"/>
    <xf numFmtId="165" fontId="11" fillId="0" borderId="5" xfId="1" applyNumberFormat="1" applyFont="1" applyBorder="1"/>
    <xf numFmtId="43" fontId="14" fillId="0" borderId="0" xfId="1" applyFont="1" applyBorder="1"/>
    <xf numFmtId="0" fontId="14" fillId="0" borderId="1" xfId="0" applyFont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2" fontId="11" fillId="0" borderId="1" xfId="1" applyNumberFormat="1" applyFont="1" applyBorder="1"/>
    <xf numFmtId="43" fontId="11" fillId="0" borderId="1" xfId="1" applyFont="1" applyBorder="1"/>
    <xf numFmtId="165" fontId="11" fillId="0" borderId="11" xfId="1" applyNumberFormat="1" applyFont="1" applyBorder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2" fontId="11" fillId="0" borderId="7" xfId="0" applyNumberFormat="1" applyFont="1" applyBorder="1" applyAlignment="1">
      <alignment horizontal="right"/>
    </xf>
    <xf numFmtId="165" fontId="11" fillId="0" borderId="12" xfId="1" applyNumberFormat="1" applyFont="1" applyBorder="1"/>
    <xf numFmtId="2" fontId="14" fillId="0" borderId="6" xfId="0" applyNumberFormat="1" applyFont="1" applyBorder="1"/>
    <xf numFmtId="2" fontId="14" fillId="0" borderId="6" xfId="0" applyNumberFormat="1" applyFont="1" applyBorder="1" applyAlignment="1">
      <alignment horizontal="left"/>
    </xf>
    <xf numFmtId="2" fontId="14" fillId="0" borderId="6" xfId="1" applyNumberFormat="1" applyFont="1" applyBorder="1"/>
    <xf numFmtId="43" fontId="14" fillId="0" borderId="6" xfId="1" applyFont="1" applyBorder="1"/>
    <xf numFmtId="165" fontId="11" fillId="0" borderId="6" xfId="1" applyNumberFormat="1" applyFont="1" applyBorder="1"/>
    <xf numFmtId="0" fontId="11" fillId="0" borderId="6" xfId="0" applyFont="1" applyBorder="1"/>
    <xf numFmtId="0" fontId="11" fillId="0" borderId="1" xfId="0" applyFont="1" applyBorder="1" applyAlignment="1">
      <alignment horizontal="right"/>
    </xf>
    <xf numFmtId="165" fontId="14" fillId="0" borderId="0" xfId="1" applyNumberFormat="1" applyFont="1"/>
    <xf numFmtId="2" fontId="14" fillId="0" borderId="1" xfId="0" applyNumberFormat="1" applyFont="1" applyBorder="1"/>
    <xf numFmtId="0" fontId="11" fillId="0" borderId="0" xfId="0" applyFont="1" applyAlignment="1">
      <alignment horizontal="right"/>
    </xf>
    <xf numFmtId="2" fontId="16" fillId="0" borderId="1" xfId="0" applyNumberFormat="1" applyFont="1" applyBorder="1"/>
    <xf numFmtId="168" fontId="16" fillId="0" borderId="1" xfId="0" applyNumberFormat="1" applyFont="1" applyBorder="1"/>
    <xf numFmtId="39" fontId="16" fillId="0" borderId="1" xfId="0" applyNumberFormat="1" applyFont="1" applyBorder="1"/>
    <xf numFmtId="168" fontId="16" fillId="0" borderId="1" xfId="0" applyNumberFormat="1" applyFont="1" applyBorder="1" applyAlignment="1">
      <alignment horizontal="right"/>
    </xf>
    <xf numFmtId="39" fontId="16" fillId="0" borderId="1" xfId="0" applyNumberFormat="1" applyFont="1" applyBorder="1" applyAlignment="1">
      <alignment horizontal="right"/>
    </xf>
    <xf numFmtId="167" fontId="16" fillId="0" borderId="1" xfId="0" applyNumberFormat="1" applyFont="1" applyBorder="1" applyAlignment="1">
      <alignment horizontal="left"/>
    </xf>
    <xf numFmtId="2" fontId="16" fillId="0" borderId="1" xfId="0" applyNumberFormat="1" applyFont="1" applyBorder="1" applyAlignment="1">
      <alignment horizontal="right"/>
    </xf>
    <xf numFmtId="2" fontId="16" fillId="0" borderId="1" xfId="1" applyNumberFormat="1" applyFont="1" applyBorder="1"/>
    <xf numFmtId="169" fontId="16" fillId="0" borderId="1" xfId="0" applyNumberFormat="1" applyFont="1" applyBorder="1"/>
    <xf numFmtId="0" fontId="17" fillId="2" borderId="4" xfId="0" applyFont="1" applyFill="1" applyBorder="1" applyAlignment="1">
      <alignment horizontal="right"/>
    </xf>
    <xf numFmtId="170" fontId="0" fillId="0" borderId="0" xfId="1" applyNumberFormat="1" applyFont="1"/>
    <xf numFmtId="171" fontId="0" fillId="0" borderId="0" xfId="1" applyNumberFormat="1" applyFont="1"/>
    <xf numFmtId="170" fontId="7" fillId="0" borderId="0" xfId="1" applyNumberFormat="1" applyFont="1"/>
    <xf numFmtId="2" fontId="19" fillId="0" borderId="0" xfId="0" applyNumberFormat="1" applyFont="1"/>
    <xf numFmtId="0" fontId="1" fillId="0" borderId="0" xfId="0" applyFont="1"/>
    <xf numFmtId="0" fontId="1" fillId="3" borderId="5" xfId="0" applyFont="1" applyFill="1" applyBorder="1"/>
    <xf numFmtId="0" fontId="3" fillId="3" borderId="13" xfId="0" applyFont="1" applyFill="1" applyBorder="1" applyAlignment="1">
      <alignment horizontal="left" vertical="top" wrapText="1"/>
    </xf>
    <xf numFmtId="164" fontId="3" fillId="0" borderId="6" xfId="1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167" fontId="1" fillId="0" borderId="0" xfId="0" applyNumberFormat="1" applyFont="1"/>
    <xf numFmtId="164" fontId="3" fillId="0" borderId="0" xfId="0" applyNumberFormat="1" applyFont="1" applyAlignment="1">
      <alignment horizontal="left"/>
    </xf>
    <xf numFmtId="167" fontId="3" fillId="0" borderId="1" xfId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39" fontId="3" fillId="0" borderId="1" xfId="0" applyNumberFormat="1" applyFont="1" applyBorder="1" applyAlignment="1">
      <alignment horizontal="right"/>
    </xf>
    <xf numFmtId="164" fontId="3" fillId="0" borderId="1" xfId="1" applyNumberFormat="1" applyFont="1" applyBorder="1" applyAlignment="1">
      <alignment horizontal="left"/>
    </xf>
    <xf numFmtId="164" fontId="3" fillId="0" borderId="1" xfId="1" quotePrefix="1" applyNumberFormat="1" applyFont="1" applyBorder="1" applyAlignment="1">
      <alignment horizontal="left"/>
    </xf>
    <xf numFmtId="2" fontId="19" fillId="0" borderId="1" xfId="0" applyNumberFormat="1" applyFont="1" applyBorder="1"/>
    <xf numFmtId="0" fontId="24" fillId="2" borderId="9" xfId="0" applyFont="1" applyFill="1" applyBorder="1" applyAlignment="1">
      <alignment horizontal="center"/>
    </xf>
    <xf numFmtId="0" fontId="3" fillId="0" borderId="1" xfId="1" quotePrefix="1" applyNumberFormat="1" applyFont="1" applyBorder="1" applyAlignment="1">
      <alignment horizontal="left"/>
    </xf>
    <xf numFmtId="164" fontId="1" fillId="0" borderId="0" xfId="0" applyNumberFormat="1" applyFont="1"/>
    <xf numFmtId="0" fontId="3" fillId="0" borderId="0" xfId="0" applyFont="1" applyAlignment="1">
      <alignment horizontal="left"/>
    </xf>
    <xf numFmtId="167" fontId="3" fillId="0" borderId="1" xfId="1" applyNumberFormat="1" applyFont="1" applyBorder="1" applyAlignment="1" applyProtection="1">
      <alignment horizontal="left"/>
    </xf>
    <xf numFmtId="170" fontId="3" fillId="0" borderId="6" xfId="1" applyNumberFormat="1" applyFont="1" applyBorder="1" applyAlignment="1">
      <alignment horizontal="left"/>
    </xf>
    <xf numFmtId="167" fontId="3" fillId="0" borderId="6" xfId="1" applyNumberFormat="1" applyFont="1" applyBorder="1" applyAlignment="1" applyProtection="1">
      <alignment horizontal="left"/>
    </xf>
    <xf numFmtId="164" fontId="3" fillId="0" borderId="6" xfId="0" applyNumberFormat="1" applyFont="1" applyBorder="1" applyAlignment="1">
      <alignment horizontal="left"/>
    </xf>
    <xf numFmtId="164" fontId="3" fillId="0" borderId="6" xfId="1" quotePrefix="1" applyNumberFormat="1" applyFont="1" applyBorder="1" applyAlignment="1">
      <alignment horizontal="left"/>
    </xf>
    <xf numFmtId="167" fontId="3" fillId="0" borderId="6" xfId="0" applyNumberFormat="1" applyFont="1" applyBorder="1" applyAlignment="1">
      <alignment horizontal="left"/>
    </xf>
    <xf numFmtId="37" fontId="3" fillId="0" borderId="1" xfId="1" applyNumberFormat="1" applyFont="1" applyBorder="1" applyAlignment="1" applyProtection="1">
      <alignment horizontal="left"/>
    </xf>
    <xf numFmtId="164" fontId="16" fillId="0" borderId="1" xfId="0" applyNumberFormat="1" applyFont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19" fillId="0" borderId="1" xfId="0" applyNumberFormat="1" applyFont="1" applyBorder="1" applyAlignment="1">
      <alignment horizontal="left"/>
    </xf>
    <xf numFmtId="0" fontId="3" fillId="3" borderId="5" xfId="0" applyFont="1" applyFill="1" applyBorder="1" applyAlignment="1">
      <alignment horizontal="left" vertical="center" wrapText="1"/>
    </xf>
    <xf numFmtId="39" fontId="1" fillId="0" borderId="0" xfId="0" applyNumberFormat="1" applyFont="1"/>
    <xf numFmtId="172" fontId="0" fillId="0" borderId="0" xfId="1" applyNumberFormat="1" applyFont="1"/>
    <xf numFmtId="0" fontId="3" fillId="3" borderId="13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170" fontId="19" fillId="0" borderId="13" xfId="1" applyNumberFormat="1" applyFont="1" applyBorder="1" applyAlignment="1">
      <alignment horizontal="center" vertical="center"/>
    </xf>
    <xf numFmtId="170" fontId="19" fillId="0" borderId="6" xfId="1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top" wrapText="1"/>
    </xf>
    <xf numFmtId="0" fontId="18" fillId="0" borderId="0" xfId="0" applyFont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6" fillId="3" borderId="13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8" fillId="3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167" fontId="3" fillId="4" borderId="13" xfId="1" quotePrefix="1" applyNumberFormat="1" applyFont="1" applyFill="1" applyBorder="1" applyAlignment="1">
      <alignment horizontal="center" vertical="center"/>
    </xf>
    <xf numFmtId="167" fontId="3" fillId="4" borderId="6" xfId="1" quotePrefix="1" applyNumberFormat="1" applyFont="1" applyFill="1" applyBorder="1" applyAlignment="1">
      <alignment horizontal="center" vertical="center"/>
    </xf>
    <xf numFmtId="170" fontId="3" fillId="4" borderId="13" xfId="1" quotePrefix="1" applyNumberFormat="1" applyFont="1" applyFill="1" applyBorder="1" applyAlignment="1">
      <alignment horizontal="center" vertical="center"/>
    </xf>
    <xf numFmtId="170" fontId="3" fillId="4" borderId="6" xfId="1" quotePrefix="1" applyNumberFormat="1" applyFont="1" applyFill="1" applyBorder="1" applyAlignment="1">
      <alignment horizontal="center" vertical="center"/>
    </xf>
    <xf numFmtId="167" fontId="11" fillId="4" borderId="13" xfId="1" quotePrefix="1" applyNumberFormat="1" applyFont="1" applyFill="1" applyBorder="1" applyAlignment="1">
      <alignment horizontal="center" vertical="center"/>
    </xf>
    <xf numFmtId="167" fontId="11" fillId="4" borderId="6" xfId="1" quotePrefix="1" applyNumberFormat="1" applyFont="1" applyFill="1" applyBorder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E0E9C9"/>
      <color rgb="FFFFFFFF"/>
      <color rgb="FFCCECFF"/>
      <color rgb="FFFFFFCC"/>
      <color rgb="FFFFFF99"/>
      <color rgb="FFFFFF66"/>
      <color rgb="FFCC99FF"/>
      <color rgb="FFFF6699"/>
      <color rgb="FFE4E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241" sqref="B241:B248"/>
    </sheetView>
  </sheetViews>
  <sheetFormatPr defaultRowHeight="12.75" x14ac:dyDescent="0.2"/>
  <cols>
    <col min="1" max="1" width="15.85546875" customWidth="1"/>
    <col min="2" max="2" width="11.28515625" customWidth="1"/>
    <col min="3" max="4" width="10.7109375" customWidth="1"/>
    <col min="5" max="5" width="10.28515625" customWidth="1"/>
    <col min="6" max="7" width="10.7109375" customWidth="1"/>
    <col min="8" max="8" width="10.28515625" customWidth="1"/>
    <col min="9" max="14" width="10.7109375" customWidth="1"/>
    <col min="15" max="15" width="11.28515625" bestFit="1" customWidth="1"/>
    <col min="16" max="16" width="13" customWidth="1"/>
    <col min="19" max="19" width="11.28515625" bestFit="1" customWidth="1"/>
    <col min="20" max="20" width="15.85546875" customWidth="1"/>
  </cols>
  <sheetData>
    <row r="2" spans="1:16" ht="15" x14ac:dyDescent="0.25">
      <c r="A2" s="217" t="s">
        <v>168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</row>
    <row r="3" spans="1:16" ht="15.75" customHeight="1" x14ac:dyDescent="0.2">
      <c r="A3" s="212" t="s">
        <v>111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</row>
    <row r="4" spans="1:16" ht="13.5" thickBo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6" ht="13.5" thickTop="1" x14ac:dyDescent="0.2">
      <c r="A5" s="223" t="s">
        <v>45</v>
      </c>
      <c r="B5" s="184" t="s">
        <v>106</v>
      </c>
      <c r="C5" s="215" t="s">
        <v>46</v>
      </c>
      <c r="D5" s="215" t="s">
        <v>47</v>
      </c>
      <c r="E5" s="215" t="s">
        <v>108</v>
      </c>
      <c r="F5" s="215" t="s">
        <v>109</v>
      </c>
      <c r="G5" s="215" t="s">
        <v>58</v>
      </c>
      <c r="H5" s="215" t="s">
        <v>59</v>
      </c>
      <c r="I5" s="215" t="s">
        <v>60</v>
      </c>
      <c r="J5" s="215" t="s">
        <v>105</v>
      </c>
      <c r="K5" s="215" t="s">
        <v>62</v>
      </c>
      <c r="L5" s="215" t="s">
        <v>48</v>
      </c>
      <c r="M5" s="215" t="s">
        <v>49</v>
      </c>
      <c r="N5" s="215" t="s">
        <v>50</v>
      </c>
    </row>
    <row r="6" spans="1:16" ht="16.5" thickBot="1" x14ac:dyDescent="0.3">
      <c r="A6" s="224"/>
      <c r="B6" s="166" t="s">
        <v>107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</row>
    <row r="7" spans="1:16" ht="13.5" thickTop="1" x14ac:dyDescent="0.2">
      <c r="A7" s="202" t="s">
        <v>166</v>
      </c>
      <c r="B7" s="109"/>
      <c r="C7" s="110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0"/>
    </row>
    <row r="8" spans="1:16" s="171" customFormat="1" x14ac:dyDescent="0.2">
      <c r="A8" s="203"/>
      <c r="B8" s="174">
        <f>SUM(C8:N8)</f>
        <v>8.5949999999999989</v>
      </c>
      <c r="C8" s="175"/>
      <c r="D8" s="175"/>
      <c r="E8" s="175"/>
      <c r="F8" s="175"/>
      <c r="G8" s="175">
        <v>0.99</v>
      </c>
      <c r="H8" s="175"/>
      <c r="I8" s="175">
        <v>0.45</v>
      </c>
      <c r="J8" s="175"/>
      <c r="K8" s="175">
        <v>2.25</v>
      </c>
      <c r="L8" s="175">
        <v>2.2050000000000001</v>
      </c>
      <c r="M8" s="175">
        <v>1.575</v>
      </c>
      <c r="N8" s="175">
        <v>1.125</v>
      </c>
      <c r="P8" s="176"/>
    </row>
    <row r="9" spans="1:16" x14ac:dyDescent="0.2">
      <c r="A9" s="204"/>
      <c r="B9" s="157">
        <f>SUM(C9:N9)/6</f>
        <v>64.583333333333329</v>
      </c>
      <c r="C9" s="158"/>
      <c r="D9" s="157"/>
      <c r="E9" s="157"/>
      <c r="F9" s="157"/>
      <c r="G9" s="157">
        <v>15</v>
      </c>
      <c r="H9" s="157"/>
      <c r="I9" s="157">
        <v>90</v>
      </c>
      <c r="J9" s="157"/>
      <c r="K9" s="157">
        <v>62.5</v>
      </c>
      <c r="L9" s="157">
        <v>80</v>
      </c>
      <c r="M9" s="157">
        <v>70</v>
      </c>
      <c r="N9" s="159">
        <v>70</v>
      </c>
    </row>
    <row r="10" spans="1:16" x14ac:dyDescent="0.2">
      <c r="A10" s="202" t="s">
        <v>163</v>
      </c>
      <c r="B10" s="109"/>
      <c r="C10" s="110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0"/>
    </row>
    <row r="11" spans="1:16" s="171" customFormat="1" x14ac:dyDescent="0.2">
      <c r="A11" s="203"/>
      <c r="B11" s="174">
        <f>SUM(C11:N11)</f>
        <v>13.365</v>
      </c>
      <c r="C11" s="175"/>
      <c r="D11" s="175"/>
      <c r="E11" s="177"/>
      <c r="F11" s="175"/>
      <c r="G11" s="175">
        <v>0.22500000000000001</v>
      </c>
      <c r="H11" s="175"/>
      <c r="I11" s="175">
        <v>1.62</v>
      </c>
      <c r="J11" s="175">
        <v>3.06</v>
      </c>
      <c r="K11" s="175">
        <v>2.1150000000000002</v>
      </c>
      <c r="L11" s="175">
        <v>2.0699999999999998</v>
      </c>
      <c r="M11" s="175">
        <v>2.0249999999999999</v>
      </c>
      <c r="N11" s="175">
        <v>2.25</v>
      </c>
      <c r="P11" s="176"/>
    </row>
    <row r="12" spans="1:16" x14ac:dyDescent="0.2">
      <c r="A12" s="204"/>
      <c r="B12" s="157">
        <f>SUM(C12:N12)/7</f>
        <v>244.21571428571426</v>
      </c>
      <c r="C12" s="158"/>
      <c r="D12" s="157"/>
      <c r="E12" s="157"/>
      <c r="F12" s="157"/>
      <c r="G12" s="157">
        <v>280.88</v>
      </c>
      <c r="H12" s="157"/>
      <c r="I12" s="157">
        <v>194.44</v>
      </c>
      <c r="J12" s="157">
        <v>253</v>
      </c>
      <c r="K12" s="157">
        <v>245</v>
      </c>
      <c r="L12" s="157">
        <v>214.29</v>
      </c>
      <c r="M12" s="157">
        <v>263.33</v>
      </c>
      <c r="N12" s="157">
        <v>258.57</v>
      </c>
    </row>
    <row r="13" spans="1:16" x14ac:dyDescent="0.2">
      <c r="A13" s="207" t="s">
        <v>114</v>
      </c>
      <c r="B13" s="109"/>
      <c r="C13" s="108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108"/>
    </row>
    <row r="14" spans="1:16" s="171" customFormat="1" x14ac:dyDescent="0.2">
      <c r="A14" s="208"/>
      <c r="B14" s="174">
        <f>SUM(C14:N14)</f>
        <v>366.435</v>
      </c>
      <c r="C14" s="175">
        <v>42.344999999999999</v>
      </c>
      <c r="D14" s="178">
        <v>23.445</v>
      </c>
      <c r="E14" s="177">
        <v>38.384999999999998</v>
      </c>
      <c r="F14" s="179">
        <v>45.45</v>
      </c>
      <c r="G14" s="179">
        <v>23.085000000000001</v>
      </c>
      <c r="H14" s="179">
        <v>26.73</v>
      </c>
      <c r="I14" s="179">
        <v>18.899999999999999</v>
      </c>
      <c r="J14" s="179">
        <v>18.225000000000001</v>
      </c>
      <c r="K14" s="179">
        <v>31.77</v>
      </c>
      <c r="L14" s="179">
        <v>30.285</v>
      </c>
      <c r="M14" s="179">
        <v>32.984999999999999</v>
      </c>
      <c r="N14" s="175">
        <v>34.83</v>
      </c>
      <c r="P14" s="176"/>
    </row>
    <row r="15" spans="1:16" x14ac:dyDescent="0.2">
      <c r="A15" s="209"/>
      <c r="B15" s="157">
        <f>SUM(C15:N15)/12</f>
        <v>143.07166666666669</v>
      </c>
      <c r="C15" s="158">
        <v>140.21</v>
      </c>
      <c r="D15" s="157">
        <v>130.44</v>
      </c>
      <c r="E15" s="157">
        <v>142.08000000000001</v>
      </c>
      <c r="F15" s="157">
        <v>133.03</v>
      </c>
      <c r="G15" s="157">
        <v>144.09</v>
      </c>
      <c r="H15" s="157">
        <v>139.5</v>
      </c>
      <c r="I15" s="157">
        <v>136.66999999999999</v>
      </c>
      <c r="J15" s="157">
        <v>142.86000000000001</v>
      </c>
      <c r="K15" s="157">
        <v>146.94</v>
      </c>
      <c r="L15" s="157">
        <v>140.27000000000001</v>
      </c>
      <c r="M15" s="157">
        <v>147.44</v>
      </c>
      <c r="N15" s="157">
        <v>173.33</v>
      </c>
    </row>
    <row r="16" spans="1:16" x14ac:dyDescent="0.2">
      <c r="A16" s="99"/>
      <c r="B16" s="112"/>
      <c r="C16" s="110"/>
      <c r="D16" s="87"/>
      <c r="E16" s="90"/>
      <c r="F16" s="86"/>
      <c r="G16" s="90"/>
      <c r="H16" s="90"/>
      <c r="I16" s="86"/>
      <c r="J16" s="86"/>
      <c r="K16" s="90"/>
      <c r="L16" s="90"/>
      <c r="M16" s="86"/>
      <c r="N16" s="110"/>
    </row>
    <row r="17" spans="1:20" s="171" customFormat="1" x14ac:dyDescent="0.2">
      <c r="A17" s="97" t="s">
        <v>133</v>
      </c>
      <c r="B17" s="174">
        <f>SUM(C17:N17)</f>
        <v>7.65</v>
      </c>
      <c r="C17" s="175">
        <v>7.65</v>
      </c>
      <c r="D17" s="175"/>
      <c r="E17" s="177"/>
      <c r="F17" s="175"/>
      <c r="G17" s="175"/>
      <c r="H17" s="175"/>
      <c r="I17" s="175"/>
      <c r="J17" s="175"/>
      <c r="K17" s="175"/>
      <c r="L17" s="180"/>
      <c r="M17" s="175"/>
      <c r="N17" s="175"/>
      <c r="P17" s="176"/>
    </row>
    <row r="18" spans="1:20" x14ac:dyDescent="0.2">
      <c r="A18" s="98"/>
      <c r="B18" s="157">
        <f>SUM(C18:N18)</f>
        <v>26</v>
      </c>
      <c r="C18" s="159">
        <v>26</v>
      </c>
      <c r="D18" s="157"/>
      <c r="E18" s="160"/>
      <c r="F18" s="161"/>
      <c r="G18" s="161"/>
      <c r="H18" s="160"/>
      <c r="I18" s="162"/>
      <c r="J18" s="160"/>
      <c r="K18" s="161"/>
      <c r="L18" s="161"/>
      <c r="M18" s="157"/>
      <c r="N18" s="159"/>
      <c r="S18" s="15"/>
    </row>
    <row r="19" spans="1:20" x14ac:dyDescent="0.2">
      <c r="A19" s="96"/>
      <c r="B19" s="109"/>
      <c r="C19" s="108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108"/>
      <c r="S19" s="43"/>
    </row>
    <row r="20" spans="1:20" s="171" customFormat="1" x14ac:dyDescent="0.2">
      <c r="A20" s="97" t="s">
        <v>134</v>
      </c>
      <c r="B20" s="174">
        <f>SUM(C20:N20)</f>
        <v>1.3049999999999999</v>
      </c>
      <c r="C20" s="175">
        <v>0.9</v>
      </c>
      <c r="D20" s="179"/>
      <c r="E20" s="177"/>
      <c r="F20" s="179"/>
      <c r="G20" s="179"/>
      <c r="H20" s="179"/>
      <c r="I20" s="179">
        <v>0.36</v>
      </c>
      <c r="J20" s="179">
        <v>4.4999999999999998E-2</v>
      </c>
      <c r="K20" s="179"/>
      <c r="L20" s="179"/>
      <c r="M20" s="179"/>
      <c r="N20" s="175"/>
      <c r="P20" s="176"/>
    </row>
    <row r="21" spans="1:20" x14ac:dyDescent="0.2">
      <c r="A21" s="98"/>
      <c r="B21" s="157">
        <f>(SUM(C21:N21))/3</f>
        <v>95</v>
      </c>
      <c r="C21" s="158">
        <v>130</v>
      </c>
      <c r="D21" s="157"/>
      <c r="E21" s="157"/>
      <c r="F21" s="157"/>
      <c r="G21" s="157"/>
      <c r="H21" s="157"/>
      <c r="I21" s="163">
        <v>75</v>
      </c>
      <c r="J21" s="163">
        <v>80</v>
      </c>
      <c r="K21" s="163"/>
      <c r="L21" s="163"/>
      <c r="M21" s="157"/>
      <c r="N21" s="157"/>
    </row>
    <row r="22" spans="1:20" x14ac:dyDescent="0.2">
      <c r="A22" s="202" t="s">
        <v>137</v>
      </c>
      <c r="B22" s="109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6"/>
      <c r="T22" s="171"/>
    </row>
    <row r="23" spans="1:20" s="171" customFormat="1" x14ac:dyDescent="0.2">
      <c r="A23" s="203"/>
      <c r="B23" s="189">
        <f>SUM(C23:N23)</f>
        <v>2816.8649999999998</v>
      </c>
      <c r="C23" s="175">
        <v>220.32</v>
      </c>
      <c r="D23" s="175">
        <v>201.375</v>
      </c>
      <c r="E23" s="177">
        <v>244.935</v>
      </c>
      <c r="F23" s="175">
        <v>278.19</v>
      </c>
      <c r="G23" s="175">
        <v>237.6</v>
      </c>
      <c r="H23" s="179">
        <v>256.58999999999997</v>
      </c>
      <c r="I23" s="175">
        <v>274.68</v>
      </c>
      <c r="J23" s="175">
        <v>230.17500000000001</v>
      </c>
      <c r="K23" s="175">
        <v>203.35499999999999</v>
      </c>
      <c r="L23" s="175">
        <v>213.66</v>
      </c>
      <c r="M23" s="179">
        <v>205.92</v>
      </c>
      <c r="N23" s="175">
        <v>250.065</v>
      </c>
      <c r="P23" s="200"/>
    </row>
    <row r="24" spans="1:20" x14ac:dyDescent="0.2">
      <c r="A24" s="204"/>
      <c r="B24" s="157">
        <f>((SUM(C24:N24))/12)</f>
        <v>130.83250000000001</v>
      </c>
      <c r="C24" s="165">
        <v>132.57</v>
      </c>
      <c r="D24" s="195">
        <v>125.9</v>
      </c>
      <c r="E24" s="157">
        <v>125.59</v>
      </c>
      <c r="F24" s="157">
        <v>127.36</v>
      </c>
      <c r="G24" s="157">
        <v>128.94999999999999</v>
      </c>
      <c r="H24" s="157">
        <v>138.05000000000001</v>
      </c>
      <c r="I24" s="157">
        <v>126.79</v>
      </c>
      <c r="J24" s="157">
        <v>122.64</v>
      </c>
      <c r="K24" s="157">
        <v>124.16</v>
      </c>
      <c r="L24" s="157">
        <v>128.27000000000001</v>
      </c>
      <c r="M24" s="157">
        <v>145.02000000000001</v>
      </c>
      <c r="N24" s="157">
        <v>144.69</v>
      </c>
      <c r="T24" s="171"/>
    </row>
    <row r="25" spans="1:20" x14ac:dyDescent="0.2">
      <c r="A25" s="99"/>
      <c r="B25" s="126"/>
      <c r="C25" s="127"/>
      <c r="D25" s="128"/>
      <c r="E25" s="115"/>
      <c r="F25" s="128"/>
      <c r="G25" s="129"/>
      <c r="H25" s="128"/>
      <c r="I25" s="129"/>
      <c r="J25" s="128"/>
      <c r="K25" s="130"/>
      <c r="L25" s="131"/>
      <c r="M25" s="130"/>
      <c r="N25" s="127"/>
      <c r="T25" s="171"/>
    </row>
    <row r="26" spans="1:20" s="171" customFormat="1" x14ac:dyDescent="0.2">
      <c r="A26" s="97" t="s">
        <v>135</v>
      </c>
      <c r="B26" s="189">
        <f>SUM(C26:N26)</f>
        <v>1.8</v>
      </c>
      <c r="C26" s="179"/>
      <c r="D26" s="179"/>
      <c r="E26" s="179"/>
      <c r="F26" s="178">
        <v>1.8</v>
      </c>
      <c r="G26" s="178"/>
      <c r="H26" s="179"/>
      <c r="I26" s="179"/>
      <c r="J26" s="179"/>
      <c r="K26" s="181"/>
      <c r="L26" s="175"/>
      <c r="M26" s="179"/>
      <c r="N26" s="178"/>
      <c r="P26" s="176"/>
    </row>
    <row r="27" spans="1:20" x14ac:dyDescent="0.2">
      <c r="A27" s="98"/>
      <c r="B27" s="157">
        <f>(SUM(C27:N27))</f>
        <v>130</v>
      </c>
      <c r="C27" s="157"/>
      <c r="D27" s="157"/>
      <c r="E27" s="157"/>
      <c r="F27" s="157">
        <v>130</v>
      </c>
      <c r="G27" s="157"/>
      <c r="H27" s="157"/>
      <c r="I27" s="157"/>
      <c r="J27" s="157"/>
      <c r="K27" s="157"/>
      <c r="L27" s="157"/>
      <c r="M27" s="157"/>
      <c r="N27" s="157"/>
    </row>
    <row r="28" spans="1:20" x14ac:dyDescent="0.2">
      <c r="A28" s="99"/>
      <c r="B28" s="126"/>
      <c r="C28" s="127"/>
      <c r="D28" s="128"/>
      <c r="E28" s="115"/>
      <c r="F28" s="128"/>
      <c r="G28" s="129"/>
      <c r="H28" s="128"/>
      <c r="I28" s="129"/>
      <c r="J28" s="128"/>
      <c r="K28" s="130"/>
      <c r="L28" s="131"/>
      <c r="M28" s="130"/>
      <c r="N28" s="127"/>
    </row>
    <row r="29" spans="1:20" s="171" customFormat="1" x14ac:dyDescent="0.2">
      <c r="A29" s="97" t="s">
        <v>136</v>
      </c>
      <c r="B29" s="189">
        <f>SUM(C29:N29)</f>
        <v>13.680000000000001</v>
      </c>
      <c r="C29" s="179">
        <v>1.845</v>
      </c>
      <c r="D29" s="179">
        <v>1.9350000000000001</v>
      </c>
      <c r="E29" s="179"/>
      <c r="F29" s="178"/>
      <c r="G29" s="178">
        <v>1.44</v>
      </c>
      <c r="H29" s="179">
        <v>2.2050000000000001</v>
      </c>
      <c r="I29" s="179">
        <v>1.8</v>
      </c>
      <c r="J29" s="179">
        <v>0.27</v>
      </c>
      <c r="K29" s="181">
        <v>1.8</v>
      </c>
      <c r="L29" s="175">
        <v>1.26</v>
      </c>
      <c r="M29" s="179">
        <v>0.13500000000000001</v>
      </c>
      <c r="N29" s="178">
        <v>0.99</v>
      </c>
      <c r="P29" s="176"/>
    </row>
    <row r="30" spans="1:20" x14ac:dyDescent="0.2">
      <c r="A30" s="105" t="s">
        <v>172</v>
      </c>
      <c r="B30" s="157">
        <f>(SUM(C30:N30))/10</f>
        <v>101.267</v>
      </c>
      <c r="C30" s="165">
        <v>90</v>
      </c>
      <c r="D30" s="157">
        <v>100</v>
      </c>
      <c r="E30" s="157"/>
      <c r="F30" s="157"/>
      <c r="G30" s="157">
        <v>113.33</v>
      </c>
      <c r="H30" s="157">
        <v>106.67</v>
      </c>
      <c r="I30" s="157">
        <v>114</v>
      </c>
      <c r="J30" s="157">
        <v>100</v>
      </c>
      <c r="K30" s="157">
        <v>116</v>
      </c>
      <c r="L30" s="157">
        <v>126.67</v>
      </c>
      <c r="M30" s="157">
        <v>80</v>
      </c>
      <c r="N30" s="157">
        <v>66</v>
      </c>
    </row>
    <row r="31" spans="1:20" x14ac:dyDescent="0.2">
      <c r="A31" s="202" t="s">
        <v>115</v>
      </c>
      <c r="B31" s="109"/>
      <c r="C31" s="111"/>
      <c r="D31" s="111"/>
      <c r="E31" s="111"/>
      <c r="F31" s="111"/>
      <c r="G31" s="89"/>
      <c r="H31" s="111"/>
      <c r="I31" s="111"/>
      <c r="J31" s="111"/>
      <c r="K31" s="109"/>
      <c r="L31" s="109"/>
      <c r="M31" s="109"/>
      <c r="N31" s="111"/>
    </row>
    <row r="32" spans="1:20" s="171" customFormat="1" x14ac:dyDescent="0.2">
      <c r="A32" s="203"/>
      <c r="B32" s="189">
        <f>SUM(C32:N32)</f>
        <v>427.95</v>
      </c>
      <c r="C32" s="178">
        <v>39.6</v>
      </c>
      <c r="D32" s="178">
        <v>27.09</v>
      </c>
      <c r="E32" s="177">
        <v>38.880000000000003</v>
      </c>
      <c r="F32" s="178">
        <v>13.14</v>
      </c>
      <c r="G32" s="179">
        <v>30.465</v>
      </c>
      <c r="H32" s="182">
        <v>25.29</v>
      </c>
      <c r="I32" s="182">
        <v>38.25</v>
      </c>
      <c r="J32" s="182">
        <v>52.695</v>
      </c>
      <c r="K32" s="182">
        <v>43.29</v>
      </c>
      <c r="L32" s="182">
        <v>47.204999999999998</v>
      </c>
      <c r="M32" s="182">
        <v>38.880000000000003</v>
      </c>
      <c r="N32" s="178">
        <v>33.164999999999999</v>
      </c>
      <c r="P32" s="176"/>
    </row>
    <row r="33" spans="1:17" x14ac:dyDescent="0.2">
      <c r="A33" s="204"/>
      <c r="B33" s="157">
        <f>(SUM(C33:N33))/12</f>
        <v>183.83250000000001</v>
      </c>
      <c r="C33" s="165">
        <v>164.41</v>
      </c>
      <c r="D33" s="195">
        <v>159.41</v>
      </c>
      <c r="E33" s="157">
        <v>165.19</v>
      </c>
      <c r="F33" s="157">
        <v>160.97</v>
      </c>
      <c r="G33" s="157">
        <v>171.97</v>
      </c>
      <c r="H33" s="157">
        <v>171.96</v>
      </c>
      <c r="I33" s="157">
        <v>184.49</v>
      </c>
      <c r="J33" s="157">
        <v>209.9</v>
      </c>
      <c r="K33" s="157">
        <v>191.43</v>
      </c>
      <c r="L33" s="157">
        <v>198.26</v>
      </c>
      <c r="M33" s="157">
        <v>202.31</v>
      </c>
      <c r="N33" s="157">
        <v>225.69</v>
      </c>
    </row>
    <row r="34" spans="1:17" x14ac:dyDescent="0.2">
      <c r="A34" s="96"/>
      <c r="B34" s="109"/>
      <c r="C34" s="111"/>
      <c r="D34" s="111"/>
      <c r="E34" s="111"/>
      <c r="F34" s="111"/>
      <c r="G34" s="111"/>
      <c r="H34" s="111"/>
      <c r="I34" s="111"/>
      <c r="J34" s="111"/>
      <c r="K34" s="109"/>
      <c r="L34" s="109"/>
      <c r="M34" s="109"/>
      <c r="N34" s="111"/>
    </row>
    <row r="35" spans="1:17" x14ac:dyDescent="0.2">
      <c r="A35" s="97" t="s">
        <v>138</v>
      </c>
      <c r="B35" s="189">
        <f>SUM(C35:N35)</f>
        <v>27.090000000000003</v>
      </c>
      <c r="C35" s="178">
        <v>3.8250000000000002</v>
      </c>
      <c r="D35" s="178">
        <v>0.58499999999999996</v>
      </c>
      <c r="E35" s="177">
        <v>0.9</v>
      </c>
      <c r="F35" s="178">
        <v>0.9</v>
      </c>
      <c r="G35" s="178"/>
      <c r="H35" s="182">
        <v>1.71</v>
      </c>
      <c r="I35" s="182">
        <v>2.5649999999999999</v>
      </c>
      <c r="J35" s="181">
        <v>3.5550000000000002</v>
      </c>
      <c r="K35" s="182">
        <v>3.5550000000000002</v>
      </c>
      <c r="L35" s="182">
        <v>4.41</v>
      </c>
      <c r="M35" s="182">
        <v>2.6549999999999998</v>
      </c>
      <c r="N35" s="178">
        <v>2.4300000000000002</v>
      </c>
      <c r="O35" s="171"/>
      <c r="P35" s="176"/>
      <c r="Q35" s="171"/>
    </row>
    <row r="36" spans="1:17" x14ac:dyDescent="0.2">
      <c r="A36" s="98"/>
      <c r="B36" s="157">
        <f>(SUM(C36:N36))/11</f>
        <v>95.390909090909105</v>
      </c>
      <c r="C36" s="165">
        <v>118.33</v>
      </c>
      <c r="D36" s="157">
        <v>100</v>
      </c>
      <c r="E36" s="157">
        <v>115</v>
      </c>
      <c r="F36" s="157">
        <v>105</v>
      </c>
      <c r="G36" s="157"/>
      <c r="H36" s="157">
        <v>89.29</v>
      </c>
      <c r="I36" s="157">
        <v>87.5</v>
      </c>
      <c r="J36" s="157">
        <v>83.33</v>
      </c>
      <c r="K36" s="157">
        <v>86</v>
      </c>
      <c r="L36" s="157">
        <v>88.18</v>
      </c>
      <c r="M36" s="157">
        <v>76.67</v>
      </c>
      <c r="N36" s="157">
        <v>100</v>
      </c>
    </row>
    <row r="37" spans="1:17" x14ac:dyDescent="0.2">
      <c r="A37" s="100"/>
      <c r="B37" s="118"/>
      <c r="C37" s="119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</row>
    <row r="38" spans="1:17" x14ac:dyDescent="0.2">
      <c r="A38" s="100"/>
      <c r="B38" s="118"/>
      <c r="C38" s="119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</row>
    <row r="39" spans="1:17" x14ac:dyDescent="0.2">
      <c r="A39" s="100"/>
      <c r="B39" s="118"/>
      <c r="C39" s="119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</row>
    <row r="40" spans="1:17" x14ac:dyDescent="0.2">
      <c r="A40" s="100"/>
      <c r="B40" s="118"/>
      <c r="C40" s="119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</row>
    <row r="41" spans="1:17" x14ac:dyDescent="0.2">
      <c r="A41" s="100"/>
      <c r="B41" s="118"/>
      <c r="C41" s="119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</row>
    <row r="42" spans="1:17" x14ac:dyDescent="0.2">
      <c r="A42" s="100"/>
      <c r="B42" s="118"/>
      <c r="C42" s="119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</row>
    <row r="43" spans="1:17" x14ac:dyDescent="0.2">
      <c r="A43" s="100"/>
      <c r="B43" s="118"/>
      <c r="C43" s="119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</row>
    <row r="44" spans="1:17" x14ac:dyDescent="0.2">
      <c r="A44" s="102" t="s">
        <v>169</v>
      </c>
      <c r="B44" s="118"/>
      <c r="C44" s="119"/>
      <c r="D44" s="120"/>
      <c r="E44" s="121"/>
      <c r="F44" s="121"/>
      <c r="G44" s="120"/>
      <c r="H44" s="119"/>
      <c r="I44" s="122"/>
      <c r="J44" s="121"/>
      <c r="K44" s="119"/>
      <c r="L44" s="122"/>
      <c r="M44" s="120"/>
      <c r="N44" s="120"/>
    </row>
    <row r="45" spans="1:17" ht="13.5" thickBot="1" x14ac:dyDescent="0.25">
      <c r="A45" s="103"/>
      <c r="B45" s="123"/>
      <c r="C45" s="124"/>
      <c r="D45" s="124"/>
      <c r="E45" s="124"/>
      <c r="F45" s="124"/>
      <c r="G45" s="124"/>
      <c r="H45" s="124"/>
      <c r="I45" s="124"/>
      <c r="J45" s="124"/>
      <c r="K45" s="123"/>
      <c r="L45" s="123"/>
      <c r="M45" s="123"/>
      <c r="N45" s="123"/>
    </row>
    <row r="46" spans="1:17" ht="13.5" thickTop="1" x14ac:dyDescent="0.2">
      <c r="A46" s="223" t="s">
        <v>45</v>
      </c>
      <c r="B46" s="184" t="s">
        <v>106</v>
      </c>
      <c r="C46" s="213" t="s">
        <v>46</v>
      </c>
      <c r="D46" s="213" t="s">
        <v>47</v>
      </c>
      <c r="E46" s="213" t="s">
        <v>108</v>
      </c>
      <c r="F46" s="213" t="s">
        <v>109</v>
      </c>
      <c r="G46" s="213" t="s">
        <v>58</v>
      </c>
      <c r="H46" s="213" t="s">
        <v>59</v>
      </c>
      <c r="I46" s="213" t="s">
        <v>60</v>
      </c>
      <c r="J46" s="213" t="s">
        <v>105</v>
      </c>
      <c r="K46" s="213" t="s">
        <v>62</v>
      </c>
      <c r="L46" s="213" t="s">
        <v>48</v>
      </c>
      <c r="M46" s="213" t="s">
        <v>49</v>
      </c>
      <c r="N46" s="213" t="s">
        <v>50</v>
      </c>
    </row>
    <row r="47" spans="1:17" ht="16.5" thickBot="1" x14ac:dyDescent="0.3">
      <c r="A47" s="224"/>
      <c r="B47" s="125" t="s">
        <v>107</v>
      </c>
      <c r="C47" s="214"/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214"/>
    </row>
    <row r="48" spans="1:17" ht="13.5" thickTop="1" x14ac:dyDescent="0.2">
      <c r="A48" s="202" t="s">
        <v>139</v>
      </c>
      <c r="B48" s="109"/>
      <c r="C48" s="111"/>
      <c r="D48" s="111"/>
      <c r="E48" s="111"/>
      <c r="F48" s="111"/>
      <c r="G48" s="89"/>
      <c r="H48" s="111"/>
      <c r="I48" s="111"/>
      <c r="J48" s="111"/>
      <c r="K48" s="109"/>
      <c r="L48" s="109"/>
      <c r="M48" s="109"/>
      <c r="N48" s="111"/>
    </row>
    <row r="49" spans="1:18" s="171" customFormat="1" x14ac:dyDescent="0.2">
      <c r="A49" s="203"/>
      <c r="B49" s="189">
        <f>SUM(C49:N49)</f>
        <v>2.61</v>
      </c>
      <c r="C49" s="175"/>
      <c r="D49" s="175"/>
      <c r="E49" s="175"/>
      <c r="F49" s="175"/>
      <c r="G49" s="179"/>
      <c r="H49" s="182">
        <v>0.36</v>
      </c>
      <c r="I49" s="182">
        <v>0.22500000000000001</v>
      </c>
      <c r="J49" s="182">
        <v>0.22500000000000001</v>
      </c>
      <c r="K49" s="182">
        <v>1.575</v>
      </c>
      <c r="L49" s="182">
        <v>0.22500000000000001</v>
      </c>
      <c r="M49" s="185"/>
      <c r="N49" s="175"/>
      <c r="P49" s="176"/>
    </row>
    <row r="50" spans="1:18" x14ac:dyDescent="0.2">
      <c r="A50" s="204"/>
      <c r="B50" s="157">
        <f>(SUM(C50:N50))/5</f>
        <v>145</v>
      </c>
      <c r="C50" s="157"/>
      <c r="D50" s="157"/>
      <c r="E50" s="157"/>
      <c r="F50" s="157"/>
      <c r="G50" s="157"/>
      <c r="H50" s="157">
        <v>115</v>
      </c>
      <c r="I50" s="157">
        <v>130</v>
      </c>
      <c r="J50" s="157">
        <v>140</v>
      </c>
      <c r="K50" s="157">
        <v>160</v>
      </c>
      <c r="L50" s="157">
        <v>180</v>
      </c>
      <c r="M50" s="157"/>
      <c r="N50" s="157"/>
    </row>
    <row r="51" spans="1:18" x14ac:dyDescent="0.2">
      <c r="A51" s="202" t="s">
        <v>160</v>
      </c>
      <c r="B51" s="109"/>
      <c r="C51" s="111"/>
      <c r="D51" s="111"/>
      <c r="E51" s="111"/>
      <c r="F51" s="111"/>
      <c r="G51" s="89"/>
      <c r="H51" s="111"/>
      <c r="I51" s="111"/>
      <c r="J51" s="111"/>
      <c r="K51" s="109"/>
      <c r="L51" s="109"/>
      <c r="M51" s="109"/>
      <c r="N51" s="111"/>
    </row>
    <row r="52" spans="1:18" s="171" customFormat="1" x14ac:dyDescent="0.2">
      <c r="A52" s="203"/>
      <c r="B52" s="189">
        <f>SUM(C52:N52)</f>
        <v>660.28500000000008</v>
      </c>
      <c r="C52" s="175">
        <v>12.015000000000001</v>
      </c>
      <c r="D52" s="175">
        <v>21.87</v>
      </c>
      <c r="E52" s="177">
        <v>35.82</v>
      </c>
      <c r="F52" s="175">
        <v>29.52</v>
      </c>
      <c r="G52" s="179">
        <v>34.695</v>
      </c>
      <c r="H52" s="182">
        <v>122.49</v>
      </c>
      <c r="I52" s="182">
        <v>90.36</v>
      </c>
      <c r="J52" s="182">
        <v>35.46</v>
      </c>
      <c r="K52" s="182">
        <f>117.765+7.425</f>
        <v>125.19</v>
      </c>
      <c r="L52" s="182">
        <v>70.875</v>
      </c>
      <c r="M52" s="182">
        <v>33.75</v>
      </c>
      <c r="N52" s="175">
        <v>48.24</v>
      </c>
      <c r="O52" s="186"/>
      <c r="P52" s="176"/>
      <c r="R52" s="186"/>
    </row>
    <row r="53" spans="1:18" x14ac:dyDescent="0.2">
      <c r="A53" s="204"/>
      <c r="B53" s="157">
        <f>(SUM(C53:N53))/12</f>
        <v>127.79916666666666</v>
      </c>
      <c r="C53" s="165">
        <v>105.71</v>
      </c>
      <c r="D53" s="157">
        <v>114.33</v>
      </c>
      <c r="E53" s="157">
        <v>120</v>
      </c>
      <c r="F53" s="157">
        <v>112.65</v>
      </c>
      <c r="G53" s="157">
        <v>130</v>
      </c>
      <c r="H53" s="157">
        <v>120.66</v>
      </c>
      <c r="I53" s="157">
        <v>113.82</v>
      </c>
      <c r="J53" s="157">
        <v>133.97999999999999</v>
      </c>
      <c r="K53" s="157">
        <f>(136.82+157.5)/2</f>
        <v>147.16</v>
      </c>
      <c r="L53" s="157">
        <v>126.11</v>
      </c>
      <c r="M53" s="157">
        <v>130.69</v>
      </c>
      <c r="N53" s="157">
        <v>178.48</v>
      </c>
    </row>
    <row r="54" spans="1:18" x14ac:dyDescent="0.2">
      <c r="A54" s="96"/>
      <c r="B54" s="109"/>
      <c r="C54" s="111"/>
      <c r="D54" s="111"/>
      <c r="E54" s="111"/>
      <c r="F54" s="111"/>
      <c r="G54" s="89"/>
      <c r="H54" s="111"/>
      <c r="I54" s="111"/>
      <c r="J54" s="111"/>
      <c r="K54" s="109"/>
      <c r="L54" s="109"/>
      <c r="M54" s="109"/>
      <c r="N54" s="111"/>
      <c r="O54" s="43"/>
    </row>
    <row r="55" spans="1:18" s="171" customFormat="1" x14ac:dyDescent="0.2">
      <c r="A55" s="97" t="s">
        <v>140</v>
      </c>
      <c r="B55" s="189">
        <f>SUM(C55:N55)</f>
        <v>490.72499999999997</v>
      </c>
      <c r="C55" s="175">
        <v>48.284999999999997</v>
      </c>
      <c r="D55" s="175">
        <v>91.71</v>
      </c>
      <c r="E55" s="187">
        <v>96.704999999999998</v>
      </c>
      <c r="F55" s="175">
        <v>95.444999999999993</v>
      </c>
      <c r="G55" s="179">
        <v>36.945</v>
      </c>
      <c r="H55" s="182">
        <v>7.335</v>
      </c>
      <c r="I55" s="182">
        <v>33.659999999999997</v>
      </c>
      <c r="J55" s="182">
        <v>2.835</v>
      </c>
      <c r="K55" s="182">
        <v>23.984999999999999</v>
      </c>
      <c r="L55" s="182">
        <v>36.54</v>
      </c>
      <c r="M55" s="182">
        <v>16.47</v>
      </c>
      <c r="N55" s="175">
        <v>0.81</v>
      </c>
      <c r="P55" s="176"/>
    </row>
    <row r="56" spans="1:18" x14ac:dyDescent="0.2">
      <c r="A56" s="98"/>
      <c r="B56" s="157">
        <f>(SUM(C56:N56))/12</f>
        <v>120.26083333333334</v>
      </c>
      <c r="C56" s="165">
        <v>121.5</v>
      </c>
      <c r="D56" s="157">
        <v>105.71</v>
      </c>
      <c r="E56" s="157">
        <v>115.75</v>
      </c>
      <c r="F56" s="157">
        <v>101.11</v>
      </c>
      <c r="G56" s="157">
        <v>114.21</v>
      </c>
      <c r="H56" s="157">
        <v>112</v>
      </c>
      <c r="I56" s="157">
        <v>120</v>
      </c>
      <c r="J56" s="157">
        <v>122</v>
      </c>
      <c r="K56" s="157">
        <v>129.22999999999999</v>
      </c>
      <c r="L56" s="157">
        <v>120.62</v>
      </c>
      <c r="M56" s="157">
        <v>116</v>
      </c>
      <c r="N56" s="157">
        <v>165</v>
      </c>
    </row>
    <row r="57" spans="1:18" x14ac:dyDescent="0.2">
      <c r="A57" s="96"/>
      <c r="B57" s="109"/>
      <c r="C57" s="111"/>
      <c r="D57" s="111"/>
      <c r="E57" s="111"/>
      <c r="F57" s="111"/>
      <c r="G57" s="111"/>
      <c r="H57" s="111"/>
      <c r="I57" s="111"/>
      <c r="J57" s="109"/>
      <c r="K57" s="109"/>
      <c r="L57" s="109"/>
      <c r="M57" s="109"/>
      <c r="N57" s="109"/>
    </row>
    <row r="58" spans="1:18" s="171" customFormat="1" x14ac:dyDescent="0.2">
      <c r="A58" s="104" t="s">
        <v>170</v>
      </c>
      <c r="B58" s="189">
        <f>SUM(C58:N58)</f>
        <v>3.5550000000000002</v>
      </c>
      <c r="C58" s="179">
        <v>1.7549999999999999</v>
      </c>
      <c r="D58" s="175">
        <v>1.575</v>
      </c>
      <c r="E58" s="177"/>
      <c r="F58" s="175"/>
      <c r="G58" s="178"/>
      <c r="H58" s="182">
        <v>0.22500000000000001</v>
      </c>
      <c r="I58" s="179"/>
      <c r="J58" s="179"/>
      <c r="K58" s="182"/>
      <c r="L58" s="182"/>
      <c r="M58" s="182"/>
      <c r="N58" s="175"/>
      <c r="P58" s="176"/>
    </row>
    <row r="59" spans="1:18" x14ac:dyDescent="0.2">
      <c r="A59" s="98"/>
      <c r="B59" s="157">
        <f>(SUM(C59:N59))/3</f>
        <v>47.333333333333336</v>
      </c>
      <c r="C59" s="157">
        <v>40</v>
      </c>
      <c r="D59" s="157">
        <v>62</v>
      </c>
      <c r="E59" s="157"/>
      <c r="F59" s="157"/>
      <c r="G59" s="157"/>
      <c r="H59" s="157">
        <v>40</v>
      </c>
      <c r="I59" s="157"/>
      <c r="J59" s="157"/>
      <c r="K59" s="157"/>
      <c r="L59" s="157"/>
      <c r="M59" s="157"/>
      <c r="N59" s="163"/>
    </row>
    <row r="60" spans="1:18" x14ac:dyDescent="0.2">
      <c r="A60" s="218" t="s">
        <v>142</v>
      </c>
      <c r="B60" s="133"/>
      <c r="C60" s="115"/>
      <c r="D60" s="134"/>
      <c r="E60" s="87"/>
      <c r="F60" s="134"/>
      <c r="G60" s="135"/>
      <c r="H60" s="134"/>
      <c r="I60" s="135"/>
      <c r="J60" s="134"/>
      <c r="K60" s="135"/>
      <c r="L60" s="134"/>
      <c r="M60" s="136"/>
      <c r="N60" s="134"/>
    </row>
    <row r="61" spans="1:18" s="171" customFormat="1" x14ac:dyDescent="0.2">
      <c r="A61" s="219"/>
      <c r="B61" s="189">
        <f>SUM(C61:N61)</f>
        <v>9.7200000000000006</v>
      </c>
      <c r="C61" s="175">
        <v>0.9</v>
      </c>
      <c r="D61" s="175">
        <v>0.45</v>
      </c>
      <c r="E61" s="179">
        <v>1.3049999999999999</v>
      </c>
      <c r="F61" s="175">
        <v>0.45</v>
      </c>
      <c r="G61" s="175"/>
      <c r="H61" s="182"/>
      <c r="I61" s="182">
        <v>0.18</v>
      </c>
      <c r="J61" s="182">
        <v>0.81</v>
      </c>
      <c r="K61" s="182">
        <v>2.25</v>
      </c>
      <c r="L61" s="182">
        <v>1.44</v>
      </c>
      <c r="M61" s="182">
        <v>1.62</v>
      </c>
      <c r="N61" s="175">
        <v>0.315</v>
      </c>
      <c r="P61" s="176"/>
    </row>
    <row r="62" spans="1:18" x14ac:dyDescent="0.2">
      <c r="A62" s="220"/>
      <c r="B62" s="157">
        <f>(SUM(C62:N62))/10</f>
        <v>158.13400000000001</v>
      </c>
      <c r="C62" s="165">
        <v>200</v>
      </c>
      <c r="D62" s="157">
        <v>200</v>
      </c>
      <c r="E62" s="157">
        <v>150</v>
      </c>
      <c r="F62" s="157">
        <v>125</v>
      </c>
      <c r="G62" s="157"/>
      <c r="H62" s="157"/>
      <c r="I62" s="157">
        <v>150</v>
      </c>
      <c r="J62" s="157">
        <v>116.67</v>
      </c>
      <c r="K62" s="157">
        <v>125</v>
      </c>
      <c r="L62" s="157">
        <v>138</v>
      </c>
      <c r="M62" s="157">
        <v>176.67</v>
      </c>
      <c r="N62" s="163">
        <v>200</v>
      </c>
    </row>
    <row r="63" spans="1:18" x14ac:dyDescent="0.2">
      <c r="A63" s="202" t="s">
        <v>117</v>
      </c>
      <c r="B63" s="109"/>
      <c r="C63" s="111"/>
      <c r="D63" s="111"/>
      <c r="E63" s="111"/>
      <c r="F63" s="111"/>
      <c r="G63" s="111"/>
      <c r="H63" s="111"/>
      <c r="I63" s="111"/>
      <c r="J63" s="109"/>
      <c r="K63" s="109"/>
      <c r="L63" s="109"/>
      <c r="M63" s="109"/>
      <c r="N63" s="109"/>
    </row>
    <row r="64" spans="1:18" s="171" customFormat="1" x14ac:dyDescent="0.2">
      <c r="A64" s="203"/>
      <c r="B64" s="189">
        <f>SUM(C64:N64)</f>
        <v>115.425</v>
      </c>
      <c r="C64" s="175">
        <v>17.594999999999999</v>
      </c>
      <c r="D64" s="175">
        <v>20.34</v>
      </c>
      <c r="E64" s="177">
        <v>5.7149999999999999</v>
      </c>
      <c r="F64" s="175">
        <v>12.33</v>
      </c>
      <c r="G64" s="175">
        <v>9.2249999999999996</v>
      </c>
      <c r="H64" s="182">
        <v>3.24</v>
      </c>
      <c r="I64" s="182">
        <v>5.13</v>
      </c>
      <c r="J64" s="182">
        <v>5.4</v>
      </c>
      <c r="K64" s="182">
        <v>13.5</v>
      </c>
      <c r="L64" s="182">
        <v>11.654999999999999</v>
      </c>
      <c r="M64" s="182">
        <v>4.6349999999999998</v>
      </c>
      <c r="N64" s="175">
        <v>6.66</v>
      </c>
      <c r="P64" s="176"/>
    </row>
    <row r="65" spans="1:16" x14ac:dyDescent="0.2">
      <c r="A65" s="204"/>
      <c r="B65" s="157">
        <f>(SUM(C65:N65))/12</f>
        <v>83.073333333333338</v>
      </c>
      <c r="C65" s="157">
        <v>86.46</v>
      </c>
      <c r="D65" s="157">
        <v>80.83</v>
      </c>
      <c r="E65" s="157">
        <v>76</v>
      </c>
      <c r="F65" s="157">
        <v>81.39</v>
      </c>
      <c r="G65" s="157">
        <v>83.33</v>
      </c>
      <c r="H65" s="157">
        <v>86.36</v>
      </c>
      <c r="I65" s="157">
        <v>81.819999999999993</v>
      </c>
      <c r="J65" s="157">
        <v>79</v>
      </c>
      <c r="K65" s="157">
        <v>82.27</v>
      </c>
      <c r="L65" s="157">
        <v>83.17</v>
      </c>
      <c r="M65" s="157">
        <v>81.540000000000006</v>
      </c>
      <c r="N65" s="163">
        <v>94.71</v>
      </c>
    </row>
    <row r="66" spans="1:16" x14ac:dyDescent="0.2">
      <c r="A66" s="202" t="s">
        <v>116</v>
      </c>
      <c r="B66" s="109"/>
      <c r="C66" s="111"/>
      <c r="D66" s="111"/>
      <c r="E66" s="111"/>
      <c r="F66" s="111"/>
      <c r="G66" s="111"/>
      <c r="H66" s="111"/>
      <c r="I66" s="111"/>
      <c r="J66" s="111"/>
      <c r="K66" s="109"/>
      <c r="L66" s="109"/>
      <c r="M66" s="109"/>
      <c r="N66" s="109"/>
    </row>
    <row r="67" spans="1:16" s="171" customFormat="1" x14ac:dyDescent="0.2">
      <c r="A67" s="203"/>
      <c r="B67" s="189">
        <f>SUM(C67:N67)</f>
        <v>4.5900000000000007</v>
      </c>
      <c r="C67" s="179">
        <v>1.44</v>
      </c>
      <c r="D67" s="178"/>
      <c r="E67" s="177"/>
      <c r="F67" s="175"/>
      <c r="G67" s="175"/>
      <c r="H67" s="181"/>
      <c r="I67" s="179"/>
      <c r="J67" s="179"/>
      <c r="K67" s="181"/>
      <c r="L67" s="181">
        <v>0.58499999999999996</v>
      </c>
      <c r="M67" s="181">
        <v>2.1150000000000002</v>
      </c>
      <c r="N67" s="181">
        <v>0.45</v>
      </c>
      <c r="P67" s="176"/>
    </row>
    <row r="68" spans="1:16" x14ac:dyDescent="0.2">
      <c r="A68" s="204"/>
      <c r="B68" s="157">
        <f>(SUM(C68:N68))/4</f>
        <v>120.625</v>
      </c>
      <c r="C68" s="157">
        <v>125</v>
      </c>
      <c r="D68" s="157"/>
      <c r="E68" s="157"/>
      <c r="F68" s="157"/>
      <c r="G68" s="157"/>
      <c r="H68" s="157"/>
      <c r="I68" s="157"/>
      <c r="J68" s="157"/>
      <c r="K68" s="164"/>
      <c r="L68" s="163">
        <v>110</v>
      </c>
      <c r="M68" s="163">
        <v>117.5</v>
      </c>
      <c r="N68" s="163">
        <v>130</v>
      </c>
    </row>
    <row r="69" spans="1:16" x14ac:dyDescent="0.2">
      <c r="A69" s="202" t="s">
        <v>141</v>
      </c>
      <c r="B69" s="109"/>
      <c r="C69" s="111"/>
      <c r="D69" s="111"/>
      <c r="E69" s="111"/>
      <c r="F69" s="111"/>
      <c r="G69" s="111"/>
      <c r="H69" s="111"/>
      <c r="I69" s="111"/>
      <c r="J69" s="109"/>
      <c r="K69" s="109"/>
      <c r="L69" s="109"/>
      <c r="M69" s="109"/>
      <c r="N69" s="109"/>
    </row>
    <row r="70" spans="1:16" s="171" customFormat="1" x14ac:dyDescent="0.2">
      <c r="A70" s="203"/>
      <c r="B70" s="189">
        <f>SUM(C70:N70)</f>
        <v>1.53</v>
      </c>
      <c r="C70" s="188"/>
      <c r="D70" s="175"/>
      <c r="E70" s="177"/>
      <c r="F70" s="182"/>
      <c r="G70" s="182"/>
      <c r="H70" s="182">
        <v>0.40500000000000003</v>
      </c>
      <c r="I70" s="182"/>
      <c r="J70" s="182">
        <v>0.13500000000000001</v>
      </c>
      <c r="K70" s="182"/>
      <c r="L70" s="182"/>
      <c r="M70" s="181"/>
      <c r="N70" s="175">
        <v>0.99</v>
      </c>
      <c r="P70" s="176"/>
    </row>
    <row r="71" spans="1:16" x14ac:dyDescent="0.2">
      <c r="A71" s="204"/>
      <c r="B71" s="157">
        <f>(SUM(C71:N71))/3</f>
        <v>91.666666666666671</v>
      </c>
      <c r="C71" s="163"/>
      <c r="D71" s="157"/>
      <c r="E71" s="157"/>
      <c r="F71" s="157"/>
      <c r="G71" s="157"/>
      <c r="H71" s="157">
        <v>90</v>
      </c>
      <c r="I71" s="157"/>
      <c r="J71" s="157">
        <v>100</v>
      </c>
      <c r="K71" s="157"/>
      <c r="L71" s="157"/>
      <c r="M71" s="163"/>
      <c r="N71" s="163">
        <v>85</v>
      </c>
    </row>
    <row r="72" spans="1:16" x14ac:dyDescent="0.2">
      <c r="A72" s="202" t="s">
        <v>165</v>
      </c>
      <c r="B72" s="109"/>
      <c r="C72" s="87"/>
      <c r="D72" s="138"/>
      <c r="E72" s="87"/>
      <c r="F72" s="138"/>
      <c r="G72" s="138"/>
      <c r="H72" s="111"/>
      <c r="I72" s="138"/>
      <c r="J72" s="109"/>
      <c r="K72" s="138"/>
      <c r="L72" s="138"/>
      <c r="M72" s="138"/>
      <c r="N72" s="138"/>
    </row>
    <row r="73" spans="1:16" s="171" customFormat="1" x14ac:dyDescent="0.2">
      <c r="A73" s="203"/>
      <c r="B73" s="189">
        <f>SUM(C73:N73)</f>
        <v>66.285000000000011</v>
      </c>
      <c r="C73" s="175">
        <v>22.454999999999998</v>
      </c>
      <c r="D73" s="175">
        <v>16.245000000000001</v>
      </c>
      <c r="E73" s="177">
        <v>6.0750000000000002</v>
      </c>
      <c r="F73" s="175">
        <v>18.675000000000001</v>
      </c>
      <c r="G73" s="175">
        <v>1.8</v>
      </c>
      <c r="H73" s="182"/>
      <c r="I73" s="182"/>
      <c r="J73" s="182">
        <v>0.45</v>
      </c>
      <c r="K73" s="182"/>
      <c r="L73" s="182">
        <v>0.45</v>
      </c>
      <c r="M73" s="182"/>
      <c r="N73" s="175">
        <v>0.13500000000000001</v>
      </c>
      <c r="P73" s="176"/>
    </row>
    <row r="74" spans="1:16" ht="13.5" thickBot="1" x14ac:dyDescent="0.25">
      <c r="A74" s="204"/>
      <c r="B74" s="157">
        <f>(SUM(C74:N74))/8</f>
        <v>105.3425</v>
      </c>
      <c r="C74" s="165">
        <v>108.57</v>
      </c>
      <c r="D74" s="157">
        <v>95</v>
      </c>
      <c r="E74" s="157">
        <v>87.5</v>
      </c>
      <c r="F74" s="157">
        <v>121.67</v>
      </c>
      <c r="G74" s="157">
        <v>100</v>
      </c>
      <c r="H74" s="157"/>
      <c r="I74" s="157"/>
      <c r="J74" s="157">
        <v>80</v>
      </c>
      <c r="K74" s="157"/>
      <c r="L74" s="157">
        <v>100</v>
      </c>
      <c r="M74" s="157"/>
      <c r="N74" s="163">
        <v>150</v>
      </c>
    </row>
    <row r="75" spans="1:16" ht="13.5" thickTop="1" x14ac:dyDescent="0.2">
      <c r="A75" s="210" t="s">
        <v>143</v>
      </c>
      <c r="B75" s="109"/>
      <c r="C75" s="111"/>
      <c r="D75" s="111"/>
      <c r="E75" s="111"/>
      <c r="F75" s="111"/>
      <c r="G75" s="111"/>
      <c r="H75" s="111"/>
      <c r="I75" s="111"/>
      <c r="J75" s="109"/>
      <c r="K75" s="109"/>
      <c r="L75" s="109"/>
      <c r="M75" s="109"/>
      <c r="N75" s="138"/>
    </row>
    <row r="76" spans="1:16" x14ac:dyDescent="0.2">
      <c r="A76" s="203"/>
      <c r="B76" s="189">
        <f>SUM(C76:N76)</f>
        <v>2253.7349999999997</v>
      </c>
      <c r="C76" s="188">
        <v>155.02500000000001</v>
      </c>
      <c r="D76" s="188">
        <v>161.01</v>
      </c>
      <c r="E76" s="177">
        <v>190.35</v>
      </c>
      <c r="F76" s="188">
        <v>185.67</v>
      </c>
      <c r="G76" s="188">
        <v>215.82</v>
      </c>
      <c r="H76" s="182">
        <v>221.58</v>
      </c>
      <c r="I76" s="182">
        <v>282.46499999999997</v>
      </c>
      <c r="J76" s="182">
        <v>174.64500000000001</v>
      </c>
      <c r="K76" s="182">
        <v>155.34</v>
      </c>
      <c r="L76" s="182">
        <v>158.31</v>
      </c>
      <c r="M76" s="182">
        <v>185.58</v>
      </c>
      <c r="N76" s="175">
        <v>167.94</v>
      </c>
      <c r="O76" s="186"/>
      <c r="P76" s="176"/>
    </row>
    <row r="77" spans="1:16" x14ac:dyDescent="0.2">
      <c r="A77" s="204"/>
      <c r="B77" s="157">
        <f>(SUM(C77:N77))/12</f>
        <v>116.27833333333335</v>
      </c>
      <c r="C77" s="157">
        <v>113.02</v>
      </c>
      <c r="D77" s="157">
        <v>109.64</v>
      </c>
      <c r="E77" s="157">
        <v>105.18</v>
      </c>
      <c r="F77" s="157">
        <v>106.29</v>
      </c>
      <c r="G77" s="157">
        <v>113.58</v>
      </c>
      <c r="H77" s="157">
        <v>108.99</v>
      </c>
      <c r="I77" s="157">
        <v>111.72</v>
      </c>
      <c r="J77" s="157">
        <v>112.03</v>
      </c>
      <c r="K77" s="157">
        <v>111.3</v>
      </c>
      <c r="L77" s="157">
        <v>111.97</v>
      </c>
      <c r="M77" s="157">
        <v>114.95</v>
      </c>
      <c r="N77" s="163">
        <v>176.67</v>
      </c>
    </row>
    <row r="78" spans="1:16" x14ac:dyDescent="0.2">
      <c r="A78" s="106"/>
      <c r="B78" s="118"/>
      <c r="C78" s="120"/>
      <c r="D78" s="120"/>
      <c r="E78" s="120"/>
      <c r="F78" s="120"/>
      <c r="G78" s="120"/>
      <c r="H78" s="120"/>
      <c r="I78" s="120"/>
      <c r="J78" s="120"/>
      <c r="K78" s="120"/>
      <c r="L78" s="132"/>
      <c r="M78" s="132"/>
      <c r="N78" s="120"/>
    </row>
    <row r="79" spans="1:16" x14ac:dyDescent="0.2">
      <c r="A79" s="106"/>
      <c r="B79" s="118"/>
      <c r="C79" s="120"/>
      <c r="D79" s="120"/>
      <c r="E79" s="120"/>
      <c r="F79" s="120"/>
      <c r="G79" s="120"/>
      <c r="H79" s="120"/>
      <c r="I79" s="120"/>
      <c r="J79" s="120"/>
      <c r="K79" s="120"/>
      <c r="L79" s="132"/>
      <c r="M79" s="132"/>
      <c r="N79" s="120"/>
    </row>
    <row r="80" spans="1:16" x14ac:dyDescent="0.2">
      <c r="A80" s="106"/>
      <c r="B80" s="118"/>
      <c r="C80" s="120"/>
      <c r="D80" s="120"/>
      <c r="E80" s="120"/>
      <c r="F80" s="120"/>
      <c r="G80" s="120"/>
      <c r="H80" s="120"/>
      <c r="I80" s="120"/>
      <c r="J80" s="120"/>
      <c r="K80" s="120"/>
      <c r="L80" s="132"/>
      <c r="M80" s="132"/>
      <c r="N80" s="120"/>
    </row>
    <row r="81" spans="1:16" x14ac:dyDescent="0.2">
      <c r="A81" s="106"/>
      <c r="B81" s="118"/>
      <c r="C81" s="120"/>
      <c r="D81" s="120"/>
      <c r="E81" s="120"/>
      <c r="F81" s="120"/>
      <c r="G81" s="120"/>
      <c r="H81" s="120"/>
      <c r="I81" s="120"/>
      <c r="J81" s="120"/>
      <c r="K81" s="120"/>
      <c r="L81" s="132"/>
      <c r="M81" s="132"/>
      <c r="N81" s="120"/>
    </row>
    <row r="82" spans="1:16" x14ac:dyDescent="0.2">
      <c r="A82" s="106"/>
      <c r="B82" s="118"/>
      <c r="C82" s="120"/>
      <c r="D82" s="120"/>
      <c r="E82" s="120"/>
      <c r="F82" s="120"/>
      <c r="G82" s="120"/>
      <c r="H82" s="120"/>
      <c r="I82" s="120"/>
      <c r="J82" s="120"/>
      <c r="K82" s="120"/>
      <c r="L82" s="132"/>
      <c r="M82" s="132"/>
      <c r="N82" s="120"/>
    </row>
    <row r="83" spans="1:16" x14ac:dyDescent="0.2">
      <c r="A83" s="106"/>
      <c r="B83" s="118"/>
      <c r="C83" s="120"/>
      <c r="D83" s="120"/>
      <c r="E83" s="120"/>
      <c r="F83" s="120"/>
      <c r="G83" s="120"/>
      <c r="H83" s="120"/>
      <c r="I83" s="120"/>
      <c r="J83" s="120"/>
      <c r="K83" s="120"/>
      <c r="L83" s="132"/>
      <c r="M83" s="132"/>
      <c r="N83" s="120"/>
    </row>
    <row r="84" spans="1:16" x14ac:dyDescent="0.2">
      <c r="A84" s="106"/>
      <c r="B84" s="118"/>
      <c r="C84" s="120"/>
      <c r="D84" s="120"/>
      <c r="E84" s="120"/>
      <c r="F84" s="120"/>
      <c r="G84" s="120"/>
      <c r="H84" s="120"/>
      <c r="I84" s="120"/>
      <c r="J84" s="120"/>
      <c r="K84" s="120"/>
      <c r="L84" s="132"/>
      <c r="M84" s="132"/>
      <c r="N84" s="120"/>
    </row>
    <row r="85" spans="1:16" x14ac:dyDescent="0.2">
      <c r="A85" s="102" t="s">
        <v>169</v>
      </c>
      <c r="B85" s="118"/>
      <c r="C85" s="120"/>
      <c r="D85" s="120"/>
      <c r="E85" s="120"/>
      <c r="F85" s="120"/>
      <c r="G85" s="120"/>
      <c r="H85" s="120"/>
      <c r="I85" s="120"/>
      <c r="J85" s="120"/>
      <c r="K85" s="120"/>
      <c r="L85" s="132"/>
      <c r="M85" s="132"/>
      <c r="N85" s="120"/>
    </row>
    <row r="86" spans="1:16" ht="13.5" thickBot="1" x14ac:dyDescent="0.25"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</row>
    <row r="87" spans="1:16" ht="13.5" thickTop="1" x14ac:dyDescent="0.2">
      <c r="A87" s="223" t="s">
        <v>45</v>
      </c>
      <c r="B87" s="184" t="s">
        <v>106</v>
      </c>
      <c r="C87" s="213" t="s">
        <v>46</v>
      </c>
      <c r="D87" s="213" t="s">
        <v>47</v>
      </c>
      <c r="E87" s="213" t="s">
        <v>108</v>
      </c>
      <c r="F87" s="213" t="s">
        <v>109</v>
      </c>
      <c r="G87" s="213" t="s">
        <v>58</v>
      </c>
      <c r="H87" s="213" t="s">
        <v>59</v>
      </c>
      <c r="I87" s="213" t="s">
        <v>60</v>
      </c>
      <c r="J87" s="213" t="s">
        <v>105</v>
      </c>
      <c r="K87" s="213" t="s">
        <v>62</v>
      </c>
      <c r="L87" s="213" t="s">
        <v>48</v>
      </c>
      <c r="M87" s="213" t="s">
        <v>49</v>
      </c>
      <c r="N87" s="213" t="s">
        <v>50</v>
      </c>
    </row>
    <row r="88" spans="1:16" ht="16.5" thickBot="1" x14ac:dyDescent="0.3">
      <c r="A88" s="224"/>
      <c r="B88" s="125" t="s">
        <v>107</v>
      </c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</row>
    <row r="89" spans="1:16" ht="13.5" thickTop="1" x14ac:dyDescent="0.2">
      <c r="A89" s="207" t="s">
        <v>145</v>
      </c>
      <c r="B89" s="109"/>
      <c r="C89" s="111"/>
      <c r="D89" s="111"/>
      <c r="E89" s="111"/>
      <c r="F89" s="111"/>
      <c r="G89" s="111"/>
      <c r="H89" s="111"/>
      <c r="I89" s="111"/>
      <c r="J89" s="109"/>
      <c r="K89" s="109"/>
      <c r="L89" s="109"/>
      <c r="M89" s="109"/>
      <c r="N89" s="138"/>
    </row>
    <row r="90" spans="1:16" s="171" customFormat="1" x14ac:dyDescent="0.2">
      <c r="A90" s="208"/>
      <c r="B90" s="189">
        <f>SUM(C90:N90)</f>
        <v>1005.57</v>
      </c>
      <c r="C90" s="175">
        <v>18.045000000000002</v>
      </c>
      <c r="D90" s="175">
        <v>57.645000000000003</v>
      </c>
      <c r="E90" s="177">
        <v>119.565</v>
      </c>
      <c r="F90" s="175">
        <v>100.35</v>
      </c>
      <c r="G90" s="175">
        <v>72.674999999999997</v>
      </c>
      <c r="H90" s="182">
        <v>92.295000000000002</v>
      </c>
      <c r="I90" s="182">
        <v>172.39500000000001</v>
      </c>
      <c r="J90" s="182">
        <v>54.99</v>
      </c>
      <c r="K90" s="182">
        <v>90.27</v>
      </c>
      <c r="L90" s="182">
        <v>134.46</v>
      </c>
      <c r="M90" s="182">
        <v>68.984999999999999</v>
      </c>
      <c r="N90" s="175">
        <v>23.895</v>
      </c>
      <c r="P90" s="176"/>
    </row>
    <row r="91" spans="1:16" x14ac:dyDescent="0.2">
      <c r="A91" s="209"/>
      <c r="B91" s="157">
        <f>(SUM(C91:N91))/12</f>
        <v>118.5175</v>
      </c>
      <c r="C91" s="157">
        <v>132.08000000000001</v>
      </c>
      <c r="D91" s="157">
        <v>117.75</v>
      </c>
      <c r="E91" s="195">
        <v>112.92</v>
      </c>
      <c r="F91" s="157">
        <v>112.11</v>
      </c>
      <c r="G91" s="157">
        <v>110</v>
      </c>
      <c r="H91" s="157">
        <v>107.25</v>
      </c>
      <c r="I91" s="157">
        <v>109.61</v>
      </c>
      <c r="J91" s="157">
        <v>113.4</v>
      </c>
      <c r="K91" s="157">
        <v>116.61</v>
      </c>
      <c r="L91" s="157">
        <v>118.1</v>
      </c>
      <c r="M91" s="157">
        <v>120.5</v>
      </c>
      <c r="N91" s="163">
        <v>151.88</v>
      </c>
    </row>
    <row r="92" spans="1:16" x14ac:dyDescent="0.2">
      <c r="A92" s="173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63"/>
    </row>
    <row r="93" spans="1:16" s="171" customFormat="1" x14ac:dyDescent="0.2">
      <c r="A93" s="97" t="s">
        <v>144</v>
      </c>
      <c r="B93" s="189">
        <f>SUM(C93:N93)</f>
        <v>669.46499999999992</v>
      </c>
      <c r="C93" s="190">
        <v>19.71</v>
      </c>
      <c r="D93" s="190">
        <v>25.245000000000001</v>
      </c>
      <c r="E93" s="191">
        <v>23.94</v>
      </c>
      <c r="F93" s="190">
        <v>50.805</v>
      </c>
      <c r="G93" s="192">
        <v>70.92</v>
      </c>
      <c r="H93" s="192">
        <v>62.73</v>
      </c>
      <c r="I93" s="192">
        <v>73.665000000000006</v>
      </c>
      <c r="J93" s="192">
        <v>64.665000000000006</v>
      </c>
      <c r="K93" s="192">
        <v>68.849999999999994</v>
      </c>
      <c r="L93" s="192">
        <v>87.57</v>
      </c>
      <c r="M93" s="192">
        <v>54.99</v>
      </c>
      <c r="N93" s="193">
        <v>66.375</v>
      </c>
      <c r="P93" s="176"/>
    </row>
    <row r="94" spans="1:16" x14ac:dyDescent="0.2">
      <c r="A94" s="98"/>
      <c r="B94" s="157">
        <f>(SUM(C94:N94))/12</f>
        <v>324.18583333333339</v>
      </c>
      <c r="C94" s="165">
        <v>331.43</v>
      </c>
      <c r="D94" s="157">
        <v>295.45</v>
      </c>
      <c r="E94" s="157">
        <v>327.5</v>
      </c>
      <c r="F94" s="157">
        <v>310.94</v>
      </c>
      <c r="G94" s="163">
        <v>294.68</v>
      </c>
      <c r="H94" s="157">
        <v>298.20999999999998</v>
      </c>
      <c r="I94" s="157">
        <v>353.01</v>
      </c>
      <c r="J94" s="157">
        <v>328.15</v>
      </c>
      <c r="K94" s="157">
        <v>339.36</v>
      </c>
      <c r="L94" s="157">
        <v>330.44</v>
      </c>
      <c r="M94" s="157">
        <v>339.52</v>
      </c>
      <c r="N94" s="163">
        <v>341.54</v>
      </c>
    </row>
    <row r="95" spans="1:16" x14ac:dyDescent="0.2">
      <c r="A95" s="202" t="s">
        <v>158</v>
      </c>
      <c r="B95" s="139"/>
      <c r="C95" s="133"/>
      <c r="D95" s="133"/>
      <c r="E95" s="133"/>
      <c r="F95" s="133"/>
      <c r="G95" s="140"/>
      <c r="H95" s="133"/>
      <c r="I95" s="133"/>
      <c r="J95" s="126"/>
      <c r="K95" s="126"/>
      <c r="L95" s="126"/>
      <c r="M95" s="126"/>
      <c r="N95" s="126"/>
    </row>
    <row r="96" spans="1:16" s="171" customFormat="1" x14ac:dyDescent="0.2">
      <c r="A96" s="203"/>
      <c r="B96" s="189">
        <f>SUM(C96:N96)</f>
        <v>172.08</v>
      </c>
      <c r="C96" s="188">
        <v>14.175000000000001</v>
      </c>
      <c r="D96" s="188">
        <v>7.335</v>
      </c>
      <c r="E96" s="177">
        <v>10.305</v>
      </c>
      <c r="F96" s="188">
        <v>34.875</v>
      </c>
      <c r="G96" s="181">
        <v>37.53</v>
      </c>
      <c r="H96" s="182">
        <v>2.1150000000000002</v>
      </c>
      <c r="I96" s="181"/>
      <c r="J96" s="181">
        <v>11.654999999999999</v>
      </c>
      <c r="K96" s="182">
        <v>3.42</v>
      </c>
      <c r="L96" s="182">
        <v>28.35</v>
      </c>
      <c r="M96" s="182">
        <v>3.645</v>
      </c>
      <c r="N96" s="175">
        <v>18.675000000000001</v>
      </c>
      <c r="P96" s="176"/>
    </row>
    <row r="97" spans="1:16" x14ac:dyDescent="0.2">
      <c r="A97" s="204"/>
      <c r="B97" s="157">
        <f>(SUM(C97:N97))/11</f>
        <v>123.86818181818181</v>
      </c>
      <c r="C97" s="157">
        <v>134.22999999999999</v>
      </c>
      <c r="D97" s="157">
        <v>121.43</v>
      </c>
      <c r="E97" s="157">
        <v>131.25</v>
      </c>
      <c r="F97" s="157">
        <v>112</v>
      </c>
      <c r="G97" s="163">
        <v>113.64</v>
      </c>
      <c r="H97" s="157">
        <v>100</v>
      </c>
      <c r="I97" s="157"/>
      <c r="J97" s="164">
        <v>115</v>
      </c>
      <c r="K97" s="164">
        <v>115</v>
      </c>
      <c r="L97" s="164">
        <v>125</v>
      </c>
      <c r="M97" s="164">
        <v>150</v>
      </c>
      <c r="N97" s="163">
        <v>145</v>
      </c>
    </row>
    <row r="98" spans="1:16" x14ac:dyDescent="0.2">
      <c r="A98" s="203" t="s">
        <v>110</v>
      </c>
      <c r="B98" s="141"/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  <c r="N98" s="142"/>
    </row>
    <row r="99" spans="1:16" s="171" customFormat="1" x14ac:dyDescent="0.2">
      <c r="A99" s="203"/>
      <c r="B99" s="189">
        <f>SUM(C99:N99)</f>
        <v>112.27500000000001</v>
      </c>
      <c r="C99" s="188"/>
      <c r="D99" s="188"/>
      <c r="E99" s="177">
        <f>11.25+6.3</f>
        <v>17.55</v>
      </c>
      <c r="F99" s="188"/>
      <c r="G99" s="188"/>
      <c r="H99" s="188"/>
      <c r="I99" s="188">
        <v>12.78</v>
      </c>
      <c r="J99" s="188">
        <f>18.36+16.065</f>
        <v>34.424999999999997</v>
      </c>
      <c r="K99" s="188">
        <f>17.82+0.99+22.095</f>
        <v>40.905000000000001</v>
      </c>
      <c r="L99" s="188">
        <v>6.0750000000000002</v>
      </c>
      <c r="M99" s="188"/>
      <c r="N99" s="188">
        <f>0.36+0.18</f>
        <v>0.54</v>
      </c>
      <c r="P99" s="176"/>
    </row>
    <row r="100" spans="1:16" x14ac:dyDescent="0.2">
      <c r="A100" s="204"/>
      <c r="B100" s="157">
        <f>SUM(C100:N100)/6</f>
        <v>65.484999999999999</v>
      </c>
      <c r="C100" s="157"/>
      <c r="D100" s="157"/>
      <c r="E100" s="157">
        <f>(73.33+65)/2</f>
        <v>69.164999999999992</v>
      </c>
      <c r="F100" s="157"/>
      <c r="G100" s="157"/>
      <c r="H100" s="157"/>
      <c r="I100" s="157">
        <v>59.5</v>
      </c>
      <c r="J100" s="157">
        <f>(95.45+60)/2</f>
        <v>77.724999999999994</v>
      </c>
      <c r="K100" s="157">
        <f>(64+50+55.56)/3</f>
        <v>56.52</v>
      </c>
      <c r="L100" s="157">
        <v>60</v>
      </c>
      <c r="M100" s="157"/>
      <c r="N100" s="157">
        <v>70</v>
      </c>
    </row>
    <row r="101" spans="1:16" x14ac:dyDescent="0.2">
      <c r="A101" s="99"/>
      <c r="B101" s="141"/>
      <c r="C101" s="143"/>
      <c r="D101" s="144"/>
      <c r="E101" s="143"/>
      <c r="F101" s="144"/>
      <c r="G101" s="143"/>
      <c r="H101" s="144"/>
      <c r="I101" s="143"/>
      <c r="J101" s="144"/>
      <c r="K101" s="145"/>
      <c r="L101" s="144"/>
      <c r="M101" s="143"/>
      <c r="N101" s="144"/>
    </row>
    <row r="102" spans="1:16" s="171" customFormat="1" x14ac:dyDescent="0.2">
      <c r="A102" s="97" t="s">
        <v>146</v>
      </c>
      <c r="B102" s="189">
        <f>SUM(C102:N102)</f>
        <v>8.7750000000000004</v>
      </c>
      <c r="C102" s="188">
        <v>0.9</v>
      </c>
      <c r="D102" s="188"/>
      <c r="E102" s="177">
        <v>1.35</v>
      </c>
      <c r="F102" s="188">
        <v>0.45</v>
      </c>
      <c r="G102" s="188">
        <v>0.22500000000000001</v>
      </c>
      <c r="H102" s="188"/>
      <c r="I102" s="188">
        <v>0.76500000000000001</v>
      </c>
      <c r="J102" s="188">
        <v>0.58499999999999996</v>
      </c>
      <c r="K102" s="188">
        <v>2.9249999999999998</v>
      </c>
      <c r="L102" s="188"/>
      <c r="M102" s="188">
        <v>1.575</v>
      </c>
      <c r="N102" s="188"/>
      <c r="P102" s="176"/>
    </row>
    <row r="103" spans="1:16" x14ac:dyDescent="0.2">
      <c r="A103" s="98"/>
      <c r="B103" s="157">
        <f>(SUM(C103:N103))/8</f>
        <v>143.375</v>
      </c>
      <c r="C103" s="157">
        <v>150</v>
      </c>
      <c r="D103" s="157"/>
      <c r="E103" s="157">
        <v>145</v>
      </c>
      <c r="F103" s="157">
        <v>150</v>
      </c>
      <c r="G103" s="157">
        <v>150</v>
      </c>
      <c r="H103" s="157"/>
      <c r="I103" s="157">
        <v>140</v>
      </c>
      <c r="J103" s="157">
        <v>150</v>
      </c>
      <c r="K103" s="157">
        <v>132</v>
      </c>
      <c r="L103" s="157"/>
      <c r="M103" s="157">
        <v>130</v>
      </c>
      <c r="N103" s="157"/>
    </row>
    <row r="104" spans="1:16" x14ac:dyDescent="0.2">
      <c r="A104" s="99"/>
      <c r="B104" s="139"/>
      <c r="C104" s="111"/>
      <c r="D104" s="111"/>
      <c r="E104" s="111"/>
      <c r="F104" s="111"/>
      <c r="G104" s="88"/>
      <c r="H104" s="111"/>
      <c r="I104" s="111"/>
      <c r="J104" s="109"/>
      <c r="K104" s="109"/>
      <c r="L104" s="109"/>
      <c r="M104" s="109"/>
      <c r="N104" s="137"/>
    </row>
    <row r="105" spans="1:16" s="171" customFormat="1" x14ac:dyDescent="0.2">
      <c r="A105" s="97" t="s">
        <v>147</v>
      </c>
      <c r="B105" s="189">
        <f>SUM(C105:N105)</f>
        <v>91.53</v>
      </c>
      <c r="C105" s="188">
        <v>6.57</v>
      </c>
      <c r="D105" s="188">
        <v>9.09</v>
      </c>
      <c r="E105" s="177">
        <v>5.085</v>
      </c>
      <c r="F105" s="188">
        <v>3.6</v>
      </c>
      <c r="G105" s="188">
        <v>0.9</v>
      </c>
      <c r="H105" s="188">
        <v>2.34</v>
      </c>
      <c r="I105" s="188">
        <v>8.8650000000000002</v>
      </c>
      <c r="J105" s="188">
        <v>8.9550000000000001</v>
      </c>
      <c r="K105" s="188">
        <v>14.984999999999999</v>
      </c>
      <c r="L105" s="188">
        <v>12.06</v>
      </c>
      <c r="M105" s="188">
        <v>7.6050000000000004</v>
      </c>
      <c r="N105" s="188">
        <v>11.475</v>
      </c>
      <c r="P105" s="176"/>
    </row>
    <row r="106" spans="1:16" x14ac:dyDescent="0.2">
      <c r="A106" s="98"/>
      <c r="B106" s="157">
        <f>(SUM(C106:N106))/12</f>
        <v>87.800000000000011</v>
      </c>
      <c r="C106" s="157">
        <v>88.5</v>
      </c>
      <c r="D106" s="157">
        <v>73.849999999999994</v>
      </c>
      <c r="E106" s="157">
        <v>73.75</v>
      </c>
      <c r="F106" s="157">
        <v>68.33</v>
      </c>
      <c r="G106" s="157">
        <v>110</v>
      </c>
      <c r="H106" s="157">
        <v>90</v>
      </c>
      <c r="I106" s="157">
        <v>85.56</v>
      </c>
      <c r="J106" s="157">
        <v>86</v>
      </c>
      <c r="K106" s="157">
        <v>80.83</v>
      </c>
      <c r="L106" s="157">
        <v>90</v>
      </c>
      <c r="M106" s="157">
        <v>104</v>
      </c>
      <c r="N106" s="157">
        <v>102.78</v>
      </c>
    </row>
    <row r="107" spans="1:16" x14ac:dyDescent="0.2">
      <c r="A107" s="99"/>
      <c r="B107" s="139"/>
      <c r="C107" s="111"/>
      <c r="D107" s="111"/>
      <c r="E107" s="111"/>
      <c r="F107" s="111"/>
      <c r="G107" s="88"/>
      <c r="H107" s="111"/>
      <c r="I107" s="111"/>
      <c r="J107" s="109"/>
      <c r="K107" s="109"/>
      <c r="L107" s="109"/>
      <c r="M107" s="109"/>
      <c r="N107" s="137"/>
    </row>
    <row r="108" spans="1:16" s="171" customFormat="1" x14ac:dyDescent="0.2">
      <c r="A108" s="97" t="s">
        <v>148</v>
      </c>
      <c r="B108" s="189">
        <f>SUM(C108:N108)</f>
        <v>237.69</v>
      </c>
      <c r="C108" s="188">
        <v>15.345000000000001</v>
      </c>
      <c r="D108" s="188">
        <v>16.739999999999998</v>
      </c>
      <c r="E108" s="177">
        <v>13.005000000000001</v>
      </c>
      <c r="F108" s="188">
        <v>16.02</v>
      </c>
      <c r="G108" s="188">
        <v>16.739999999999998</v>
      </c>
      <c r="H108" s="188">
        <v>23.13</v>
      </c>
      <c r="I108" s="188">
        <v>23.58</v>
      </c>
      <c r="J108" s="188">
        <v>30.42</v>
      </c>
      <c r="K108" s="188">
        <v>16.335000000000001</v>
      </c>
      <c r="L108" s="188">
        <v>24.75</v>
      </c>
      <c r="M108" s="188">
        <v>28.574999999999999</v>
      </c>
      <c r="N108" s="188">
        <v>13.05</v>
      </c>
      <c r="P108" s="176"/>
    </row>
    <row r="109" spans="1:16" x14ac:dyDescent="0.2">
      <c r="A109" s="98"/>
      <c r="B109" s="157">
        <f>(SUM(C109:N109))/12</f>
        <v>174.01</v>
      </c>
      <c r="C109" s="157">
        <v>154.16999999999999</v>
      </c>
      <c r="D109" s="157">
        <v>162.66999999999999</v>
      </c>
      <c r="E109" s="157">
        <v>168.12</v>
      </c>
      <c r="F109" s="157">
        <v>174.09</v>
      </c>
      <c r="G109" s="157">
        <v>188.1</v>
      </c>
      <c r="H109" s="157">
        <v>178.97</v>
      </c>
      <c r="I109" s="157">
        <v>169.53</v>
      </c>
      <c r="J109" s="157">
        <v>163.9</v>
      </c>
      <c r="K109" s="157">
        <v>170.4</v>
      </c>
      <c r="L109" s="157">
        <v>178.11</v>
      </c>
      <c r="M109" s="157">
        <v>176.06</v>
      </c>
      <c r="N109" s="157">
        <v>204</v>
      </c>
    </row>
    <row r="110" spans="1:16" x14ac:dyDescent="0.2">
      <c r="A110" s="207" t="s">
        <v>118</v>
      </c>
      <c r="B110" s="139"/>
      <c r="C110" s="111"/>
      <c r="D110" s="111"/>
      <c r="E110" s="111"/>
      <c r="F110" s="111"/>
      <c r="G110" s="88"/>
      <c r="H110" s="111"/>
      <c r="I110" s="111"/>
      <c r="J110" s="109"/>
      <c r="K110" s="109"/>
      <c r="L110" s="109"/>
      <c r="M110" s="109"/>
      <c r="N110" s="137"/>
    </row>
    <row r="111" spans="1:16" s="171" customFormat="1" x14ac:dyDescent="0.2">
      <c r="A111" s="208"/>
      <c r="B111" s="189">
        <f>SUM(C111:N111)</f>
        <v>1.7100000000000002</v>
      </c>
      <c r="C111" s="188"/>
      <c r="D111" s="188"/>
      <c r="E111" s="177"/>
      <c r="F111" s="188"/>
      <c r="G111" s="188">
        <v>0.13500000000000001</v>
      </c>
      <c r="H111" s="188">
        <v>0.63</v>
      </c>
      <c r="I111" s="188">
        <v>0.18</v>
      </c>
      <c r="J111" s="188"/>
      <c r="K111" s="188">
        <v>0.67500000000000004</v>
      </c>
      <c r="L111" s="188"/>
      <c r="M111" s="188">
        <v>0.09</v>
      </c>
      <c r="N111" s="175"/>
      <c r="P111" s="176"/>
    </row>
    <row r="112" spans="1:16" x14ac:dyDescent="0.2">
      <c r="A112" s="209"/>
      <c r="B112" s="157">
        <f>(SUM(C112:N112))/5</f>
        <v>117.5</v>
      </c>
      <c r="C112" s="157"/>
      <c r="D112" s="157"/>
      <c r="E112" s="157"/>
      <c r="F112" s="157"/>
      <c r="G112" s="157">
        <v>120</v>
      </c>
      <c r="H112" s="157">
        <v>110</v>
      </c>
      <c r="I112" s="157">
        <v>120</v>
      </c>
      <c r="J112" s="157"/>
      <c r="K112" s="157">
        <v>117.5</v>
      </c>
      <c r="L112" s="157"/>
      <c r="M112" s="157">
        <v>120</v>
      </c>
      <c r="N112" s="163"/>
    </row>
    <row r="113" spans="1:16" x14ac:dyDescent="0.2">
      <c r="A113" s="202" t="s">
        <v>119</v>
      </c>
      <c r="B113" s="139"/>
      <c r="C113" s="111"/>
      <c r="D113" s="111"/>
      <c r="E113" s="111"/>
      <c r="F113" s="111"/>
      <c r="G113" s="88"/>
      <c r="H113" s="111"/>
      <c r="I113" s="111"/>
      <c r="J113" s="109"/>
      <c r="K113" s="109"/>
      <c r="L113" s="109"/>
      <c r="M113" s="109"/>
      <c r="N113" s="137"/>
    </row>
    <row r="114" spans="1:16" s="171" customFormat="1" x14ac:dyDescent="0.2">
      <c r="A114" s="203"/>
      <c r="B114" s="189">
        <f>SUM(C114:N114)</f>
        <v>29.115000000000002</v>
      </c>
      <c r="C114" s="188">
        <v>1.35</v>
      </c>
      <c r="D114" s="188">
        <v>0.13500000000000001</v>
      </c>
      <c r="E114" s="177">
        <v>0.22500000000000001</v>
      </c>
      <c r="F114" s="188"/>
      <c r="G114" s="188">
        <v>0.22500000000000001</v>
      </c>
      <c r="H114" s="188">
        <v>1.08</v>
      </c>
      <c r="I114" s="188">
        <v>4.1849999999999996</v>
      </c>
      <c r="J114" s="188">
        <v>7.4249999999999998</v>
      </c>
      <c r="K114" s="188">
        <v>6.3</v>
      </c>
      <c r="L114" s="188">
        <v>3.5550000000000002</v>
      </c>
      <c r="M114" s="188">
        <v>2.34</v>
      </c>
      <c r="N114" s="188">
        <v>2.2949999999999999</v>
      </c>
      <c r="P114" s="176"/>
    </row>
    <row r="115" spans="1:16" ht="13.5" thickBot="1" x14ac:dyDescent="0.25">
      <c r="A115" s="204"/>
      <c r="B115" s="157">
        <f>(SUM(C115:N115))/11</f>
        <v>249.18272727272725</v>
      </c>
      <c r="C115" s="157">
        <v>203.33</v>
      </c>
      <c r="D115" s="157">
        <v>100</v>
      </c>
      <c r="E115" s="157">
        <v>500</v>
      </c>
      <c r="F115" s="157"/>
      <c r="G115" s="157">
        <v>150</v>
      </c>
      <c r="H115" s="157">
        <v>176</v>
      </c>
      <c r="I115" s="157">
        <v>234</v>
      </c>
      <c r="J115" s="157">
        <v>270.48</v>
      </c>
      <c r="K115" s="157">
        <v>268</v>
      </c>
      <c r="L115" s="157">
        <v>284.62</v>
      </c>
      <c r="M115" s="157">
        <v>271.25</v>
      </c>
      <c r="N115" s="157">
        <v>283.33</v>
      </c>
    </row>
    <row r="116" spans="1:16" ht="13.5" thickTop="1" x14ac:dyDescent="0.2">
      <c r="A116" s="211" t="s">
        <v>156</v>
      </c>
      <c r="B116" s="139"/>
      <c r="C116" s="87"/>
      <c r="D116" s="87"/>
      <c r="E116" s="87"/>
      <c r="F116" s="111"/>
      <c r="G116" s="88"/>
      <c r="H116" s="111"/>
      <c r="I116" s="111"/>
      <c r="J116" s="109"/>
      <c r="K116" s="109"/>
      <c r="L116" s="109"/>
      <c r="M116" s="109"/>
      <c r="N116" s="137"/>
    </row>
    <row r="117" spans="1:16" x14ac:dyDescent="0.2">
      <c r="A117" s="208"/>
      <c r="B117" s="189">
        <f>SUM(C117:N117)</f>
        <v>1.17</v>
      </c>
      <c r="C117" s="188"/>
      <c r="D117" s="188"/>
      <c r="E117" s="177"/>
      <c r="F117" s="188"/>
      <c r="G117" s="188"/>
      <c r="H117" s="188"/>
      <c r="I117" s="188"/>
      <c r="J117" s="188"/>
      <c r="K117" s="188"/>
      <c r="L117" s="188"/>
      <c r="M117" s="188">
        <v>4.4999999999999998E-2</v>
      </c>
      <c r="N117" s="188">
        <v>1.125</v>
      </c>
      <c r="O117" s="186"/>
      <c r="P117" s="176"/>
    </row>
    <row r="118" spans="1:16" x14ac:dyDescent="0.2">
      <c r="A118" s="209"/>
      <c r="B118" s="157">
        <f>(SUM(C118:N118))/2</f>
        <v>183.33499999999998</v>
      </c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>
        <v>200</v>
      </c>
      <c r="N118" s="157">
        <v>166.67</v>
      </c>
    </row>
    <row r="119" spans="1:16" x14ac:dyDescent="0.2">
      <c r="A119" s="101"/>
      <c r="B119" s="118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2"/>
    </row>
    <row r="120" spans="1:16" x14ac:dyDescent="0.2">
      <c r="A120" s="101"/>
      <c r="B120" s="118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2"/>
    </row>
    <row r="121" spans="1:16" x14ac:dyDescent="0.2">
      <c r="A121" s="101"/>
      <c r="B121" s="118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2"/>
    </row>
    <row r="122" spans="1:16" x14ac:dyDescent="0.2">
      <c r="A122" s="101"/>
      <c r="B122" s="118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2"/>
    </row>
    <row r="123" spans="1:16" x14ac:dyDescent="0.2">
      <c r="A123" s="101"/>
      <c r="B123" s="118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2"/>
    </row>
    <row r="124" spans="1:16" x14ac:dyDescent="0.2">
      <c r="A124" s="101"/>
      <c r="B124" s="118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2"/>
    </row>
    <row r="125" spans="1:16" x14ac:dyDescent="0.2">
      <c r="A125" s="101"/>
      <c r="B125" s="118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2"/>
    </row>
    <row r="126" spans="1:16" x14ac:dyDescent="0.2">
      <c r="A126" s="102" t="s">
        <v>169</v>
      </c>
      <c r="B126" s="118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2"/>
    </row>
    <row r="127" spans="1:16" ht="13.5" thickBot="1" x14ac:dyDescent="0.25">
      <c r="A127" s="103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</row>
    <row r="128" spans="1:16" ht="13.5" thickTop="1" x14ac:dyDescent="0.2">
      <c r="A128" s="223" t="s">
        <v>45</v>
      </c>
      <c r="B128" s="184" t="s">
        <v>106</v>
      </c>
      <c r="C128" s="213" t="s">
        <v>46</v>
      </c>
      <c r="D128" s="213" t="s">
        <v>47</v>
      </c>
      <c r="E128" s="213" t="s">
        <v>108</v>
      </c>
      <c r="F128" s="213" t="s">
        <v>109</v>
      </c>
      <c r="G128" s="213" t="s">
        <v>58</v>
      </c>
      <c r="H128" s="213" t="s">
        <v>59</v>
      </c>
      <c r="I128" s="213" t="s">
        <v>60</v>
      </c>
      <c r="J128" s="213" t="s">
        <v>105</v>
      </c>
      <c r="K128" s="213" t="s">
        <v>62</v>
      </c>
      <c r="L128" s="213" t="s">
        <v>48</v>
      </c>
      <c r="M128" s="213" t="s">
        <v>49</v>
      </c>
      <c r="N128" s="213" t="s">
        <v>50</v>
      </c>
    </row>
    <row r="129" spans="1:16" ht="16.5" thickBot="1" x14ac:dyDescent="0.3">
      <c r="A129" s="224"/>
      <c r="B129" s="125" t="s">
        <v>107</v>
      </c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</row>
    <row r="130" spans="1:16" ht="13.5" thickTop="1" x14ac:dyDescent="0.2">
      <c r="A130" s="202" t="s">
        <v>120</v>
      </c>
      <c r="B130" s="146"/>
      <c r="C130" s="147"/>
      <c r="D130" s="147"/>
      <c r="E130" s="147"/>
      <c r="F130" s="147"/>
      <c r="G130" s="148"/>
      <c r="H130" s="147"/>
      <c r="I130" s="147"/>
      <c r="J130" s="149"/>
      <c r="K130" s="149"/>
      <c r="L130" s="149"/>
      <c r="M130" s="149"/>
      <c r="N130" s="150"/>
    </row>
    <row r="131" spans="1:16" s="171" customFormat="1" x14ac:dyDescent="0.2">
      <c r="A131" s="203"/>
      <c r="B131" s="189">
        <f>SUM(C131:N131)</f>
        <v>13.995000000000001</v>
      </c>
      <c r="C131" s="188"/>
      <c r="D131" s="188">
        <v>0.9</v>
      </c>
      <c r="E131" s="177">
        <v>0.58499999999999996</v>
      </c>
      <c r="F131" s="188">
        <v>2.0249999999999999</v>
      </c>
      <c r="G131" s="188">
        <v>0.40500000000000003</v>
      </c>
      <c r="H131" s="188">
        <v>1.08</v>
      </c>
      <c r="I131" s="188">
        <v>2.4300000000000002</v>
      </c>
      <c r="J131" s="188">
        <v>1.35</v>
      </c>
      <c r="K131" s="188">
        <v>1.17</v>
      </c>
      <c r="L131" s="188">
        <v>1.71</v>
      </c>
      <c r="M131" s="188">
        <v>1.665</v>
      </c>
      <c r="N131" s="188">
        <v>0.67500000000000004</v>
      </c>
      <c r="P131" s="176"/>
    </row>
    <row r="132" spans="1:16" x14ac:dyDescent="0.2">
      <c r="A132" s="204"/>
      <c r="B132" s="157">
        <f>(SUM(C132:N132))/11</f>
        <v>297.79818181818177</v>
      </c>
      <c r="C132" s="157"/>
      <c r="D132" s="157">
        <v>325</v>
      </c>
      <c r="E132" s="157">
        <v>250</v>
      </c>
      <c r="F132" s="157">
        <v>338.33</v>
      </c>
      <c r="G132" s="157">
        <v>316.67</v>
      </c>
      <c r="H132" s="157">
        <v>306.25</v>
      </c>
      <c r="I132" s="157">
        <v>283.89</v>
      </c>
      <c r="J132" s="157">
        <v>310</v>
      </c>
      <c r="K132" s="157">
        <v>332.86</v>
      </c>
      <c r="L132" s="157">
        <v>287.77999999999997</v>
      </c>
      <c r="M132" s="157">
        <v>300</v>
      </c>
      <c r="N132" s="157">
        <v>225</v>
      </c>
    </row>
    <row r="133" spans="1:16" x14ac:dyDescent="0.2">
      <c r="A133" s="99"/>
      <c r="B133" s="109"/>
      <c r="C133" s="111"/>
      <c r="D133" s="111"/>
      <c r="E133" s="111"/>
      <c r="F133" s="111"/>
      <c r="G133" s="111"/>
      <c r="H133" s="111"/>
      <c r="I133" s="111"/>
      <c r="J133" s="109"/>
      <c r="K133" s="109"/>
      <c r="L133" s="109"/>
      <c r="M133" s="109"/>
      <c r="N133" s="109"/>
    </row>
    <row r="134" spans="1:16" s="171" customFormat="1" x14ac:dyDescent="0.2">
      <c r="A134" s="97" t="s">
        <v>149</v>
      </c>
      <c r="B134" s="189">
        <f>SUM(C134:N134)</f>
        <v>154.97999999999999</v>
      </c>
      <c r="C134" s="188">
        <v>11.385</v>
      </c>
      <c r="D134" s="188">
        <v>3.15</v>
      </c>
      <c r="E134" s="177">
        <v>5.22</v>
      </c>
      <c r="F134" s="188">
        <v>12.78</v>
      </c>
      <c r="G134" s="188">
        <v>19.574999999999999</v>
      </c>
      <c r="H134" s="188">
        <v>48.914999999999999</v>
      </c>
      <c r="I134" s="188">
        <v>14.265000000000001</v>
      </c>
      <c r="J134" s="188">
        <v>0.99</v>
      </c>
      <c r="K134" s="188">
        <v>11.7</v>
      </c>
      <c r="L134" s="188">
        <v>6.6150000000000002</v>
      </c>
      <c r="M134" s="188">
        <v>12.285</v>
      </c>
      <c r="N134" s="188">
        <v>8.1</v>
      </c>
      <c r="P134" s="176"/>
    </row>
    <row r="135" spans="1:16" x14ac:dyDescent="0.2">
      <c r="A135" s="98"/>
      <c r="B135" s="157">
        <f>(SUM(C135:N135))/12</f>
        <v>67.914166666666659</v>
      </c>
      <c r="C135" s="157">
        <v>80</v>
      </c>
      <c r="D135" s="157">
        <v>95</v>
      </c>
      <c r="E135" s="157">
        <v>65</v>
      </c>
      <c r="F135" s="157">
        <v>72.14</v>
      </c>
      <c r="G135" s="157">
        <v>63</v>
      </c>
      <c r="H135" s="157">
        <v>44.66</v>
      </c>
      <c r="I135" s="157">
        <v>54</v>
      </c>
      <c r="J135" s="157">
        <v>60</v>
      </c>
      <c r="K135" s="157">
        <v>64.17</v>
      </c>
      <c r="L135" s="157">
        <v>72</v>
      </c>
      <c r="M135" s="157">
        <v>75</v>
      </c>
      <c r="N135" s="157">
        <v>70</v>
      </c>
    </row>
    <row r="136" spans="1:16" x14ac:dyDescent="0.2">
      <c r="A136" s="99"/>
      <c r="B136" s="87"/>
      <c r="C136" s="87"/>
      <c r="D136" s="87"/>
      <c r="E136" s="87"/>
      <c r="F136" s="87"/>
      <c r="G136" s="87"/>
      <c r="H136" s="87"/>
      <c r="I136" s="87"/>
      <c r="J136" s="137"/>
      <c r="K136" s="137"/>
      <c r="L136" s="137"/>
      <c r="M136" s="137"/>
      <c r="N136" s="137"/>
    </row>
    <row r="137" spans="1:16" s="171" customFormat="1" x14ac:dyDescent="0.2">
      <c r="A137" s="97" t="s">
        <v>150</v>
      </c>
      <c r="B137" s="189">
        <f>SUM(C137:N137)</f>
        <v>4.4999999999999998E-2</v>
      </c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>
        <v>4.4999999999999998E-2</v>
      </c>
      <c r="N137" s="188"/>
      <c r="P137" s="176"/>
    </row>
    <row r="138" spans="1:16" x14ac:dyDescent="0.2">
      <c r="A138" s="98"/>
      <c r="B138" s="157">
        <f>(SUM(C138:N138))</f>
        <v>80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>
        <v>80</v>
      </c>
      <c r="N138" s="157"/>
    </row>
    <row r="139" spans="1:16" x14ac:dyDescent="0.2">
      <c r="A139" s="199"/>
      <c r="B139" s="157"/>
      <c r="C139" s="157"/>
      <c r="D139" s="157"/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</row>
    <row r="140" spans="1:16" x14ac:dyDescent="0.2">
      <c r="A140" s="97" t="s">
        <v>167</v>
      </c>
      <c r="B140" s="189">
        <f>SUM(C140:N140)</f>
        <v>4.7249999999999996</v>
      </c>
      <c r="C140" s="188"/>
      <c r="D140" s="188"/>
      <c r="E140" s="177">
        <v>4.7249999999999996</v>
      </c>
      <c r="F140" s="188"/>
      <c r="G140" s="188"/>
      <c r="H140" s="188"/>
      <c r="I140" s="188"/>
      <c r="J140" s="188"/>
      <c r="K140" s="188"/>
      <c r="L140" s="188"/>
      <c r="M140" s="188"/>
      <c r="N140" s="188"/>
      <c r="P140" s="176"/>
    </row>
    <row r="141" spans="1:16" x14ac:dyDescent="0.2">
      <c r="A141" s="199"/>
      <c r="B141" s="157">
        <f>(SUM(C141:N141))</f>
        <v>173.33</v>
      </c>
      <c r="C141" s="157"/>
      <c r="D141" s="157"/>
      <c r="E141" s="157">
        <v>173.33</v>
      </c>
      <c r="F141" s="157"/>
      <c r="G141" s="157"/>
      <c r="H141" s="157"/>
      <c r="I141" s="157"/>
      <c r="J141" s="157"/>
      <c r="K141" s="157"/>
      <c r="L141" s="157"/>
      <c r="M141" s="157"/>
      <c r="N141" s="157"/>
    </row>
    <row r="142" spans="1:16" x14ac:dyDescent="0.2">
      <c r="A142" s="207" t="s">
        <v>159</v>
      </c>
      <c r="B142" s="141"/>
      <c r="C142" s="113"/>
      <c r="D142" s="114"/>
      <c r="E142" s="91"/>
      <c r="F142" s="114"/>
      <c r="G142" s="113"/>
      <c r="H142" s="114"/>
      <c r="I142" s="113"/>
      <c r="J142" s="114"/>
      <c r="K142" s="113"/>
      <c r="L142" s="114"/>
      <c r="M142" s="113"/>
      <c r="N142" s="114"/>
    </row>
    <row r="143" spans="1:16" s="171" customFormat="1" x14ac:dyDescent="0.2">
      <c r="A143" s="208"/>
      <c r="B143" s="189">
        <f>SUM(C143:N143)</f>
        <v>361.48500000000007</v>
      </c>
      <c r="C143" s="188">
        <v>38.520000000000003</v>
      </c>
      <c r="D143" s="188">
        <v>34.064999999999998</v>
      </c>
      <c r="E143" s="179">
        <v>33.795000000000002</v>
      </c>
      <c r="F143" s="188">
        <v>33.795000000000002</v>
      </c>
      <c r="G143" s="188">
        <v>35.234999999999999</v>
      </c>
      <c r="H143" s="188">
        <v>15.3</v>
      </c>
      <c r="I143" s="188">
        <v>31.364999999999998</v>
      </c>
      <c r="J143" s="188">
        <v>19.754999999999999</v>
      </c>
      <c r="K143" s="188">
        <v>27.36</v>
      </c>
      <c r="L143" s="188">
        <v>32.715000000000003</v>
      </c>
      <c r="M143" s="188">
        <v>27.585000000000001</v>
      </c>
      <c r="N143" s="188">
        <v>31.995000000000001</v>
      </c>
      <c r="P143" s="176"/>
    </row>
    <row r="144" spans="1:16" x14ac:dyDescent="0.2">
      <c r="A144" s="209"/>
      <c r="B144" s="157">
        <f>(SUM(C144:N144))/12</f>
        <v>237.08333333333329</v>
      </c>
      <c r="C144" s="157">
        <v>234.41</v>
      </c>
      <c r="D144" s="157">
        <v>206.14</v>
      </c>
      <c r="E144" s="157">
        <v>215.41</v>
      </c>
      <c r="F144" s="157">
        <v>220.31</v>
      </c>
      <c r="G144" s="157">
        <v>206.67</v>
      </c>
      <c r="H144" s="157">
        <v>204.71</v>
      </c>
      <c r="I144" s="157">
        <v>256.52</v>
      </c>
      <c r="J144" s="157">
        <v>237.64</v>
      </c>
      <c r="K144" s="157">
        <v>275.70999999999998</v>
      </c>
      <c r="L144" s="157">
        <v>260.18</v>
      </c>
      <c r="M144" s="157">
        <v>248.93</v>
      </c>
      <c r="N144" s="157">
        <v>278.37</v>
      </c>
    </row>
    <row r="145" spans="1:16" x14ac:dyDescent="0.2">
      <c r="A145" s="99"/>
      <c r="B145" s="151"/>
      <c r="C145" s="152"/>
      <c r="D145" s="152"/>
      <c r="E145" s="152"/>
      <c r="F145" s="152"/>
      <c r="G145" s="152"/>
      <c r="H145" s="152"/>
      <c r="I145" s="152"/>
      <c r="J145" s="151"/>
      <c r="K145" s="151"/>
      <c r="L145" s="151"/>
      <c r="M145" s="151"/>
      <c r="N145" s="151"/>
    </row>
    <row r="146" spans="1:16" s="171" customFormat="1" x14ac:dyDescent="0.2">
      <c r="A146" s="97" t="s">
        <v>151</v>
      </c>
      <c r="B146" s="189">
        <f>SUM(C146:N146)</f>
        <v>192.64500000000001</v>
      </c>
      <c r="C146" s="188">
        <v>14.49</v>
      </c>
      <c r="D146" s="188">
        <v>20.024999999999999</v>
      </c>
      <c r="E146" s="177">
        <v>41.49</v>
      </c>
      <c r="F146" s="188">
        <v>18.135000000000002</v>
      </c>
      <c r="G146" s="188">
        <v>5.4450000000000003</v>
      </c>
      <c r="H146" s="188">
        <v>20.745000000000001</v>
      </c>
      <c r="I146" s="188">
        <v>5.4450000000000003</v>
      </c>
      <c r="J146" s="188">
        <v>10.89</v>
      </c>
      <c r="K146" s="188">
        <v>13.32</v>
      </c>
      <c r="L146" s="188">
        <v>9.4949999999999992</v>
      </c>
      <c r="M146" s="188">
        <v>26.82</v>
      </c>
      <c r="N146" s="188">
        <v>6.3449999999999998</v>
      </c>
      <c r="P146" s="176"/>
    </row>
    <row r="147" spans="1:16" x14ac:dyDescent="0.2">
      <c r="A147" s="98"/>
      <c r="B147" s="157">
        <f>(SUM(C147:N147))/12</f>
        <v>154.38</v>
      </c>
      <c r="C147" s="157">
        <v>161.25</v>
      </c>
      <c r="D147" s="157">
        <v>160</v>
      </c>
      <c r="E147" s="157">
        <v>161.76</v>
      </c>
      <c r="F147" s="157">
        <v>169.76</v>
      </c>
      <c r="G147" s="157">
        <v>135.38</v>
      </c>
      <c r="H147" s="157">
        <v>137.5</v>
      </c>
      <c r="I147" s="157">
        <v>132.22</v>
      </c>
      <c r="J147" s="157">
        <v>139.47</v>
      </c>
      <c r="K147" s="157">
        <v>160.44999999999999</v>
      </c>
      <c r="L147" s="157">
        <v>170.48</v>
      </c>
      <c r="M147" s="157">
        <v>130</v>
      </c>
      <c r="N147" s="157">
        <v>194.29</v>
      </c>
    </row>
    <row r="148" spans="1:16" x14ac:dyDescent="0.2">
      <c r="A148" s="207" t="s">
        <v>157</v>
      </c>
      <c r="B148" s="133"/>
      <c r="C148" s="111"/>
      <c r="D148" s="142"/>
      <c r="E148" s="142"/>
      <c r="F148" s="142"/>
      <c r="G148" s="142"/>
      <c r="H148" s="142"/>
      <c r="I148" s="142"/>
      <c r="J148" s="142"/>
      <c r="K148" s="88"/>
      <c r="L148" s="142"/>
      <c r="M148" s="153"/>
      <c r="N148" s="142"/>
    </row>
    <row r="149" spans="1:16" s="171" customFormat="1" x14ac:dyDescent="0.2">
      <c r="A149" s="208"/>
      <c r="B149" s="189">
        <f>SUM(C149:N149)</f>
        <v>4.8600000000000003</v>
      </c>
      <c r="C149" s="188"/>
      <c r="D149" s="188"/>
      <c r="E149" s="177">
        <v>4.8600000000000003</v>
      </c>
      <c r="F149" s="194"/>
      <c r="G149" s="188"/>
      <c r="H149" s="188"/>
      <c r="I149" s="188"/>
      <c r="J149" s="194"/>
      <c r="K149" s="194"/>
      <c r="L149" s="188"/>
      <c r="M149" s="188"/>
      <c r="N149" s="188"/>
      <c r="P149" s="176"/>
    </row>
    <row r="150" spans="1:16" x14ac:dyDescent="0.2">
      <c r="A150" s="209"/>
      <c r="B150" s="157">
        <f>(SUM(C150:N150))</f>
        <v>60</v>
      </c>
      <c r="C150" s="157"/>
      <c r="D150" s="157"/>
      <c r="E150" s="157">
        <v>60</v>
      </c>
      <c r="F150" s="157"/>
      <c r="G150" s="157"/>
      <c r="H150" s="157"/>
      <c r="I150" s="157"/>
      <c r="J150" s="157"/>
      <c r="K150" s="157"/>
      <c r="L150" s="157"/>
      <c r="M150" s="157"/>
      <c r="N150" s="157"/>
    </row>
    <row r="151" spans="1:16" ht="12.75" customHeight="1" x14ac:dyDescent="0.2">
      <c r="A151" s="97" t="s">
        <v>122</v>
      </c>
      <c r="B151" s="87"/>
      <c r="C151" s="155"/>
      <c r="D151" s="133"/>
      <c r="E151" s="133"/>
      <c r="F151" s="133"/>
      <c r="G151" s="133"/>
      <c r="H151" s="133"/>
      <c r="I151" s="133"/>
      <c r="J151" s="126"/>
      <c r="K151" s="126"/>
      <c r="L151" s="126"/>
      <c r="M151" s="126"/>
      <c r="N151" s="126"/>
    </row>
    <row r="152" spans="1:16" s="171" customFormat="1" x14ac:dyDescent="0.2">
      <c r="A152" s="172" t="s">
        <v>123</v>
      </c>
      <c r="B152" s="189">
        <f>SUM(C152:N152)</f>
        <v>3.33</v>
      </c>
      <c r="C152" s="175"/>
      <c r="D152" s="188"/>
      <c r="E152" s="177">
        <v>0.40500000000000003</v>
      </c>
      <c r="F152" s="188">
        <v>0.27</v>
      </c>
      <c r="G152" s="188"/>
      <c r="H152" s="188"/>
      <c r="I152" s="188">
        <v>0.45</v>
      </c>
      <c r="J152" s="188"/>
      <c r="K152" s="188">
        <v>0.13500000000000001</v>
      </c>
      <c r="L152" s="188">
        <v>0.45</v>
      </c>
      <c r="M152" s="188">
        <v>1.62</v>
      </c>
      <c r="N152" s="188"/>
      <c r="P152" s="176"/>
    </row>
    <row r="153" spans="1:16" x14ac:dyDescent="0.2">
      <c r="A153" s="105"/>
      <c r="B153" s="157">
        <f>(SUM(C153:N153))/6</f>
        <v>107.77833333333332</v>
      </c>
      <c r="C153" s="157"/>
      <c r="D153" s="157"/>
      <c r="E153" s="157">
        <v>100</v>
      </c>
      <c r="F153" s="157">
        <v>100</v>
      </c>
      <c r="G153" s="157"/>
      <c r="H153" s="157"/>
      <c r="I153" s="157">
        <v>110</v>
      </c>
      <c r="J153" s="157"/>
      <c r="K153" s="157">
        <v>100</v>
      </c>
      <c r="L153" s="157">
        <v>130</v>
      </c>
      <c r="M153" s="157">
        <v>106.67</v>
      </c>
      <c r="N153" s="157"/>
    </row>
    <row r="154" spans="1:16" x14ac:dyDescent="0.2">
      <c r="A154" s="207" t="s">
        <v>164</v>
      </c>
      <c r="B154" s="109"/>
      <c r="C154" s="111"/>
      <c r="D154" s="111"/>
      <c r="E154" s="111"/>
      <c r="F154" s="111"/>
      <c r="G154" s="111"/>
      <c r="H154" s="111"/>
      <c r="I154" s="111"/>
      <c r="J154" s="109"/>
      <c r="K154" s="109"/>
      <c r="L154" s="109"/>
      <c r="M154" s="109"/>
      <c r="N154" s="109"/>
    </row>
    <row r="155" spans="1:16" x14ac:dyDescent="0.2">
      <c r="A155" s="208"/>
      <c r="B155" s="189">
        <f>SUM(C155:N155)</f>
        <v>594.99</v>
      </c>
      <c r="C155" s="188">
        <v>49.32</v>
      </c>
      <c r="D155" s="188">
        <v>56.16</v>
      </c>
      <c r="E155" s="177">
        <v>41.805</v>
      </c>
      <c r="F155" s="188">
        <v>23.984999999999999</v>
      </c>
      <c r="G155" s="188">
        <v>28.395</v>
      </c>
      <c r="H155" s="188">
        <v>29.565000000000001</v>
      </c>
      <c r="I155" s="188">
        <v>60.93</v>
      </c>
      <c r="J155" s="188">
        <v>79.245000000000005</v>
      </c>
      <c r="K155" s="188">
        <v>54.945</v>
      </c>
      <c r="L155" s="188">
        <v>60.66</v>
      </c>
      <c r="M155" s="188">
        <v>45.854999999999997</v>
      </c>
      <c r="N155" s="188">
        <v>64.125</v>
      </c>
      <c r="O155" s="171"/>
      <c r="P155" s="176"/>
    </row>
    <row r="156" spans="1:16" x14ac:dyDescent="0.2">
      <c r="A156" s="209"/>
      <c r="B156" s="157">
        <f>(SUM(C156:N156))/12</f>
        <v>75.775833333333338</v>
      </c>
      <c r="C156" s="157">
        <v>85.26</v>
      </c>
      <c r="D156" s="195">
        <v>74.81</v>
      </c>
      <c r="E156" s="157">
        <v>77.040000000000006</v>
      </c>
      <c r="F156" s="157">
        <v>67.88</v>
      </c>
      <c r="G156" s="157">
        <v>69.900000000000006</v>
      </c>
      <c r="H156" s="157">
        <v>76.2</v>
      </c>
      <c r="I156" s="157">
        <v>74.010000000000005</v>
      </c>
      <c r="J156" s="157">
        <v>72.22</v>
      </c>
      <c r="K156" s="157">
        <v>71.319999999999993</v>
      </c>
      <c r="L156" s="157">
        <v>78.25</v>
      </c>
      <c r="M156" s="157">
        <v>76.540000000000006</v>
      </c>
      <c r="N156" s="157">
        <v>85.88</v>
      </c>
    </row>
    <row r="157" spans="1:16" x14ac:dyDescent="0.2">
      <c r="A157" s="202" t="s">
        <v>121</v>
      </c>
      <c r="B157" s="109"/>
      <c r="C157" s="111"/>
      <c r="D157" s="111"/>
      <c r="E157" s="111"/>
      <c r="F157" s="111"/>
      <c r="G157" s="111"/>
      <c r="H157" s="111"/>
      <c r="I157" s="111"/>
      <c r="J157" s="109"/>
      <c r="K157" s="109"/>
      <c r="L157" s="109"/>
      <c r="M157" s="109"/>
      <c r="N157" s="109"/>
    </row>
    <row r="158" spans="1:16" x14ac:dyDescent="0.2">
      <c r="A158" s="203"/>
      <c r="B158" s="189">
        <f>SUM(C158:N158)</f>
        <v>274.45499999999998</v>
      </c>
      <c r="C158" s="188">
        <f>20.475+1.8</f>
        <v>22.275000000000002</v>
      </c>
      <c r="D158" s="188">
        <v>21.734999999999999</v>
      </c>
      <c r="E158" s="177">
        <f>15.3+1.35</f>
        <v>16.650000000000002</v>
      </c>
      <c r="F158" s="188">
        <v>7.74</v>
      </c>
      <c r="G158" s="188">
        <f>12.24</f>
        <v>12.24</v>
      </c>
      <c r="H158" s="188">
        <v>19.350000000000001</v>
      </c>
      <c r="I158" s="188">
        <v>29.385000000000002</v>
      </c>
      <c r="J158" s="188">
        <v>25.065000000000001</v>
      </c>
      <c r="K158" s="188">
        <f>31.23+1.35</f>
        <v>32.58</v>
      </c>
      <c r="L158" s="188">
        <v>35.685000000000002</v>
      </c>
      <c r="M158" s="188">
        <v>23.895</v>
      </c>
      <c r="N158" s="188">
        <v>27.855</v>
      </c>
      <c r="O158" s="171"/>
      <c r="P158" s="176"/>
    </row>
    <row r="159" spans="1:16" x14ac:dyDescent="0.2">
      <c r="A159" s="204"/>
      <c r="B159" s="157">
        <f>(SUM(C159:N159))/12</f>
        <v>82.158333333333331</v>
      </c>
      <c r="C159" s="157">
        <f>(98.75+75)/2</f>
        <v>86.875</v>
      </c>
      <c r="D159" s="157">
        <v>75.19</v>
      </c>
      <c r="E159" s="157">
        <f>(93.86+70)/2</f>
        <v>81.93</v>
      </c>
      <c r="F159" s="157">
        <v>83.85</v>
      </c>
      <c r="G159" s="157">
        <f>76.94</f>
        <v>76.94</v>
      </c>
      <c r="H159" s="157">
        <v>84.35</v>
      </c>
      <c r="I159" s="157">
        <v>69.78</v>
      </c>
      <c r="J159" s="157">
        <v>76.290000000000006</v>
      </c>
      <c r="K159" s="157">
        <f>(82.67+70)/2</f>
        <v>76.335000000000008</v>
      </c>
      <c r="L159" s="157">
        <v>85.65</v>
      </c>
      <c r="M159" s="157">
        <v>92.71</v>
      </c>
      <c r="N159" s="157">
        <v>96</v>
      </c>
    </row>
    <row r="160" spans="1:16" x14ac:dyDescent="0.2">
      <c r="A160" s="101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6" x14ac:dyDescent="0.2">
      <c r="A161" s="101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6" x14ac:dyDescent="0.2">
      <c r="A162" s="101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6" x14ac:dyDescent="0.2">
      <c r="A163" s="101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6" x14ac:dyDescent="0.2">
      <c r="A164" s="101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6" x14ac:dyDescent="0.2">
      <c r="A165" s="101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6" x14ac:dyDescent="0.2">
      <c r="A166" s="101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6" x14ac:dyDescent="0.2">
      <c r="A167" s="102" t="s">
        <v>169</v>
      </c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6" ht="13.5" thickBot="1" x14ac:dyDescent="0.25">
      <c r="A168" s="103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</row>
    <row r="169" spans="1:16" ht="13.5" thickTop="1" x14ac:dyDescent="0.2">
      <c r="A169" s="223" t="s">
        <v>45</v>
      </c>
      <c r="B169" s="184" t="s">
        <v>106</v>
      </c>
      <c r="C169" s="213" t="s">
        <v>46</v>
      </c>
      <c r="D169" s="213" t="s">
        <v>47</v>
      </c>
      <c r="E169" s="213" t="s">
        <v>108</v>
      </c>
      <c r="F169" s="213" t="s">
        <v>109</v>
      </c>
      <c r="G169" s="213" t="s">
        <v>58</v>
      </c>
      <c r="H169" s="213" t="s">
        <v>59</v>
      </c>
      <c r="I169" s="213" t="s">
        <v>60</v>
      </c>
      <c r="J169" s="213" t="s">
        <v>105</v>
      </c>
      <c r="K169" s="213" t="s">
        <v>62</v>
      </c>
      <c r="L169" s="213" t="s">
        <v>48</v>
      </c>
      <c r="M169" s="213" t="s">
        <v>49</v>
      </c>
      <c r="N169" s="213" t="s">
        <v>50</v>
      </c>
    </row>
    <row r="170" spans="1:16" ht="16.5" thickBot="1" x14ac:dyDescent="0.3">
      <c r="A170" s="224"/>
      <c r="B170" s="125" t="s">
        <v>107</v>
      </c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</row>
    <row r="171" spans="1:16" ht="13.5" thickTop="1" x14ac:dyDescent="0.2">
      <c r="A171" s="96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</row>
    <row r="172" spans="1:16" s="171" customFormat="1" x14ac:dyDescent="0.2">
      <c r="A172" s="97" t="s">
        <v>125</v>
      </c>
      <c r="B172" s="189">
        <f>SUM(C172:N172)</f>
        <v>0.18</v>
      </c>
      <c r="C172" s="183"/>
      <c r="D172" s="183"/>
      <c r="E172" s="183"/>
      <c r="F172" s="188"/>
      <c r="G172" s="183"/>
      <c r="H172" s="183"/>
      <c r="I172" s="183"/>
      <c r="J172" s="198"/>
      <c r="K172" s="183"/>
      <c r="L172" s="183"/>
      <c r="M172" s="188"/>
      <c r="N172" s="188">
        <v>0.18</v>
      </c>
      <c r="P172" s="176"/>
    </row>
    <row r="173" spans="1:16" x14ac:dyDescent="0.2">
      <c r="A173" s="98"/>
      <c r="B173" s="157">
        <f>(SUM(C173:N173))</f>
        <v>200</v>
      </c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>
        <v>200</v>
      </c>
    </row>
    <row r="174" spans="1:16" x14ac:dyDescent="0.2">
      <c r="A174" s="99"/>
      <c r="B174" s="109"/>
      <c r="C174" s="111"/>
      <c r="D174" s="111"/>
      <c r="E174" s="111"/>
      <c r="F174" s="111"/>
      <c r="G174" s="111"/>
      <c r="H174" s="111"/>
      <c r="I174" s="111"/>
      <c r="J174" s="109"/>
      <c r="K174" s="109"/>
      <c r="L174" s="109"/>
      <c r="M174" s="109"/>
      <c r="N174" s="109"/>
    </row>
    <row r="175" spans="1:16" s="171" customFormat="1" x14ac:dyDescent="0.2">
      <c r="A175" s="97" t="s">
        <v>126</v>
      </c>
      <c r="B175" s="189">
        <f>SUM(C175:N175)</f>
        <v>259.11</v>
      </c>
      <c r="C175" s="188">
        <v>55.215000000000003</v>
      </c>
      <c r="D175" s="188">
        <v>35.865000000000002</v>
      </c>
      <c r="E175" s="177">
        <v>16.11</v>
      </c>
      <c r="F175" s="188">
        <v>13.095000000000001</v>
      </c>
      <c r="G175" s="188">
        <v>13.095000000000001</v>
      </c>
      <c r="H175" s="188">
        <v>13.41</v>
      </c>
      <c r="I175" s="188">
        <v>20.07</v>
      </c>
      <c r="J175" s="188">
        <v>14.31</v>
      </c>
      <c r="K175" s="188">
        <v>22.545000000000002</v>
      </c>
      <c r="L175" s="188">
        <v>25.425000000000001</v>
      </c>
      <c r="M175" s="188">
        <v>17.82</v>
      </c>
      <c r="N175" s="188">
        <v>12.15</v>
      </c>
      <c r="P175" s="176"/>
    </row>
    <row r="176" spans="1:16" x14ac:dyDescent="0.2">
      <c r="A176" s="98"/>
      <c r="B176" s="157">
        <f>(SUM(C176:N176))/12</f>
        <v>114.00916666666667</v>
      </c>
      <c r="C176" s="157">
        <v>116.83</v>
      </c>
      <c r="D176" s="157">
        <v>95</v>
      </c>
      <c r="E176" s="157">
        <v>108.33</v>
      </c>
      <c r="F176" s="157">
        <v>105.79</v>
      </c>
      <c r="G176" s="157">
        <v>120.29</v>
      </c>
      <c r="H176" s="157">
        <v>119.29</v>
      </c>
      <c r="I176" s="157">
        <v>154.69</v>
      </c>
      <c r="J176" s="157">
        <v>104.38</v>
      </c>
      <c r="K176" s="157">
        <v>104.84</v>
      </c>
      <c r="L176" s="157">
        <v>95.43</v>
      </c>
      <c r="M176" s="157">
        <v>114.35</v>
      </c>
      <c r="N176" s="157">
        <v>128.88999999999999</v>
      </c>
    </row>
    <row r="177" spans="1:16" x14ac:dyDescent="0.2">
      <c r="A177" s="107"/>
      <c r="B177" s="133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</row>
    <row r="178" spans="1:16" s="171" customFormat="1" x14ac:dyDescent="0.2">
      <c r="A178" s="97" t="s">
        <v>127</v>
      </c>
      <c r="B178" s="189">
        <f>SUM(C178:N178)</f>
        <v>3.33</v>
      </c>
      <c r="C178" s="188">
        <v>0.81</v>
      </c>
      <c r="D178" s="188">
        <v>2.52</v>
      </c>
      <c r="E178" s="177"/>
      <c r="F178" s="188"/>
      <c r="G178" s="188"/>
      <c r="H178" s="188"/>
      <c r="I178" s="188"/>
      <c r="J178" s="188"/>
      <c r="K178" s="188"/>
      <c r="L178" s="188"/>
      <c r="M178" s="188"/>
      <c r="N178" s="188"/>
      <c r="P178" s="176"/>
    </row>
    <row r="179" spans="1:16" x14ac:dyDescent="0.2">
      <c r="A179" s="98"/>
      <c r="B179" s="157">
        <f>(SUM(C179:N179))/2</f>
        <v>90.625</v>
      </c>
      <c r="C179" s="157">
        <v>78.75</v>
      </c>
      <c r="D179" s="195">
        <v>102.5</v>
      </c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</row>
    <row r="180" spans="1:16" x14ac:dyDescent="0.2">
      <c r="A180" s="96"/>
      <c r="B180" s="133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</row>
    <row r="181" spans="1:16" s="171" customFormat="1" x14ac:dyDescent="0.2">
      <c r="A181" s="97" t="s">
        <v>128</v>
      </c>
      <c r="B181" s="189">
        <f>SUM(C181:N181)</f>
        <v>17.774999999999999</v>
      </c>
      <c r="C181" s="188">
        <v>0.54</v>
      </c>
      <c r="D181" s="188">
        <v>0.45</v>
      </c>
      <c r="E181" s="177"/>
      <c r="F181" s="188"/>
      <c r="G181" s="188">
        <v>0.45</v>
      </c>
      <c r="H181" s="188">
        <v>1.35</v>
      </c>
      <c r="I181" s="188">
        <v>1.62</v>
      </c>
      <c r="J181" s="188">
        <v>2.0699999999999998</v>
      </c>
      <c r="K181" s="188">
        <v>2.16</v>
      </c>
      <c r="L181" s="188">
        <v>2.25</v>
      </c>
      <c r="M181" s="188">
        <v>4.5449999999999999</v>
      </c>
      <c r="N181" s="188">
        <v>2.34</v>
      </c>
      <c r="P181" s="176"/>
    </row>
    <row r="182" spans="1:16" x14ac:dyDescent="0.2">
      <c r="A182" s="98"/>
      <c r="B182" s="157">
        <f>(SUM(C182:N182))/10</f>
        <v>512.00400000000002</v>
      </c>
      <c r="C182" s="157">
        <v>800</v>
      </c>
      <c r="D182" s="157">
        <v>400</v>
      </c>
      <c r="E182" s="157"/>
      <c r="F182" s="157"/>
      <c r="G182" s="157">
        <v>550</v>
      </c>
      <c r="H182" s="157">
        <v>535</v>
      </c>
      <c r="I182" s="157">
        <v>412</v>
      </c>
      <c r="J182" s="157">
        <v>443.75</v>
      </c>
      <c r="K182" s="157">
        <v>475</v>
      </c>
      <c r="L182" s="157">
        <v>464.29</v>
      </c>
      <c r="M182" s="157">
        <v>473.33</v>
      </c>
      <c r="N182" s="157">
        <v>566.66999999999996</v>
      </c>
    </row>
    <row r="183" spans="1:16" x14ac:dyDescent="0.2">
      <c r="A183" s="207" t="s">
        <v>124</v>
      </c>
      <c r="B183" s="133"/>
      <c r="C183" s="129"/>
      <c r="D183" s="114"/>
      <c r="E183" s="115"/>
      <c r="F183" s="114"/>
      <c r="G183" s="113"/>
      <c r="H183" s="114"/>
      <c r="I183" s="113"/>
      <c r="J183" s="114"/>
      <c r="K183" s="113"/>
      <c r="L183" s="114"/>
      <c r="M183" s="156"/>
      <c r="N183" s="114"/>
    </row>
    <row r="184" spans="1:16" s="171" customFormat="1" x14ac:dyDescent="0.2">
      <c r="A184" s="208"/>
      <c r="B184" s="189">
        <f>SUM(C184:N184)</f>
        <v>181.66499999999996</v>
      </c>
      <c r="C184" s="188">
        <v>15.164999999999999</v>
      </c>
      <c r="D184" s="188">
        <v>12.6</v>
      </c>
      <c r="E184" s="179">
        <v>19.440000000000001</v>
      </c>
      <c r="F184" s="188">
        <v>11.565</v>
      </c>
      <c r="G184" s="188">
        <v>12.015000000000001</v>
      </c>
      <c r="H184" s="188">
        <v>22.725000000000001</v>
      </c>
      <c r="I184" s="188">
        <v>17.324999999999999</v>
      </c>
      <c r="J184" s="188">
        <v>12.69</v>
      </c>
      <c r="K184" s="188">
        <v>8.73</v>
      </c>
      <c r="L184" s="188">
        <v>17.324999999999999</v>
      </c>
      <c r="M184" s="188">
        <v>17.73</v>
      </c>
      <c r="N184" s="188">
        <v>14.355</v>
      </c>
      <c r="P184" s="176"/>
    </row>
    <row r="185" spans="1:16" x14ac:dyDescent="0.2">
      <c r="A185" s="209"/>
      <c r="B185" s="157">
        <f>(SUM(C185:N185))/12</f>
        <v>190.9375</v>
      </c>
      <c r="C185" s="157">
        <v>156.88</v>
      </c>
      <c r="D185" s="195">
        <v>150</v>
      </c>
      <c r="E185" s="157">
        <v>168.24</v>
      </c>
      <c r="F185" s="157">
        <v>199.29</v>
      </c>
      <c r="G185" s="157">
        <v>174.55</v>
      </c>
      <c r="H185" s="157">
        <v>207.5</v>
      </c>
      <c r="I185" s="157">
        <v>180.67</v>
      </c>
      <c r="J185" s="157">
        <v>193.85</v>
      </c>
      <c r="K185" s="157">
        <v>204.44</v>
      </c>
      <c r="L185" s="157">
        <v>219.2</v>
      </c>
      <c r="M185" s="157">
        <v>200.8</v>
      </c>
      <c r="N185" s="157">
        <v>235.83</v>
      </c>
    </row>
    <row r="186" spans="1:16" x14ac:dyDescent="0.2">
      <c r="A186" s="202" t="s">
        <v>129</v>
      </c>
      <c r="B186" s="151"/>
      <c r="C186" s="152"/>
      <c r="D186" s="152"/>
      <c r="E186" s="152"/>
      <c r="F186" s="152"/>
      <c r="G186" s="152"/>
      <c r="H186" s="152"/>
      <c r="I186" s="152"/>
      <c r="J186" s="151"/>
      <c r="K186" s="151"/>
      <c r="L186" s="151"/>
      <c r="M186" s="151"/>
      <c r="N186" s="151"/>
    </row>
    <row r="187" spans="1:16" s="171" customFormat="1" x14ac:dyDescent="0.2">
      <c r="A187" s="203"/>
      <c r="B187" s="189">
        <f>SUM(C187:N187)</f>
        <v>200.02500000000001</v>
      </c>
      <c r="C187" s="188">
        <v>1.125</v>
      </c>
      <c r="D187" s="188">
        <v>16.11</v>
      </c>
      <c r="E187" s="177">
        <v>2.2949999999999999</v>
      </c>
      <c r="F187" s="188">
        <f>(30.69+2.565)</f>
        <v>33.255000000000003</v>
      </c>
      <c r="G187" s="188">
        <v>19.89</v>
      </c>
      <c r="H187" s="188">
        <v>4.1399999999999997</v>
      </c>
      <c r="I187" s="188">
        <f>17.1+1.8</f>
        <v>18.900000000000002</v>
      </c>
      <c r="J187" s="188">
        <v>19.484999999999999</v>
      </c>
      <c r="K187" s="188">
        <v>28.98</v>
      </c>
      <c r="L187" s="188">
        <v>23.984999999999999</v>
      </c>
      <c r="M187" s="188">
        <v>19.574999999999999</v>
      </c>
      <c r="N187" s="188">
        <v>12.285</v>
      </c>
      <c r="P187" s="176"/>
    </row>
    <row r="188" spans="1:16" x14ac:dyDescent="0.2">
      <c r="A188" s="204"/>
      <c r="B188" s="157">
        <f>(SUM(C188:N188))/12</f>
        <v>161.39625000000004</v>
      </c>
      <c r="C188" s="157">
        <v>176.67</v>
      </c>
      <c r="D188" s="195">
        <v>157.27000000000001</v>
      </c>
      <c r="E188" s="157">
        <v>142.5</v>
      </c>
      <c r="F188" s="157">
        <f>(170+150)/2</f>
        <v>160</v>
      </c>
      <c r="G188" s="157">
        <v>165.83</v>
      </c>
      <c r="H188" s="157">
        <v>154</v>
      </c>
      <c r="I188" s="157">
        <f>((163.33+120)/2)</f>
        <v>141.66500000000002</v>
      </c>
      <c r="J188" s="157">
        <v>164.62</v>
      </c>
      <c r="K188" s="157">
        <v>156.94</v>
      </c>
      <c r="L188" s="157">
        <v>153.33000000000001</v>
      </c>
      <c r="M188" s="157">
        <v>168.67</v>
      </c>
      <c r="N188" s="157">
        <v>195.26</v>
      </c>
    </row>
    <row r="189" spans="1:16" ht="12.75" customHeight="1" x14ac:dyDescent="0.2">
      <c r="A189" s="207" t="s">
        <v>162</v>
      </c>
      <c r="B189" s="109"/>
      <c r="C189" s="133"/>
      <c r="D189" s="133"/>
      <c r="E189" s="133"/>
      <c r="F189" s="133"/>
      <c r="G189" s="133"/>
      <c r="H189" s="133"/>
      <c r="I189" s="133"/>
      <c r="J189" s="126"/>
      <c r="K189" s="126"/>
      <c r="L189" s="126"/>
      <c r="M189" s="126"/>
      <c r="N189" s="126"/>
    </row>
    <row r="190" spans="1:16" s="171" customFormat="1" x14ac:dyDescent="0.2">
      <c r="A190" s="208"/>
      <c r="B190" s="189">
        <f>SUM(C190:N190)</f>
        <v>2310.2549999999997</v>
      </c>
      <c r="C190" s="188">
        <v>289.21499999999997</v>
      </c>
      <c r="D190" s="188">
        <v>256.815</v>
      </c>
      <c r="E190" s="177">
        <v>322.47000000000003</v>
      </c>
      <c r="F190" s="188">
        <v>376.69499999999999</v>
      </c>
      <c r="G190" s="188">
        <v>262.03500000000003</v>
      </c>
      <c r="H190" s="188">
        <v>114.16500000000001</v>
      </c>
      <c r="I190" s="188">
        <v>182.61</v>
      </c>
      <c r="J190" s="188">
        <v>131.44499999999999</v>
      </c>
      <c r="K190" s="188">
        <v>108.09</v>
      </c>
      <c r="L190" s="188">
        <v>63.494999999999997</v>
      </c>
      <c r="M190" s="188">
        <v>129.24</v>
      </c>
      <c r="N190" s="188">
        <v>73.98</v>
      </c>
      <c r="P190" s="176"/>
    </row>
    <row r="191" spans="1:16" x14ac:dyDescent="0.2">
      <c r="A191" s="209"/>
      <c r="B191" s="157">
        <f>(SUM(C191:N191))/4</f>
        <v>158.38250000000002</v>
      </c>
      <c r="C191" s="157">
        <v>53.06</v>
      </c>
      <c r="D191" s="195">
        <v>50.4</v>
      </c>
      <c r="E191" s="157">
        <v>50.91</v>
      </c>
      <c r="F191" s="157">
        <v>49.9</v>
      </c>
      <c r="G191" s="157">
        <v>50.29</v>
      </c>
      <c r="H191" s="157">
        <v>49.3</v>
      </c>
      <c r="I191" s="157">
        <v>51.19</v>
      </c>
      <c r="J191" s="157">
        <v>50.85</v>
      </c>
      <c r="K191" s="157">
        <v>51.09</v>
      </c>
      <c r="L191" s="157">
        <v>54.56</v>
      </c>
      <c r="M191" s="157">
        <v>60.65</v>
      </c>
      <c r="N191" s="157">
        <v>61.33</v>
      </c>
    </row>
    <row r="192" spans="1:16" x14ac:dyDescent="0.2">
      <c r="A192" s="99"/>
      <c r="B192" s="109"/>
      <c r="C192" s="111"/>
      <c r="D192" s="111"/>
      <c r="E192" s="111"/>
      <c r="F192" s="111"/>
      <c r="G192" s="111"/>
      <c r="H192" s="111"/>
      <c r="I192" s="111"/>
      <c r="J192" s="109"/>
      <c r="K192" s="109"/>
      <c r="L192" s="109"/>
      <c r="M192" s="109"/>
      <c r="N192" s="109"/>
    </row>
    <row r="193" spans="1:16" s="171" customFormat="1" x14ac:dyDescent="0.2">
      <c r="A193" s="97" t="s">
        <v>152</v>
      </c>
      <c r="B193" s="189">
        <f>SUM(C193:N193)</f>
        <v>110.60999999999999</v>
      </c>
      <c r="C193" s="188"/>
      <c r="D193" s="188">
        <v>10.53</v>
      </c>
      <c r="E193" s="177">
        <v>9.7200000000000006</v>
      </c>
      <c r="F193" s="188">
        <v>11.205</v>
      </c>
      <c r="G193" s="188">
        <v>51.93</v>
      </c>
      <c r="H193" s="188">
        <v>18.225000000000001</v>
      </c>
      <c r="I193" s="188">
        <v>4.95</v>
      </c>
      <c r="J193" s="188">
        <v>0.45</v>
      </c>
      <c r="K193" s="188">
        <v>3.6</v>
      </c>
      <c r="L193" s="188"/>
      <c r="M193" s="188"/>
      <c r="N193" s="188"/>
      <c r="P193" s="176"/>
    </row>
    <row r="194" spans="1:16" x14ac:dyDescent="0.2">
      <c r="A194" s="98"/>
      <c r="B194" s="157">
        <f>(SUM(C194:N194))/8</f>
        <v>77.458750000000009</v>
      </c>
      <c r="C194" s="157"/>
      <c r="D194" s="157">
        <v>75</v>
      </c>
      <c r="E194" s="157">
        <v>74.290000000000006</v>
      </c>
      <c r="F194" s="157">
        <v>60.33</v>
      </c>
      <c r="G194" s="157">
        <v>91.84</v>
      </c>
      <c r="H194" s="157">
        <v>68.209999999999994</v>
      </c>
      <c r="I194" s="157">
        <v>80</v>
      </c>
      <c r="J194" s="157">
        <v>80</v>
      </c>
      <c r="K194" s="157">
        <v>90</v>
      </c>
      <c r="L194" s="157"/>
      <c r="M194" s="157"/>
      <c r="N194" s="157"/>
    </row>
    <row r="195" spans="1:16" x14ac:dyDescent="0.2">
      <c r="A195" s="202" t="s">
        <v>130</v>
      </c>
      <c r="B195" s="109"/>
      <c r="C195" s="111"/>
      <c r="D195" s="111"/>
      <c r="E195" s="111"/>
      <c r="F195" s="111"/>
      <c r="G195" s="111"/>
      <c r="H195" s="111"/>
      <c r="I195" s="111"/>
      <c r="J195" s="109"/>
      <c r="K195" s="109"/>
      <c r="L195" s="109"/>
      <c r="M195" s="109"/>
      <c r="N195" s="109"/>
    </row>
    <row r="196" spans="1:16" x14ac:dyDescent="0.2">
      <c r="A196" s="203"/>
      <c r="B196" s="189">
        <f>SUM(C196:N196)</f>
        <v>43.785000000000004</v>
      </c>
      <c r="C196" s="188"/>
      <c r="D196" s="188">
        <v>5.625</v>
      </c>
      <c r="E196" s="177">
        <v>5.58</v>
      </c>
      <c r="F196" s="188">
        <v>14.58</v>
      </c>
      <c r="G196" s="188">
        <v>1.125</v>
      </c>
      <c r="H196" s="188">
        <v>1.395</v>
      </c>
      <c r="I196" s="188">
        <v>3.375</v>
      </c>
      <c r="J196" s="188">
        <v>3.915</v>
      </c>
      <c r="K196" s="188">
        <v>1.2150000000000001</v>
      </c>
      <c r="L196" s="188">
        <v>3.24</v>
      </c>
      <c r="M196" s="188">
        <v>1.35</v>
      </c>
      <c r="N196" s="188">
        <v>2.3849999999999998</v>
      </c>
      <c r="O196" s="171"/>
      <c r="P196" s="176"/>
    </row>
    <row r="197" spans="1:16" x14ac:dyDescent="0.2">
      <c r="A197" s="204"/>
      <c r="B197" s="157">
        <f>(SUM(C197:N197))/11</f>
        <v>274.76727272727271</v>
      </c>
      <c r="C197" s="157"/>
      <c r="D197" s="157">
        <v>300</v>
      </c>
      <c r="E197" s="157">
        <v>262.86</v>
      </c>
      <c r="F197" s="157">
        <v>242.5</v>
      </c>
      <c r="G197" s="157">
        <v>300</v>
      </c>
      <c r="H197" s="157">
        <v>250</v>
      </c>
      <c r="I197" s="157">
        <v>286.67</v>
      </c>
      <c r="J197" s="157">
        <v>276.25</v>
      </c>
      <c r="K197" s="157">
        <v>272.5</v>
      </c>
      <c r="L197" s="157">
        <v>273.33</v>
      </c>
      <c r="M197" s="157">
        <v>300</v>
      </c>
      <c r="N197" s="157">
        <v>258.33</v>
      </c>
    </row>
    <row r="198" spans="1:16" x14ac:dyDescent="0.2">
      <c r="A198" s="202" t="s">
        <v>131</v>
      </c>
      <c r="B198" s="109"/>
      <c r="C198" s="111"/>
      <c r="D198" s="111"/>
      <c r="E198" s="111"/>
      <c r="F198" s="111"/>
      <c r="G198" s="111"/>
      <c r="H198" s="111"/>
      <c r="I198" s="111"/>
      <c r="J198" s="109"/>
      <c r="K198" s="109"/>
      <c r="L198" s="109"/>
      <c r="M198" s="109"/>
      <c r="N198" s="109"/>
    </row>
    <row r="199" spans="1:16" x14ac:dyDescent="0.2">
      <c r="A199" s="203"/>
      <c r="B199" s="189">
        <f>SUM(C199:N199)</f>
        <v>24.885000000000002</v>
      </c>
      <c r="C199" s="188"/>
      <c r="D199" s="188"/>
      <c r="E199" s="188">
        <v>9.4499999999999993</v>
      </c>
      <c r="F199" s="188">
        <v>2.4300000000000002</v>
      </c>
      <c r="G199" s="188">
        <v>8.1449999999999996</v>
      </c>
      <c r="H199" s="188"/>
      <c r="I199" s="188">
        <v>0.22500000000000001</v>
      </c>
      <c r="J199" s="188"/>
      <c r="K199" s="188">
        <v>4.5</v>
      </c>
      <c r="L199" s="194"/>
      <c r="M199" s="188">
        <v>0.13500000000000001</v>
      </c>
      <c r="N199" s="188"/>
      <c r="O199" s="171"/>
      <c r="P199" s="176"/>
    </row>
    <row r="200" spans="1:16" x14ac:dyDescent="0.2">
      <c r="A200" s="204"/>
      <c r="B200" s="157">
        <f>(SUM(C200:N200))/6</f>
        <v>141.11166666666668</v>
      </c>
      <c r="C200" s="157"/>
      <c r="D200" s="157"/>
      <c r="E200" s="157">
        <v>66.67</v>
      </c>
      <c r="F200" s="157">
        <v>100</v>
      </c>
      <c r="G200" s="157">
        <v>130</v>
      </c>
      <c r="H200" s="157"/>
      <c r="I200" s="157">
        <v>70</v>
      </c>
      <c r="J200" s="157"/>
      <c r="K200" s="157">
        <v>130</v>
      </c>
      <c r="L200" s="157"/>
      <c r="M200" s="157">
        <v>350</v>
      </c>
      <c r="N200" s="157"/>
    </row>
    <row r="201" spans="1:16" x14ac:dyDescent="0.2">
      <c r="A201" s="171"/>
      <c r="B201" s="171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6" x14ac:dyDescent="0.2">
      <c r="A202" s="171"/>
      <c r="B202" s="171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6" x14ac:dyDescent="0.2">
      <c r="A203" s="171"/>
      <c r="B203" s="171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6" x14ac:dyDescent="0.2">
      <c r="A204" s="171"/>
      <c r="B204" s="171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6" x14ac:dyDescent="0.2">
      <c r="A205" s="171"/>
      <c r="B205" s="171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6" x14ac:dyDescent="0.2">
      <c r="A206" s="171"/>
      <c r="B206" s="171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6" x14ac:dyDescent="0.2">
      <c r="A207" s="171"/>
      <c r="B207" s="171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6" x14ac:dyDescent="0.2">
      <c r="A208" s="102" t="s">
        <v>169</v>
      </c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6" ht="13.5" thickBot="1" x14ac:dyDescent="0.25">
      <c r="A209" s="101"/>
      <c r="B209" s="123"/>
      <c r="C209" s="124"/>
      <c r="D209" s="115"/>
      <c r="E209" s="124"/>
      <c r="F209" s="115"/>
      <c r="G209" s="124"/>
      <c r="H209" s="115"/>
      <c r="I209" s="124"/>
      <c r="J209" s="154"/>
      <c r="K209" s="123"/>
      <c r="L209" s="154"/>
      <c r="M209" s="123"/>
      <c r="N209" s="154"/>
    </row>
    <row r="210" spans="1:16" ht="13.5" thickTop="1" x14ac:dyDescent="0.2">
      <c r="A210" s="223" t="s">
        <v>45</v>
      </c>
      <c r="B210" s="184" t="s">
        <v>106</v>
      </c>
      <c r="C210" s="213" t="s">
        <v>46</v>
      </c>
      <c r="D210" s="213" t="s">
        <v>47</v>
      </c>
      <c r="E210" s="213" t="s">
        <v>108</v>
      </c>
      <c r="F210" s="213" t="s">
        <v>109</v>
      </c>
      <c r="G210" s="213" t="s">
        <v>58</v>
      </c>
      <c r="H210" s="213" t="s">
        <v>59</v>
      </c>
      <c r="I210" s="213" t="s">
        <v>60</v>
      </c>
      <c r="J210" s="213" t="s">
        <v>105</v>
      </c>
      <c r="K210" s="213" t="s">
        <v>62</v>
      </c>
      <c r="L210" s="213" t="s">
        <v>48</v>
      </c>
      <c r="M210" s="213" t="s">
        <v>49</v>
      </c>
      <c r="N210" s="213" t="s">
        <v>50</v>
      </c>
    </row>
    <row r="211" spans="1:16" ht="16.5" thickBot="1" x14ac:dyDescent="0.3">
      <c r="A211" s="224"/>
      <c r="B211" s="125" t="s">
        <v>107</v>
      </c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</row>
    <row r="212" spans="1:16" ht="13.5" thickTop="1" x14ac:dyDescent="0.2">
      <c r="A212" s="202" t="s">
        <v>132</v>
      </c>
      <c r="B212" s="109"/>
      <c r="C212" s="111"/>
      <c r="D212" s="111"/>
      <c r="E212" s="111"/>
      <c r="F212" s="111"/>
      <c r="G212" s="111"/>
      <c r="H212" s="111"/>
      <c r="I212" s="111"/>
      <c r="J212" s="109"/>
      <c r="K212" s="109"/>
      <c r="L212" s="109"/>
      <c r="M212" s="109"/>
      <c r="N212" s="109"/>
    </row>
    <row r="213" spans="1:16" s="171" customFormat="1" x14ac:dyDescent="0.2">
      <c r="A213" s="203"/>
      <c r="B213" s="189">
        <f>SUM(C213:N213)</f>
        <v>0.18</v>
      </c>
      <c r="C213" s="188"/>
      <c r="D213" s="188"/>
      <c r="E213" s="188"/>
      <c r="F213" s="188"/>
      <c r="G213" s="188"/>
      <c r="H213" s="188"/>
      <c r="I213" s="188">
        <v>0.18</v>
      </c>
      <c r="J213" s="188"/>
      <c r="K213" s="188"/>
      <c r="L213" s="188"/>
      <c r="M213" s="188"/>
      <c r="N213" s="188"/>
      <c r="P213" s="176"/>
    </row>
    <row r="214" spans="1:16" x14ac:dyDescent="0.2">
      <c r="A214" s="204"/>
      <c r="B214" s="157">
        <f>(SUM(C214:N214))</f>
        <v>60</v>
      </c>
      <c r="C214" s="157"/>
      <c r="D214" s="157"/>
      <c r="E214" s="157"/>
      <c r="F214" s="157"/>
      <c r="G214" s="157"/>
      <c r="H214" s="157"/>
      <c r="I214" s="157">
        <v>60</v>
      </c>
      <c r="J214" s="157"/>
      <c r="K214" s="157"/>
      <c r="L214" s="157"/>
      <c r="M214" s="157"/>
      <c r="N214" s="157"/>
    </row>
    <row r="215" spans="1:16" x14ac:dyDescent="0.2">
      <c r="A215" s="202" t="s">
        <v>153</v>
      </c>
      <c r="B215" s="109"/>
      <c r="C215" s="111"/>
      <c r="D215" s="111"/>
      <c r="E215" s="111"/>
      <c r="F215" s="111"/>
      <c r="G215" s="111"/>
      <c r="H215" s="111"/>
      <c r="I215" s="111"/>
      <c r="J215" s="109"/>
      <c r="K215" s="109"/>
      <c r="L215" s="109"/>
      <c r="M215" s="109"/>
      <c r="N215" s="109"/>
    </row>
    <row r="216" spans="1:16" s="171" customFormat="1" x14ac:dyDescent="0.2">
      <c r="A216" s="203"/>
      <c r="B216" s="189">
        <f>SUM(C216:N216)</f>
        <v>978.03</v>
      </c>
      <c r="C216" s="188">
        <v>88.155000000000001</v>
      </c>
      <c r="D216" s="188">
        <v>83.79</v>
      </c>
      <c r="E216" s="177">
        <v>79.965000000000003</v>
      </c>
      <c r="F216" s="188">
        <v>109.17</v>
      </c>
      <c r="G216" s="188">
        <v>121.27500000000001</v>
      </c>
      <c r="H216" s="188">
        <v>78.66</v>
      </c>
      <c r="I216" s="188">
        <v>70.739999999999995</v>
      </c>
      <c r="J216" s="188">
        <v>61.29</v>
      </c>
      <c r="K216" s="188">
        <v>56.7</v>
      </c>
      <c r="L216" s="188">
        <v>72.045000000000002</v>
      </c>
      <c r="M216" s="188">
        <v>79.064999999999998</v>
      </c>
      <c r="N216" s="188">
        <v>77.174999999999997</v>
      </c>
      <c r="P216" s="176"/>
    </row>
    <row r="217" spans="1:16" x14ac:dyDescent="0.2">
      <c r="A217" s="204"/>
      <c r="B217" s="157">
        <f>(SUM(C217:N217))/12</f>
        <v>90.666666666666671</v>
      </c>
      <c r="C217" s="157">
        <v>94.11</v>
      </c>
      <c r="D217" s="157">
        <v>87.6</v>
      </c>
      <c r="E217" s="157">
        <v>85.4</v>
      </c>
      <c r="F217" s="157">
        <v>89.14</v>
      </c>
      <c r="G217" s="157">
        <v>86.56</v>
      </c>
      <c r="H217" s="157">
        <v>84.49</v>
      </c>
      <c r="I217" s="157">
        <v>99.74</v>
      </c>
      <c r="J217" s="157">
        <v>87.79</v>
      </c>
      <c r="K217" s="157">
        <v>87.95</v>
      </c>
      <c r="L217" s="157">
        <v>97.8</v>
      </c>
      <c r="M217" s="157">
        <v>91.38</v>
      </c>
      <c r="N217" s="157">
        <v>96.04</v>
      </c>
    </row>
    <row r="218" spans="1:16" x14ac:dyDescent="0.2">
      <c r="A218" s="99"/>
      <c r="B218" s="109"/>
      <c r="C218" s="111"/>
      <c r="D218" s="111"/>
      <c r="E218" s="111"/>
      <c r="F218" s="111"/>
      <c r="G218" s="111"/>
      <c r="H218" s="111"/>
      <c r="I218" s="111"/>
      <c r="J218" s="109"/>
      <c r="K218" s="109"/>
      <c r="L218" s="109"/>
      <c r="M218" s="109"/>
      <c r="N218" s="109"/>
    </row>
    <row r="219" spans="1:16" s="171" customFormat="1" x14ac:dyDescent="0.2">
      <c r="A219" s="97" t="s">
        <v>154</v>
      </c>
      <c r="B219" s="189">
        <f>SUM(C219:N219)</f>
        <v>119.06999999999998</v>
      </c>
      <c r="C219" s="188">
        <v>19.305</v>
      </c>
      <c r="D219" s="188">
        <v>8.5950000000000006</v>
      </c>
      <c r="E219" s="177">
        <v>11.07</v>
      </c>
      <c r="F219" s="188">
        <v>5.4</v>
      </c>
      <c r="G219" s="188">
        <v>5.22</v>
      </c>
      <c r="H219" s="188">
        <v>6.03</v>
      </c>
      <c r="I219" s="188">
        <v>12.06</v>
      </c>
      <c r="J219" s="188">
        <v>10.305</v>
      </c>
      <c r="K219" s="188">
        <v>12.465</v>
      </c>
      <c r="L219" s="188">
        <v>16.425000000000001</v>
      </c>
      <c r="M219" s="188">
        <v>5.9850000000000003</v>
      </c>
      <c r="N219" s="188">
        <v>6.21</v>
      </c>
      <c r="P219" s="176"/>
    </row>
    <row r="220" spans="1:16" x14ac:dyDescent="0.2">
      <c r="A220" s="98"/>
      <c r="B220" s="157">
        <f>(SUM(C220:N220))/12</f>
        <v>111.11083333333333</v>
      </c>
      <c r="C220" s="157">
        <v>113.33</v>
      </c>
      <c r="D220" s="157">
        <v>103.85</v>
      </c>
      <c r="E220" s="157">
        <v>111.43</v>
      </c>
      <c r="F220" s="157">
        <v>105</v>
      </c>
      <c r="G220" s="157">
        <v>115.83</v>
      </c>
      <c r="H220" s="157">
        <v>101.67</v>
      </c>
      <c r="I220" s="157">
        <v>101.3</v>
      </c>
      <c r="J220" s="157">
        <v>108.33</v>
      </c>
      <c r="K220" s="157">
        <v>116.67</v>
      </c>
      <c r="L220" s="157">
        <v>110.36</v>
      </c>
      <c r="M220" s="157">
        <v>116.67</v>
      </c>
      <c r="N220" s="157">
        <v>128.88999999999999</v>
      </c>
    </row>
    <row r="221" spans="1:16" x14ac:dyDescent="0.2">
      <c r="A221" s="202" t="s">
        <v>161</v>
      </c>
      <c r="B221" s="109"/>
      <c r="C221" s="87"/>
      <c r="D221" s="87"/>
      <c r="E221" s="87"/>
      <c r="F221" s="87"/>
      <c r="G221" s="87"/>
      <c r="H221" s="87"/>
      <c r="I221" s="87"/>
      <c r="J221" s="138"/>
      <c r="K221" s="138"/>
      <c r="L221" s="138"/>
      <c r="M221" s="138"/>
      <c r="N221" s="138"/>
    </row>
    <row r="222" spans="1:16" s="171" customFormat="1" x14ac:dyDescent="0.2">
      <c r="A222" s="203"/>
      <c r="B222" s="189">
        <f>SUM(C222:N222)</f>
        <v>1092.0149999999999</v>
      </c>
      <c r="C222" s="188">
        <v>62.37</v>
      </c>
      <c r="D222" s="188">
        <v>81.944999999999993</v>
      </c>
      <c r="E222" s="177">
        <v>106.965</v>
      </c>
      <c r="F222" s="188">
        <v>200.745</v>
      </c>
      <c r="G222" s="188">
        <v>412.33499999999998</v>
      </c>
      <c r="H222" s="188">
        <v>69.75</v>
      </c>
      <c r="I222" s="188">
        <v>72.81</v>
      </c>
      <c r="J222" s="188">
        <v>18.18</v>
      </c>
      <c r="K222" s="188">
        <v>14.355</v>
      </c>
      <c r="L222" s="188">
        <v>2.2949999999999999</v>
      </c>
      <c r="M222" s="188">
        <v>35.1</v>
      </c>
      <c r="N222" s="188">
        <v>15.164999999999999</v>
      </c>
      <c r="P222" s="176"/>
    </row>
    <row r="223" spans="1:16" x14ac:dyDescent="0.2">
      <c r="A223" s="204"/>
      <c r="B223" s="157">
        <f>(SUM(C223:N223))/12</f>
        <v>116.55416666666667</v>
      </c>
      <c r="C223" s="157">
        <v>110.94</v>
      </c>
      <c r="D223" s="157">
        <v>108.33</v>
      </c>
      <c r="E223" s="157">
        <v>95.34</v>
      </c>
      <c r="F223" s="157">
        <v>99.13</v>
      </c>
      <c r="G223" s="157">
        <v>100.78</v>
      </c>
      <c r="H223" s="157">
        <v>113.08</v>
      </c>
      <c r="I223" s="157">
        <v>114.39</v>
      </c>
      <c r="J223" s="157">
        <v>115.62</v>
      </c>
      <c r="K223" s="157">
        <v>118</v>
      </c>
      <c r="L223" s="157">
        <v>132.5</v>
      </c>
      <c r="M223" s="157">
        <v>126</v>
      </c>
      <c r="N223" s="157">
        <v>164.54</v>
      </c>
    </row>
    <row r="224" spans="1:16" x14ac:dyDescent="0.2">
      <c r="A224" s="99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</row>
    <row r="225" spans="1:17" s="171" customFormat="1" x14ac:dyDescent="0.2">
      <c r="A225" s="97" t="s">
        <v>155</v>
      </c>
      <c r="B225" s="189">
        <f>SUM(C225:N225)</f>
        <v>6.66</v>
      </c>
      <c r="C225" s="188"/>
      <c r="D225" s="188"/>
      <c r="E225" s="177"/>
      <c r="F225" s="188"/>
      <c r="G225" s="188"/>
      <c r="H225" s="188">
        <v>2.25</v>
      </c>
      <c r="I225" s="188"/>
      <c r="J225" s="188"/>
      <c r="K225" s="188"/>
      <c r="L225" s="188">
        <v>3.96</v>
      </c>
      <c r="M225" s="188">
        <v>0.45</v>
      </c>
      <c r="N225" s="188"/>
      <c r="P225" s="176"/>
    </row>
    <row r="226" spans="1:17" x14ac:dyDescent="0.2">
      <c r="A226" s="98"/>
      <c r="B226" s="157">
        <f>(SUM(C226:N226))/3</f>
        <v>66.666666666666671</v>
      </c>
      <c r="C226" s="157"/>
      <c r="D226" s="157"/>
      <c r="E226" s="157"/>
      <c r="F226" s="157"/>
      <c r="G226" s="157"/>
      <c r="H226" s="157">
        <v>60</v>
      </c>
      <c r="I226" s="157"/>
      <c r="J226" s="157"/>
      <c r="K226" s="157"/>
      <c r="L226" s="157">
        <v>80</v>
      </c>
      <c r="M226" s="157">
        <v>60</v>
      </c>
      <c r="N226" s="157"/>
    </row>
    <row r="227" spans="1:17" x14ac:dyDescent="0.2">
      <c r="A227" s="202" t="s">
        <v>171</v>
      </c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</row>
    <row r="228" spans="1:17" x14ac:dyDescent="0.2">
      <c r="A228" s="203"/>
      <c r="B228" s="189">
        <f>SUM(C228:N228)</f>
        <v>1.125</v>
      </c>
      <c r="C228" s="188"/>
      <c r="D228" s="188"/>
      <c r="E228" s="177"/>
      <c r="F228" s="188"/>
      <c r="G228" s="188"/>
      <c r="H228" s="188"/>
      <c r="I228" s="188"/>
      <c r="J228" s="188"/>
      <c r="K228" s="188">
        <v>1.125</v>
      </c>
      <c r="L228" s="188"/>
      <c r="M228" s="188"/>
      <c r="N228" s="188"/>
      <c r="O228" s="171"/>
      <c r="P228" s="176"/>
      <c r="Q228" s="171"/>
    </row>
    <row r="229" spans="1:17" x14ac:dyDescent="0.2">
      <c r="A229" s="204"/>
      <c r="B229" s="157">
        <f>(SUM(C229:N229))</f>
        <v>550</v>
      </c>
      <c r="C229" s="157"/>
      <c r="D229" s="157"/>
      <c r="E229" s="157"/>
      <c r="F229" s="157"/>
      <c r="G229" s="157"/>
      <c r="H229" s="157"/>
      <c r="I229" s="157"/>
      <c r="J229" s="157"/>
      <c r="K229" s="157">
        <v>550</v>
      </c>
      <c r="L229" s="157"/>
      <c r="M229" s="157"/>
      <c r="N229" s="157"/>
    </row>
    <row r="230" spans="1:17" x14ac:dyDescent="0.2">
      <c r="A230" s="235" t="s">
        <v>52</v>
      </c>
      <c r="B230" s="225">
        <f>B8+B11+B14+B17+B20+B23+B26+B29+B32+B35+B49+B52+B55+B58+B61+B64+B67+B70+B73+B76+B90+B93+B96+B99+B102+B105+B108+B111+B114+B117+B131+B134+B137+B140+B143+B146+B149+B152+B155+B158+B172+B175+B178+B181+B184+B187+B190+B193+B196+B199+B213+B216+B219+B222+B225+B228</f>
        <v>16576.785000000003</v>
      </c>
      <c r="C230" s="225">
        <f>C8+C11+C14+C17+C20+C23+C26+C29+C32+C35+C49+C52+C55+C58+C61+C64+C67+C70+C73+C76+C90+C93+C96+C99+C102+C105+C108+C111+C114+C117+C131+C134+C137+C140+C143+C146+C152+C155+C158+C175+C178+C181+C184+C187+C190+C193+C196+C199+C216+C219+C222+C225</f>
        <v>1319.9399999999998</v>
      </c>
      <c r="D230" s="225">
        <f>D8+D11+D14+D17+D20+D23+D26+D29+D32+D35+D49+D52+D55+D58+D61+D64+D67+D70+D73+D76+D90+D93+D96+D99+D102+D105+D108+D111+D114+D117+D131+D134+D137+D140+D143+D146+D152+D155+D158+D175+D178+D181+D184+D187+D190+D193+D196+D199+D216+D219+D222+D225</f>
        <v>1334.6999999999998</v>
      </c>
      <c r="E230" s="225">
        <f>E14+E23+E32+E35+E52+E55+E61+E64+E73+E76+E90+E93+E96+E99+E102+E105+E108+E114+E131+E134+E140+E143+E146+E149+E152+E155+E158+E175+E184+E187+E190+E193+E196+E199+E216+E219+E222</f>
        <v>1582.6949999999999</v>
      </c>
      <c r="F230" s="225">
        <f>F14+F23+F26+F32+F35+F52+F55+F61+F64+F73+F76+F90+F93+F96+F102+F105+F108+F131+F134+F143+F146+F152+F155+F158+F175+F184+F187+F190+F193+F196+F199+F216+F219+F222</f>
        <v>1764.54</v>
      </c>
      <c r="G230" s="227">
        <f>G8+G11+G14+G20+G23+G29+G32+G35+G49+G52+G55+G58+G64+G73+G76+G90+G93+G96+G99+G102+G105+G108+G111+G114+G131+G134+G143+G146+G155+G158+G175+G181+G184+G187+G190+G193+G196+G199+G216+G219+G222</f>
        <v>1800.4500000000003</v>
      </c>
      <c r="H230" s="227">
        <f>H8+H11+H14+H23+H29+H32+H35+H49+H52+H55+H58+H61+H64+H67+H70+H76+H90+H93+H96+H99+H102+H105+H108+H111+H114+H117+H131+H134+H143+H146+H152+H155+H158+H175+H181+H184+H187+H190+H193+H196+H216+H219+H222+H225</f>
        <v>1319.5350000000001</v>
      </c>
      <c r="I230" s="227">
        <f>I8+I11+I14+I20+I23+I29+I32+I35+I49+I52+I55+I61+I64+I76+I90+I93+I99+I102+I105+I108+I111+I114+I131+I134+I143+I146+I152+I155+I158+I175+I181+I184+I187+I190+I193+I196+I199+I213+I216+I219+I222</f>
        <v>1596.1949999999999</v>
      </c>
      <c r="J230" s="227">
        <f>J11+J14+J20+J23+J29+J32+J35+J49+J52+J55+J61+J64+J70+J73+J76+J90+J93+J96+J99+J102+J105+J108+J114+J131+J134+J143+J146+J155+J158+J175+J181+J184+J187+J190+J193+J196+J216+J219+J222</f>
        <v>1152.5400000000002</v>
      </c>
      <c r="K230" s="227">
        <f>K8+K11+K14+K23+K29+K32+K35+K49+K52+K55+K61+K64+K76+K90+K93+K96+K99+K102+K105+K108+K111+K114+K131+K134+K143+K146+K152+K155+K158+K175+K181+K184+K187+K190+K193+K196+K199+K216+K219+K222+K228</f>
        <v>1260.3149999999996</v>
      </c>
      <c r="L230" s="227">
        <f>L8+L11+L14+L23+L29+L32+L35+L49+L52+L55+L61+L64+L67+L73+L76+L90+L93+L96+L99+L105+L108+L114+L131+L134+L143+L146+L152+L155+L158+L175+L181+L184+L187+L190+L196+L216+L219+L222+L225</f>
        <v>1255.77</v>
      </c>
      <c r="M230" s="227">
        <f>M8+M11+M14+M23+M29+M32+M35+M52+M55+M61+M64+M67+M76+M90+M93+M96+M102+M105+M108+M111+M114+M117+M131+M134+M137+M143+M146+M152+M155+M158+M175+M181+M184+M187+M190+M196+M199+M216+M219+M222+M225</f>
        <v>1146.96</v>
      </c>
      <c r="N230" s="225">
        <f>N8+N11+N14+N23+N29+N32+N35+N52+N55+N61+N64+N67+N70+N73+N76+N90+N93+N96+N99+N105+N108+N114+N117+N131+N134+N143+N146+N155+N158+N172+N175+N181+N184+N187+N190+N196+N216+N219+N222</f>
        <v>1043.1449999999998</v>
      </c>
    </row>
    <row r="231" spans="1:17" x14ac:dyDescent="0.2">
      <c r="A231" s="236"/>
      <c r="B231" s="226"/>
      <c r="C231" s="226"/>
      <c r="D231" s="226"/>
      <c r="E231" s="226"/>
      <c r="F231" s="226"/>
      <c r="G231" s="228"/>
      <c r="H231" s="228"/>
      <c r="I231" s="228"/>
      <c r="J231" s="228"/>
      <c r="K231" s="228"/>
      <c r="L231" s="228"/>
      <c r="M231" s="228"/>
      <c r="N231" s="226"/>
      <c r="O231" s="78"/>
      <c r="P231" s="79"/>
    </row>
    <row r="232" spans="1:17" x14ac:dyDescent="0.2">
      <c r="A232" s="221" t="s">
        <v>112</v>
      </c>
      <c r="B232" s="205">
        <f>C232+D232+E232+F232+G232+H232+I232+J232+K232+L232+M232+N232</f>
        <v>3501.3150000000005</v>
      </c>
      <c r="C232" s="205">
        <f>(8276*45)/1000</f>
        <v>372.42</v>
      </c>
      <c r="D232" s="205">
        <f>(11063*45)/1000</f>
        <v>497.83499999999998</v>
      </c>
      <c r="E232" s="205">
        <f>(11572*45)/1000</f>
        <v>520.74</v>
      </c>
      <c r="F232" s="205">
        <f>(8344*45)/1000</f>
        <v>375.48</v>
      </c>
      <c r="G232" s="205">
        <f>(11430*45)/1000</f>
        <v>514.35</v>
      </c>
      <c r="H232" s="205">
        <f>(4032*45)/1000</f>
        <v>181.44</v>
      </c>
      <c r="I232" s="205">
        <f>(5901*45)/1000</f>
        <v>265.54500000000002</v>
      </c>
      <c r="J232" s="205">
        <f>(3426*45)/1000</f>
        <v>154.16999999999999</v>
      </c>
      <c r="K232" s="205">
        <f>(2927*45)/1000</f>
        <v>131.715</v>
      </c>
      <c r="L232" s="205">
        <f>(5534*45)/1000</f>
        <v>249.03</v>
      </c>
      <c r="M232" s="205">
        <f>(1965*45)/1000</f>
        <v>88.424999999999997</v>
      </c>
      <c r="N232" s="205">
        <f>(3337*45)/1000</f>
        <v>150.16499999999999</v>
      </c>
      <c r="P232" s="231"/>
    </row>
    <row r="233" spans="1:17" x14ac:dyDescent="0.2">
      <c r="A233" s="222"/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P233" s="232"/>
    </row>
    <row r="234" spans="1:17" x14ac:dyDescent="0.2">
      <c r="A234" s="233" t="s">
        <v>113</v>
      </c>
      <c r="B234" s="229">
        <f>SUM(B230:B233)</f>
        <v>20078.100000000006</v>
      </c>
      <c r="C234" s="229">
        <f>SUM(C230:C233)</f>
        <v>1692.36</v>
      </c>
      <c r="D234" s="229">
        <f>SUM(D230:D233)</f>
        <v>1832.5349999999999</v>
      </c>
      <c r="E234" s="229">
        <f t="shared" ref="E234:N234" si="0">SUM(E230:E233)</f>
        <v>2103.4349999999999</v>
      </c>
      <c r="F234" s="229">
        <f t="shared" si="0"/>
        <v>2140.02</v>
      </c>
      <c r="G234" s="229">
        <f>SUM(G230:G233)</f>
        <v>2314.8000000000002</v>
      </c>
      <c r="H234" s="229">
        <f t="shared" si="0"/>
        <v>1500.9750000000001</v>
      </c>
      <c r="I234" s="229">
        <f t="shared" si="0"/>
        <v>1861.74</v>
      </c>
      <c r="J234" s="229">
        <f t="shared" si="0"/>
        <v>1306.7100000000003</v>
      </c>
      <c r="K234" s="229">
        <f>K230+K232</f>
        <v>1392.0299999999995</v>
      </c>
      <c r="L234" s="229">
        <f>L230+L232</f>
        <v>1504.8</v>
      </c>
      <c r="M234" s="229">
        <f t="shared" si="0"/>
        <v>1235.385</v>
      </c>
      <c r="N234" s="229">
        <f t="shared" si="0"/>
        <v>1193.3099999999997</v>
      </c>
    </row>
    <row r="235" spans="1:17" x14ac:dyDescent="0.2">
      <c r="A235" s="234"/>
      <c r="B235" s="230"/>
      <c r="C235" s="230"/>
      <c r="D235" s="230"/>
      <c r="E235" s="230"/>
      <c r="F235" s="230"/>
      <c r="G235" s="230"/>
      <c r="H235" s="230"/>
      <c r="I235" s="230"/>
      <c r="J235" s="230"/>
      <c r="K235" s="230"/>
      <c r="L235" s="230"/>
      <c r="M235" s="230"/>
      <c r="N235" s="230"/>
      <c r="O235" s="78"/>
      <c r="P235" s="79"/>
    </row>
    <row r="236" spans="1:17" x14ac:dyDescent="0.2">
      <c r="D236" s="79"/>
      <c r="N236" s="79"/>
    </row>
    <row r="237" spans="1:17" x14ac:dyDescent="0.2">
      <c r="B237" s="15">
        <f>B230+B232</f>
        <v>20078.100000000006</v>
      </c>
      <c r="C237" s="77">
        <f t="shared" ref="C237:N237" si="1">C234/45</f>
        <v>37.607999999999997</v>
      </c>
      <c r="D237" s="79">
        <f t="shared" si="1"/>
        <v>40.722999999999999</v>
      </c>
      <c r="E237" s="43">
        <f t="shared" si="1"/>
        <v>46.743000000000002</v>
      </c>
      <c r="F237" s="43">
        <f t="shared" si="1"/>
        <v>47.555999999999997</v>
      </c>
      <c r="G237" s="43">
        <f t="shared" si="1"/>
        <v>51.440000000000005</v>
      </c>
      <c r="H237" s="43">
        <f t="shared" si="1"/>
        <v>33.355000000000004</v>
      </c>
      <c r="I237" s="43">
        <f t="shared" si="1"/>
        <v>41.372</v>
      </c>
      <c r="J237" s="43">
        <f t="shared" si="1"/>
        <v>29.038000000000007</v>
      </c>
      <c r="K237" s="43">
        <f t="shared" si="1"/>
        <v>30.93399999999999</v>
      </c>
      <c r="L237" s="43">
        <f t="shared" si="1"/>
        <v>33.44</v>
      </c>
      <c r="M237" s="43">
        <f t="shared" si="1"/>
        <v>27.452999999999999</v>
      </c>
      <c r="N237" s="43">
        <f t="shared" si="1"/>
        <v>26.517999999999994</v>
      </c>
    </row>
    <row r="238" spans="1:17" x14ac:dyDescent="0.2">
      <c r="B238" s="85"/>
      <c r="D238" s="79"/>
      <c r="L238" s="95"/>
      <c r="O238" s="80"/>
      <c r="P238" s="85"/>
    </row>
    <row r="239" spans="1:17" x14ac:dyDescent="0.2">
      <c r="K239" s="95"/>
      <c r="L239" s="95"/>
    </row>
    <row r="240" spans="1:17" x14ac:dyDescent="0.2">
      <c r="C240" s="201"/>
      <c r="D240" s="15"/>
      <c r="E240" s="77"/>
      <c r="F240" s="77"/>
      <c r="G240" s="167"/>
      <c r="H240" s="169"/>
      <c r="I240" s="81"/>
      <c r="J240" s="80"/>
      <c r="K240" s="80"/>
      <c r="L240" s="81"/>
      <c r="M240" s="81"/>
      <c r="N240" s="81"/>
    </row>
    <row r="241" spans="1:14" x14ac:dyDescent="0.2">
      <c r="C241" s="77"/>
      <c r="D241" s="78"/>
      <c r="E241" s="77"/>
      <c r="F241" s="80"/>
      <c r="G241" s="79"/>
      <c r="H241" s="84"/>
      <c r="I241" s="43"/>
      <c r="J241" s="93"/>
      <c r="K241" s="94"/>
      <c r="L241" s="80"/>
      <c r="M241" s="80"/>
      <c r="N241" s="80"/>
    </row>
    <row r="242" spans="1:14" x14ac:dyDescent="0.2">
      <c r="B242" s="14"/>
      <c r="C242" s="171"/>
      <c r="D242" s="167"/>
      <c r="E242" s="168"/>
      <c r="F242" s="77"/>
      <c r="G242" s="77"/>
      <c r="H242" s="77"/>
      <c r="J242" s="95"/>
      <c r="K242" s="85"/>
      <c r="L242" s="92"/>
    </row>
    <row r="243" spans="1:14" x14ac:dyDescent="0.2">
      <c r="A243" s="171"/>
      <c r="L243" s="95"/>
    </row>
    <row r="244" spans="1:14" x14ac:dyDescent="0.2">
      <c r="H244" s="79"/>
      <c r="L244" s="170"/>
    </row>
    <row r="245" spans="1:14" ht="9" customHeight="1" x14ac:dyDescent="0.2">
      <c r="A245" s="171"/>
      <c r="L245" s="170"/>
    </row>
    <row r="249" spans="1:14" x14ac:dyDescent="0.2">
      <c r="M249" s="197"/>
      <c r="N249" s="197"/>
    </row>
    <row r="250" spans="1:14" x14ac:dyDescent="0.2">
      <c r="M250" s="197"/>
      <c r="N250" s="197"/>
    </row>
    <row r="251" spans="1:14" ht="9" customHeight="1" x14ac:dyDescent="0.2">
      <c r="K251" s="196"/>
      <c r="M251" s="197"/>
      <c r="N251" s="197"/>
    </row>
    <row r="253" spans="1:14" x14ac:dyDescent="0.2">
      <c r="N253" s="197"/>
    </row>
    <row r="254" spans="1:14" x14ac:dyDescent="0.2">
      <c r="N254" s="197"/>
    </row>
    <row r="255" spans="1:14" x14ac:dyDescent="0.2">
      <c r="N255" s="197"/>
    </row>
    <row r="256" spans="1:14" x14ac:dyDescent="0.2">
      <c r="K256" s="171"/>
      <c r="N256" s="197"/>
    </row>
    <row r="260" spans="3:16" ht="7.5" customHeight="1" x14ac:dyDescent="0.2">
      <c r="N260" s="197"/>
    </row>
    <row r="261" spans="3:16" ht="14.25" customHeight="1" x14ac:dyDescent="0.2"/>
    <row r="265" spans="3:16" x14ac:dyDescent="0.2">
      <c r="C265" s="43"/>
    </row>
    <row r="266" spans="3:16" x14ac:dyDescent="0.2">
      <c r="C266" s="43"/>
      <c r="D266" s="78"/>
      <c r="E266" s="43"/>
      <c r="F266" s="43"/>
      <c r="H266" s="43"/>
      <c r="I266" s="43"/>
      <c r="J266" s="43"/>
      <c r="K266" s="43"/>
      <c r="M266" s="43"/>
      <c r="N266" s="43"/>
      <c r="P266" s="82"/>
    </row>
    <row r="267" spans="3:16" x14ac:dyDescent="0.2">
      <c r="D267" s="85"/>
      <c r="E267" s="43"/>
      <c r="F267" s="85"/>
      <c r="G267" s="85"/>
      <c r="I267" s="85"/>
      <c r="N267" s="80"/>
      <c r="P267" s="3"/>
    </row>
    <row r="268" spans="3:16" x14ac:dyDescent="0.2">
      <c r="I268" s="43"/>
      <c r="P268" s="83"/>
    </row>
    <row r="269" spans="3:16" x14ac:dyDescent="0.2">
      <c r="I269" s="43"/>
    </row>
  </sheetData>
  <mergeCells count="156">
    <mergeCell ref="A227:A229"/>
    <mergeCell ref="N234:N235"/>
    <mergeCell ref="M230:M231"/>
    <mergeCell ref="N230:N231"/>
    <mergeCell ref="P232:P233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K232:K233"/>
    <mergeCell ref="A230:A231"/>
    <mergeCell ref="B230:B231"/>
    <mergeCell ref="C230:C231"/>
    <mergeCell ref="D230:D231"/>
    <mergeCell ref="E230:E231"/>
    <mergeCell ref="F230:F231"/>
    <mergeCell ref="G230:G231"/>
    <mergeCell ref="H230:H231"/>
    <mergeCell ref="I230:I231"/>
    <mergeCell ref="J230:J231"/>
    <mergeCell ref="K230:K231"/>
    <mergeCell ref="L230:L231"/>
    <mergeCell ref="F232:F233"/>
    <mergeCell ref="G232:G233"/>
    <mergeCell ref="H232:H233"/>
    <mergeCell ref="I232:I233"/>
    <mergeCell ref="J232:J233"/>
    <mergeCell ref="A232:A233"/>
    <mergeCell ref="B232:B233"/>
    <mergeCell ref="C232:C233"/>
    <mergeCell ref="D232:D233"/>
    <mergeCell ref="E232:E233"/>
    <mergeCell ref="L210:L211"/>
    <mergeCell ref="M210:M211"/>
    <mergeCell ref="N210:N211"/>
    <mergeCell ref="A5:A6"/>
    <mergeCell ref="A46:A47"/>
    <mergeCell ref="A87:A88"/>
    <mergeCell ref="A128:A129"/>
    <mergeCell ref="A169:A170"/>
    <mergeCell ref="A210:A211"/>
    <mergeCell ref="C210:C211"/>
    <mergeCell ref="D210:D211"/>
    <mergeCell ref="E210:E211"/>
    <mergeCell ref="F210:F211"/>
    <mergeCell ref="G210:G211"/>
    <mergeCell ref="H210:H211"/>
    <mergeCell ref="I210:I211"/>
    <mergeCell ref="J210:J211"/>
    <mergeCell ref="K210:K211"/>
    <mergeCell ref="J169:J170"/>
    <mergeCell ref="N128:N129"/>
    <mergeCell ref="C169:C170"/>
    <mergeCell ref="D169:D170"/>
    <mergeCell ref="E169:E170"/>
    <mergeCell ref="F169:F170"/>
    <mergeCell ref="G169:G170"/>
    <mergeCell ref="H169:H170"/>
    <mergeCell ref="I169:I170"/>
    <mergeCell ref="N169:N170"/>
    <mergeCell ref="C128:C129"/>
    <mergeCell ref="D128:D129"/>
    <mergeCell ref="E128:E129"/>
    <mergeCell ref="F128:F129"/>
    <mergeCell ref="G128:G129"/>
    <mergeCell ref="H128:H129"/>
    <mergeCell ref="M87:M88"/>
    <mergeCell ref="K169:K170"/>
    <mergeCell ref="L169:L170"/>
    <mergeCell ref="M169:M170"/>
    <mergeCell ref="L128:L129"/>
    <mergeCell ref="M128:M129"/>
    <mergeCell ref="I128:I129"/>
    <mergeCell ref="J128:J129"/>
    <mergeCell ref="K128:K129"/>
    <mergeCell ref="A2:N2"/>
    <mergeCell ref="A98:A100"/>
    <mergeCell ref="I5:I6"/>
    <mergeCell ref="J5:J6"/>
    <mergeCell ref="K5:K6"/>
    <mergeCell ref="L5:L6"/>
    <mergeCell ref="K46:K47"/>
    <mergeCell ref="C87:C88"/>
    <mergeCell ref="D87:D88"/>
    <mergeCell ref="E87:E88"/>
    <mergeCell ref="F87:F88"/>
    <mergeCell ref="G87:G88"/>
    <mergeCell ref="L46:L47"/>
    <mergeCell ref="L87:L88"/>
    <mergeCell ref="M5:M6"/>
    <mergeCell ref="A13:A15"/>
    <mergeCell ref="A22:A24"/>
    <mergeCell ref="A31:A33"/>
    <mergeCell ref="A95:A97"/>
    <mergeCell ref="A60:A62"/>
    <mergeCell ref="A63:A65"/>
    <mergeCell ref="A66:A68"/>
    <mergeCell ref="A72:A74"/>
    <mergeCell ref="N5:N6"/>
    <mergeCell ref="A183:A185"/>
    <mergeCell ref="A186:A188"/>
    <mergeCell ref="A3:N3"/>
    <mergeCell ref="C46:C47"/>
    <mergeCell ref="D46:D47"/>
    <mergeCell ref="E46:E47"/>
    <mergeCell ref="F46:F47"/>
    <mergeCell ref="G46:G47"/>
    <mergeCell ref="H46:H47"/>
    <mergeCell ref="I46:I47"/>
    <mergeCell ref="C5:C6"/>
    <mergeCell ref="D5:D6"/>
    <mergeCell ref="E5:E6"/>
    <mergeCell ref="F5:F6"/>
    <mergeCell ref="G5:G6"/>
    <mergeCell ref="H5:H6"/>
    <mergeCell ref="J46:J47"/>
    <mergeCell ref="M46:M47"/>
    <mergeCell ref="N46:N47"/>
    <mergeCell ref="N87:N88"/>
    <mergeCell ref="H87:H88"/>
    <mergeCell ref="I87:I88"/>
    <mergeCell ref="J87:J88"/>
    <mergeCell ref="K87:K88"/>
    <mergeCell ref="A221:A223"/>
    <mergeCell ref="A10:A12"/>
    <mergeCell ref="A7:A9"/>
    <mergeCell ref="L232:L233"/>
    <mergeCell ref="M232:M233"/>
    <mergeCell ref="N232:N233"/>
    <mergeCell ref="A148:A150"/>
    <mergeCell ref="A142:A144"/>
    <mergeCell ref="A195:A197"/>
    <mergeCell ref="A198:A200"/>
    <mergeCell ref="A212:A214"/>
    <mergeCell ref="A48:A50"/>
    <mergeCell ref="A69:A71"/>
    <mergeCell ref="A89:A91"/>
    <mergeCell ref="A215:A217"/>
    <mergeCell ref="A75:A77"/>
    <mergeCell ref="A189:A191"/>
    <mergeCell ref="A110:A112"/>
    <mergeCell ref="A113:A115"/>
    <mergeCell ref="A116:A118"/>
    <mergeCell ref="A51:A53"/>
    <mergeCell ref="A130:A132"/>
    <mergeCell ref="A154:A156"/>
    <mergeCell ref="A157:A159"/>
  </mergeCells>
  <phoneticPr fontId="2" type="noConversion"/>
  <pageMargins left="0.65" right="0.83" top="0.34" bottom="0.7" header="0.49" footer="0.5"/>
  <pageSetup paperSize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9"/>
  <sheetViews>
    <sheetView workbookViewId="0">
      <selection activeCell="A14" sqref="A14"/>
    </sheetView>
  </sheetViews>
  <sheetFormatPr defaultRowHeight="12.75" x14ac:dyDescent="0.2"/>
  <cols>
    <col min="1" max="1" width="10.5703125" customWidth="1"/>
  </cols>
  <sheetData>
    <row r="1" spans="1:15" x14ac:dyDescent="0.2">
      <c r="A1" t="s">
        <v>51</v>
      </c>
      <c r="B1" t="s">
        <v>101</v>
      </c>
    </row>
    <row r="2" spans="1:15" x14ac:dyDescent="0.2">
      <c r="B2" t="s">
        <v>94</v>
      </c>
    </row>
    <row r="3" spans="1:15" ht="13.5" thickBo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5" thickTop="1" x14ac:dyDescent="0.2">
      <c r="A4" s="6"/>
      <c r="B4" s="1" t="s">
        <v>52</v>
      </c>
      <c r="C4" s="6"/>
      <c r="E4" s="6"/>
      <c r="G4" s="6"/>
      <c r="I4" s="6"/>
      <c r="K4" s="6"/>
      <c r="M4" s="6"/>
      <c r="O4" s="6"/>
    </row>
    <row r="5" spans="1:15" x14ac:dyDescent="0.2">
      <c r="A5" s="10" t="s">
        <v>45</v>
      </c>
      <c r="B5" s="1" t="s">
        <v>53</v>
      </c>
      <c r="C5" s="11" t="s">
        <v>54</v>
      </c>
      <c r="D5" s="1" t="s">
        <v>46</v>
      </c>
      <c r="E5" s="11" t="s">
        <v>55</v>
      </c>
      <c r="F5" s="1" t="s">
        <v>56</v>
      </c>
      <c r="G5" s="11" t="s">
        <v>57</v>
      </c>
      <c r="H5" s="1" t="s">
        <v>58</v>
      </c>
      <c r="I5" s="11" t="s">
        <v>59</v>
      </c>
      <c r="J5" s="1" t="s">
        <v>60</v>
      </c>
      <c r="K5" s="11" t="s">
        <v>61</v>
      </c>
      <c r="L5" s="1" t="s">
        <v>62</v>
      </c>
      <c r="M5" s="11" t="s">
        <v>48</v>
      </c>
      <c r="N5" s="1" t="s">
        <v>49</v>
      </c>
      <c r="O5" s="11" t="s">
        <v>50</v>
      </c>
    </row>
    <row r="6" spans="1:15" x14ac:dyDescent="0.2">
      <c r="A6" s="49"/>
      <c r="B6" s="49"/>
      <c r="C6" s="50"/>
      <c r="D6" s="49"/>
      <c r="E6" s="50"/>
      <c r="F6" s="50"/>
      <c r="G6" s="50"/>
      <c r="H6" s="50"/>
      <c r="I6" s="50"/>
      <c r="J6" s="50"/>
      <c r="K6" s="50"/>
      <c r="L6" s="50"/>
      <c r="M6" s="50"/>
      <c r="N6" s="51"/>
      <c r="O6" s="50"/>
    </row>
    <row r="7" spans="1:15" x14ac:dyDescent="0.2">
      <c r="A7" s="49"/>
      <c r="B7" s="52"/>
      <c r="C7" s="53"/>
      <c r="D7" s="49"/>
      <c r="E7" s="49"/>
      <c r="F7" s="49"/>
      <c r="G7" s="49"/>
      <c r="H7" s="49"/>
      <c r="I7" s="49"/>
      <c r="J7" s="49"/>
      <c r="K7" s="49"/>
      <c r="L7" s="54"/>
      <c r="M7" s="54"/>
      <c r="N7" s="54"/>
      <c r="O7" s="54"/>
    </row>
    <row r="8" spans="1:15" x14ac:dyDescent="0.2">
      <c r="A8" s="49" t="s">
        <v>30</v>
      </c>
      <c r="B8" s="52">
        <f>D8+E8+F8+G8+H8+I8+J8+K8+L8+M8+N8+O8</f>
        <v>3060</v>
      </c>
      <c r="C8" s="55"/>
      <c r="D8" s="37">
        <f>29*45</f>
        <v>1305</v>
      </c>
      <c r="E8" s="37">
        <f>10*45</f>
        <v>450</v>
      </c>
      <c r="F8" s="56">
        <f>29*45</f>
        <v>1305</v>
      </c>
      <c r="G8" s="39"/>
      <c r="H8" s="39"/>
      <c r="I8" s="56"/>
      <c r="J8" s="56"/>
      <c r="K8" s="56"/>
      <c r="L8" s="56"/>
      <c r="M8" s="56"/>
      <c r="N8" s="56"/>
      <c r="O8" s="56"/>
    </row>
    <row r="9" spans="1:15" x14ac:dyDescent="0.2">
      <c r="A9" s="49"/>
      <c r="B9" s="52"/>
      <c r="C9" s="55">
        <f>SUM(D9:O9)</f>
        <v>154</v>
      </c>
      <c r="D9" s="57">
        <v>71.5</v>
      </c>
      <c r="E9" s="57">
        <v>82.5</v>
      </c>
      <c r="F9" s="58"/>
      <c r="G9" s="57"/>
      <c r="H9" s="57"/>
      <c r="I9" s="57"/>
      <c r="J9" s="57"/>
      <c r="K9" s="57"/>
      <c r="L9" s="58"/>
      <c r="M9" s="58"/>
      <c r="N9" s="58"/>
      <c r="O9" s="58"/>
    </row>
    <row r="10" spans="1:15" x14ac:dyDescent="0.2">
      <c r="A10" s="49"/>
      <c r="B10" s="52"/>
      <c r="C10" s="55"/>
      <c r="D10" s="49"/>
      <c r="E10" s="49"/>
      <c r="F10" s="49"/>
      <c r="G10" s="49"/>
      <c r="H10" s="49"/>
      <c r="I10" s="49"/>
      <c r="J10" s="49"/>
      <c r="K10" s="49"/>
      <c r="L10" s="54"/>
      <c r="M10" s="54"/>
      <c r="N10" s="54"/>
      <c r="O10" s="54"/>
    </row>
    <row r="11" spans="1:15" x14ac:dyDescent="0.2">
      <c r="A11" s="49" t="s">
        <v>63</v>
      </c>
      <c r="B11" s="52">
        <f>D11+E11+F11+G11+H11+I11+J11+K11+L11+M11+N11+O11</f>
        <v>0</v>
      </c>
      <c r="C11" s="55"/>
      <c r="D11" s="59"/>
      <c r="E11" s="59"/>
      <c r="F11" s="59"/>
      <c r="G11" s="59"/>
      <c r="H11" s="56"/>
      <c r="I11" s="56"/>
      <c r="J11" s="56"/>
      <c r="K11" s="54"/>
      <c r="L11" s="54"/>
      <c r="M11" s="54"/>
      <c r="N11" s="54"/>
      <c r="O11" s="54"/>
    </row>
    <row r="12" spans="1:15" x14ac:dyDescent="0.2">
      <c r="A12" s="49"/>
      <c r="B12" s="52"/>
      <c r="C12" s="55">
        <f>SUM(D12:O12)</f>
        <v>0</v>
      </c>
      <c r="D12" s="57"/>
      <c r="E12" s="57"/>
      <c r="F12" s="57"/>
      <c r="G12" s="57"/>
      <c r="H12" s="57"/>
      <c r="I12" s="57"/>
      <c r="J12" s="58"/>
      <c r="K12" s="57"/>
      <c r="L12" s="58"/>
      <c r="M12" s="58"/>
      <c r="N12" s="58"/>
      <c r="O12" s="58"/>
    </row>
    <row r="13" spans="1:15" x14ac:dyDescent="0.2">
      <c r="A13" s="49"/>
      <c r="B13" s="52"/>
      <c r="C13" s="55"/>
      <c r="D13" s="49"/>
      <c r="E13" s="49"/>
      <c r="F13" s="49"/>
      <c r="G13" s="49"/>
      <c r="H13" s="49"/>
      <c r="I13" s="49"/>
      <c r="J13" s="49"/>
      <c r="K13" s="49"/>
      <c r="L13" s="54"/>
      <c r="M13" s="54"/>
      <c r="N13" s="54"/>
      <c r="O13" s="54"/>
    </row>
    <row r="14" spans="1:15" x14ac:dyDescent="0.2">
      <c r="A14" s="49" t="s">
        <v>0</v>
      </c>
      <c r="B14" s="52">
        <f>D14+E14+F14+G14+H14+I14+J14+K14+L14+M14+N14+O14</f>
        <v>9225</v>
      </c>
      <c r="C14" s="55"/>
      <c r="D14" s="37">
        <f>96*45</f>
        <v>4320</v>
      </c>
      <c r="E14" s="37">
        <f>13*45</f>
        <v>585</v>
      </c>
      <c r="F14" s="37">
        <f>96*45</f>
        <v>4320</v>
      </c>
      <c r="G14" s="39"/>
      <c r="H14" s="39"/>
      <c r="I14" s="56"/>
      <c r="J14" s="56"/>
      <c r="K14" s="56"/>
      <c r="L14" s="56"/>
      <c r="M14" s="56"/>
      <c r="N14" s="56"/>
      <c r="O14" s="60"/>
    </row>
    <row r="15" spans="1:15" x14ac:dyDescent="0.2">
      <c r="A15" s="49"/>
      <c r="B15" s="52"/>
      <c r="C15" s="55">
        <f>SUM(D15:O15)</f>
        <v>235.63</v>
      </c>
      <c r="D15" s="57">
        <v>105.63</v>
      </c>
      <c r="E15" s="57">
        <v>130</v>
      </c>
      <c r="F15" s="57"/>
      <c r="G15" s="57"/>
      <c r="H15" s="57"/>
      <c r="I15" s="57"/>
      <c r="J15" s="58"/>
      <c r="K15" s="57"/>
      <c r="L15" s="58"/>
      <c r="M15" s="58"/>
      <c r="N15" s="58"/>
      <c r="O15" s="58"/>
    </row>
    <row r="16" spans="1:15" x14ac:dyDescent="0.2">
      <c r="A16" s="49"/>
      <c r="B16" s="52"/>
      <c r="C16" s="55"/>
      <c r="D16" s="49"/>
      <c r="E16" s="49"/>
      <c r="F16" s="49"/>
      <c r="G16" s="49"/>
      <c r="H16" s="49"/>
      <c r="I16" s="49"/>
      <c r="J16" s="49"/>
      <c r="K16" s="49"/>
      <c r="L16" s="54"/>
      <c r="M16" s="54"/>
      <c r="N16" s="54"/>
      <c r="O16" s="54"/>
    </row>
    <row r="17" spans="1:15" x14ac:dyDescent="0.2">
      <c r="A17" s="49" t="s">
        <v>1</v>
      </c>
      <c r="B17" s="52">
        <f>D17+E17+F17+G17+H17+I17+J17+K17+L17+M17+N17+O17</f>
        <v>275670</v>
      </c>
      <c r="C17" s="55"/>
      <c r="D17" s="37">
        <f>2635*45</f>
        <v>118575</v>
      </c>
      <c r="E17" s="37">
        <f>856*45</f>
        <v>38520</v>
      </c>
      <c r="F17" s="56">
        <f>2635*45</f>
        <v>118575</v>
      </c>
      <c r="G17" s="39"/>
      <c r="H17" s="39"/>
      <c r="I17" s="56"/>
      <c r="J17" s="56"/>
      <c r="K17" s="56"/>
      <c r="L17" s="56"/>
      <c r="M17" s="56"/>
      <c r="N17" s="56"/>
      <c r="O17" s="56"/>
    </row>
    <row r="18" spans="1:15" x14ac:dyDescent="0.2">
      <c r="A18" s="49"/>
      <c r="B18" s="52"/>
      <c r="C18" s="55">
        <f>SUM(D18:O18)</f>
        <v>170.91</v>
      </c>
      <c r="D18" s="57">
        <v>75.88</v>
      </c>
      <c r="E18" s="57">
        <v>95.03</v>
      </c>
      <c r="F18" s="58"/>
      <c r="G18" s="57"/>
      <c r="H18" s="57"/>
      <c r="I18" s="57"/>
      <c r="J18" s="58"/>
      <c r="K18" s="57"/>
      <c r="L18" s="58"/>
      <c r="M18" s="58"/>
      <c r="N18" s="58"/>
      <c r="O18" s="58"/>
    </row>
    <row r="19" spans="1:15" x14ac:dyDescent="0.2">
      <c r="A19" s="49"/>
      <c r="B19" s="52"/>
      <c r="C19" s="55"/>
      <c r="D19" s="49"/>
      <c r="E19" s="49"/>
      <c r="F19" s="49"/>
      <c r="G19" s="49"/>
      <c r="H19" s="49"/>
      <c r="I19" s="49"/>
      <c r="J19" s="49"/>
      <c r="K19" s="49"/>
      <c r="L19" s="54"/>
      <c r="M19" s="54"/>
      <c r="N19" s="54"/>
      <c r="O19" s="54"/>
    </row>
    <row r="20" spans="1:15" x14ac:dyDescent="0.2">
      <c r="A20" s="49" t="s">
        <v>2</v>
      </c>
      <c r="B20" s="52">
        <f>D20+E20+F20+G20+H20+I20+J20+K20+L20+M20+N20+O20</f>
        <v>1890</v>
      </c>
      <c r="C20" s="55"/>
      <c r="D20" s="37">
        <f>9*45</f>
        <v>405</v>
      </c>
      <c r="E20" s="37">
        <f>24*45</f>
        <v>1080</v>
      </c>
      <c r="F20" s="49">
        <f>9*45</f>
        <v>405</v>
      </c>
      <c r="G20" s="39"/>
      <c r="H20" s="39"/>
      <c r="I20" s="49"/>
      <c r="J20" s="49"/>
      <c r="K20" s="49"/>
      <c r="L20" s="56"/>
      <c r="M20" s="56"/>
      <c r="N20" s="56"/>
      <c r="O20" s="56"/>
    </row>
    <row r="21" spans="1:15" x14ac:dyDescent="0.2">
      <c r="A21" s="49"/>
      <c r="B21" s="52"/>
      <c r="C21" s="55">
        <f>SUM(D21:O21)</f>
        <v>108.75</v>
      </c>
      <c r="D21" s="58">
        <v>45</v>
      </c>
      <c r="E21" s="58">
        <v>63.75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</row>
    <row r="22" spans="1:15" x14ac:dyDescent="0.2">
      <c r="A22" s="49"/>
      <c r="B22" s="52"/>
      <c r="C22" s="55"/>
      <c r="D22" s="49"/>
      <c r="E22" s="49"/>
      <c r="F22" s="49"/>
      <c r="G22" s="49"/>
      <c r="H22" s="49"/>
      <c r="I22" s="49"/>
      <c r="J22" s="49"/>
      <c r="K22" s="49"/>
      <c r="L22" s="54"/>
      <c r="M22" s="54"/>
      <c r="N22" s="54"/>
      <c r="O22" s="54"/>
    </row>
    <row r="23" spans="1:15" x14ac:dyDescent="0.2">
      <c r="A23" s="49" t="s">
        <v>95</v>
      </c>
      <c r="B23" s="52"/>
      <c r="C23" s="55"/>
      <c r="D23" s="49"/>
      <c r="E23" s="37">
        <f>2*45</f>
        <v>90</v>
      </c>
      <c r="F23" s="49"/>
      <c r="G23" s="39"/>
      <c r="H23" s="39"/>
      <c r="I23" s="49"/>
      <c r="J23" s="49"/>
      <c r="K23" s="49"/>
      <c r="L23" s="54"/>
      <c r="M23" s="54"/>
      <c r="N23" s="54"/>
      <c r="O23" s="54"/>
    </row>
    <row r="24" spans="1:15" x14ac:dyDescent="0.2">
      <c r="A24" s="49"/>
      <c r="B24" s="52"/>
      <c r="C24" s="55"/>
      <c r="D24" s="49"/>
      <c r="E24" s="57">
        <v>40</v>
      </c>
      <c r="F24" s="49"/>
      <c r="G24" s="57"/>
      <c r="H24" s="49"/>
      <c r="I24" s="49"/>
      <c r="J24" s="49"/>
      <c r="K24" s="49"/>
      <c r="L24" s="54"/>
      <c r="M24" s="54"/>
      <c r="N24" s="54"/>
      <c r="O24" s="54"/>
    </row>
    <row r="25" spans="1:15" x14ac:dyDescent="0.2">
      <c r="A25" s="49"/>
      <c r="B25" s="52"/>
      <c r="C25" s="55"/>
      <c r="D25" s="49"/>
      <c r="E25" s="49"/>
      <c r="F25" s="49"/>
      <c r="G25" s="49"/>
      <c r="H25" s="49"/>
      <c r="I25" s="49"/>
      <c r="J25" s="49"/>
      <c r="K25" s="49"/>
      <c r="L25" s="54"/>
      <c r="M25" s="54"/>
      <c r="N25" s="54"/>
      <c r="O25" s="54"/>
    </row>
    <row r="26" spans="1:15" x14ac:dyDescent="0.2">
      <c r="A26" s="49" t="s">
        <v>3</v>
      </c>
      <c r="B26" s="52">
        <f>D26+E26+F26+G26+H26+I26+J26+K26+L26+M26+N26+O26</f>
        <v>7380</v>
      </c>
      <c r="C26" s="55"/>
      <c r="D26" s="37">
        <f>49*45</f>
        <v>2205</v>
      </c>
      <c r="E26" s="37">
        <f>66*45</f>
        <v>2970</v>
      </c>
      <c r="F26" s="56">
        <f>49*45</f>
        <v>2205</v>
      </c>
      <c r="G26" s="39"/>
      <c r="H26" s="39"/>
      <c r="I26" s="59"/>
      <c r="J26" s="49"/>
      <c r="K26" s="49"/>
      <c r="L26" s="54"/>
      <c r="M26" s="54"/>
      <c r="N26" s="54"/>
      <c r="O26" s="54"/>
    </row>
    <row r="27" spans="1:15" x14ac:dyDescent="0.2">
      <c r="A27" s="49"/>
      <c r="B27" s="52"/>
      <c r="C27" s="55">
        <f>SUM(D27:O27)</f>
        <v>137</v>
      </c>
      <c r="D27" s="57">
        <v>60</v>
      </c>
      <c r="E27" s="57">
        <v>77</v>
      </c>
      <c r="F27" s="58"/>
      <c r="G27" s="57"/>
      <c r="H27" s="57"/>
      <c r="I27" s="49"/>
      <c r="J27" s="49"/>
      <c r="K27" s="57"/>
      <c r="L27" s="58"/>
      <c r="M27" s="58"/>
      <c r="N27" s="54"/>
      <c r="O27" s="58"/>
    </row>
    <row r="28" spans="1:15" x14ac:dyDescent="0.2">
      <c r="A28" s="49"/>
      <c r="B28" s="52"/>
      <c r="C28" s="55"/>
      <c r="D28" s="49"/>
      <c r="E28" s="49"/>
      <c r="F28" s="49"/>
      <c r="G28" s="49"/>
      <c r="H28" s="49"/>
      <c r="I28" s="49"/>
      <c r="J28" s="49"/>
      <c r="K28" s="49"/>
      <c r="L28" s="54"/>
      <c r="M28" s="54"/>
      <c r="N28" s="54"/>
      <c r="O28" s="54"/>
    </row>
    <row r="29" spans="1:15" x14ac:dyDescent="0.2">
      <c r="A29" s="49" t="s">
        <v>4</v>
      </c>
      <c r="B29" s="52">
        <f>D29+E29+F29+G29+H29+I29+J29+K29+L29+M29+N29+O29</f>
        <v>5895</v>
      </c>
      <c r="C29" s="55"/>
      <c r="D29" s="37">
        <f>41*45</f>
        <v>1845</v>
      </c>
      <c r="E29" s="37">
        <f>49*45</f>
        <v>2205</v>
      </c>
      <c r="F29" s="56">
        <f>41*45</f>
        <v>1845</v>
      </c>
      <c r="G29" s="39"/>
      <c r="H29" s="39"/>
      <c r="I29" s="56"/>
      <c r="J29" s="56"/>
      <c r="K29" s="56"/>
      <c r="L29" s="56"/>
      <c r="M29" s="56"/>
      <c r="N29" s="56"/>
      <c r="O29" s="56"/>
    </row>
    <row r="30" spans="1:15" x14ac:dyDescent="0.2">
      <c r="A30" s="49"/>
      <c r="B30" s="52"/>
      <c r="C30" s="55">
        <f>SUM(D30:O30)</f>
        <v>125.94</v>
      </c>
      <c r="D30" s="57">
        <v>55.52</v>
      </c>
      <c r="E30" s="57">
        <v>70.42</v>
      </c>
      <c r="F30" s="57"/>
      <c r="G30" s="57"/>
      <c r="H30" s="57"/>
      <c r="I30" s="57"/>
      <c r="J30" s="58"/>
      <c r="K30" s="57"/>
      <c r="L30" s="58"/>
      <c r="M30" s="58"/>
      <c r="N30" s="58"/>
      <c r="O30" s="58"/>
    </row>
    <row r="31" spans="1:15" x14ac:dyDescent="0.2">
      <c r="A31" s="49"/>
      <c r="B31" s="52"/>
      <c r="C31" s="55"/>
      <c r="D31" s="49"/>
      <c r="E31" s="49"/>
      <c r="F31" s="49"/>
      <c r="G31" s="49"/>
      <c r="H31" s="49"/>
      <c r="I31" s="49"/>
      <c r="J31" s="49"/>
      <c r="K31" s="49"/>
      <c r="L31" s="54"/>
      <c r="M31" s="54"/>
      <c r="N31" s="54"/>
      <c r="O31" s="54"/>
    </row>
    <row r="32" spans="1:15" x14ac:dyDescent="0.2">
      <c r="A32" s="49" t="s">
        <v>38</v>
      </c>
      <c r="B32" s="52">
        <f>D32+E32+F32+G32+H32+I32+J32+K32+L32+M32+N32+O32</f>
        <v>1350</v>
      </c>
      <c r="C32" s="55"/>
      <c r="D32" s="37">
        <f>15*45</f>
        <v>675</v>
      </c>
      <c r="E32" s="49"/>
      <c r="F32" s="54">
        <f>15*45</f>
        <v>675</v>
      </c>
      <c r="G32" s="49"/>
      <c r="H32" s="49"/>
      <c r="I32" s="54"/>
      <c r="J32" s="49"/>
      <c r="K32" s="54"/>
      <c r="L32" s="54"/>
      <c r="M32" s="54"/>
      <c r="N32" s="54"/>
      <c r="O32" s="54"/>
    </row>
    <row r="33" spans="1:15" x14ac:dyDescent="0.2">
      <c r="A33" s="49"/>
      <c r="B33" s="52"/>
      <c r="C33" s="55">
        <f>SUM(D33:O33)</f>
        <v>55.01</v>
      </c>
      <c r="D33" s="57">
        <v>55.01</v>
      </c>
      <c r="E33" s="57"/>
      <c r="F33" s="57"/>
      <c r="G33" s="57"/>
      <c r="H33" s="57"/>
      <c r="I33" s="57"/>
      <c r="J33" s="58"/>
      <c r="K33" s="57"/>
      <c r="L33" s="58"/>
      <c r="M33" s="58"/>
      <c r="N33" s="58"/>
      <c r="O33" s="58"/>
    </row>
    <row r="34" spans="1:15" x14ac:dyDescent="0.2">
      <c r="A34" s="49"/>
      <c r="B34" s="52"/>
      <c r="C34" s="55"/>
      <c r="D34" s="57"/>
      <c r="E34" s="57"/>
      <c r="F34" s="57"/>
      <c r="G34" s="57"/>
      <c r="H34" s="57"/>
      <c r="I34" s="57"/>
      <c r="J34" s="58"/>
      <c r="K34" s="57"/>
      <c r="L34" s="58"/>
      <c r="M34" s="58"/>
      <c r="N34" s="58"/>
      <c r="O34" s="58"/>
    </row>
    <row r="35" spans="1:15" x14ac:dyDescent="0.2">
      <c r="A35" s="49" t="s">
        <v>5</v>
      </c>
      <c r="B35" s="52">
        <f>D35+E35+F35+G35+H35+I35+J35+K35+L35+M35+N35+O35</f>
        <v>350280</v>
      </c>
      <c r="C35" s="53"/>
      <c r="D35" s="37">
        <f>2767*45</f>
        <v>124515</v>
      </c>
      <c r="E35" s="37">
        <f>2250*45</f>
        <v>101250</v>
      </c>
      <c r="F35" s="56">
        <f>2767*45</f>
        <v>124515</v>
      </c>
      <c r="G35" s="39"/>
      <c r="H35" s="39"/>
      <c r="I35" s="56"/>
      <c r="J35" s="56"/>
      <c r="K35" s="56"/>
      <c r="L35" s="56"/>
      <c r="M35" s="56"/>
      <c r="N35" s="56"/>
      <c r="O35" s="56"/>
    </row>
    <row r="36" spans="1:15" x14ac:dyDescent="0.2">
      <c r="A36" s="49"/>
      <c r="B36" s="52"/>
      <c r="C36" s="55">
        <f>SUM(D36:O36)</f>
        <v>168.67000000000002</v>
      </c>
      <c r="D36" s="57">
        <v>95.88</v>
      </c>
      <c r="E36" s="57">
        <v>72.790000000000006</v>
      </c>
      <c r="F36" s="57"/>
      <c r="G36" s="57"/>
      <c r="H36" s="57"/>
      <c r="I36" s="57"/>
      <c r="J36" s="57"/>
      <c r="K36" s="57"/>
      <c r="L36" s="58"/>
      <c r="M36" s="58"/>
      <c r="N36" s="58"/>
      <c r="O36" s="58"/>
    </row>
    <row r="37" spans="1:15" x14ac:dyDescent="0.2">
      <c r="A37" s="49"/>
      <c r="B37" s="52"/>
      <c r="C37" s="53"/>
      <c r="D37" s="49"/>
      <c r="E37" s="49"/>
      <c r="F37" s="49"/>
      <c r="G37" s="49"/>
      <c r="H37" s="49"/>
      <c r="I37" s="49"/>
      <c r="J37" s="49"/>
      <c r="K37" s="49"/>
      <c r="L37" s="54"/>
      <c r="M37" s="54"/>
      <c r="N37" s="54"/>
      <c r="O37" s="54"/>
    </row>
    <row r="38" spans="1:15" x14ac:dyDescent="0.2">
      <c r="A38" s="49"/>
      <c r="B38" s="54"/>
      <c r="C38" s="49"/>
      <c r="D38" s="49"/>
      <c r="E38" s="49"/>
      <c r="F38" s="61">
        <f>SUM(F8:F37)</f>
        <v>253845</v>
      </c>
      <c r="G38" s="49"/>
      <c r="H38" s="49"/>
      <c r="I38" s="49"/>
      <c r="J38" s="49"/>
      <c r="K38" s="49"/>
      <c r="L38" s="54"/>
      <c r="M38" s="54"/>
      <c r="N38" s="54"/>
      <c r="O38" s="54"/>
    </row>
    <row r="39" spans="1:15" x14ac:dyDescent="0.2">
      <c r="B39" s="3"/>
      <c r="L39" s="3"/>
      <c r="M39" s="3"/>
      <c r="N39" s="3"/>
      <c r="O39" s="3"/>
    </row>
    <row r="40" spans="1:15" x14ac:dyDescent="0.2">
      <c r="B40" s="3"/>
      <c r="D40" s="46">
        <f>SUM(D35+D32+D29+D26+D20+D17+D14+D8)</f>
        <v>253845</v>
      </c>
      <c r="E40" s="46"/>
      <c r="L40" s="3"/>
      <c r="M40" s="3"/>
      <c r="N40" s="3"/>
      <c r="O40" s="3"/>
    </row>
    <row r="41" spans="1:15" x14ac:dyDescent="0.2">
      <c r="B41" s="3"/>
      <c r="L41" s="3"/>
      <c r="M41" s="3"/>
      <c r="N41" s="3"/>
      <c r="O41" s="3"/>
    </row>
    <row r="42" spans="1:15" x14ac:dyDescent="0.2">
      <c r="B42" s="3"/>
      <c r="L42" s="3"/>
      <c r="M42" s="3"/>
      <c r="N42" s="3"/>
      <c r="O42" s="3"/>
    </row>
    <row r="43" spans="1:15" x14ac:dyDescent="0.2">
      <c r="B43" s="3"/>
      <c r="L43" s="3"/>
      <c r="M43" s="3"/>
      <c r="N43" s="3"/>
      <c r="O43" s="3"/>
    </row>
    <row r="44" spans="1:15" x14ac:dyDescent="0.2">
      <c r="B44" s="3"/>
      <c r="L44" s="3"/>
      <c r="M44" s="3"/>
      <c r="N44" s="3"/>
      <c r="O44" s="3"/>
    </row>
    <row r="45" spans="1:15" ht="13.5" thickBot="1" x14ac:dyDescent="0.25">
      <c r="A45" s="5"/>
      <c r="B45" s="19"/>
      <c r="C45" s="5"/>
      <c r="D45" s="5"/>
      <c r="E45" s="5"/>
      <c r="F45" s="5"/>
      <c r="G45" s="5"/>
      <c r="H45" s="5"/>
      <c r="I45" s="5"/>
      <c r="J45" s="5"/>
      <c r="K45" s="5"/>
      <c r="L45" s="19"/>
      <c r="M45" s="19"/>
      <c r="N45" s="19"/>
      <c r="O45" s="19"/>
    </row>
    <row r="46" spans="1:15" ht="13.5" thickTop="1" x14ac:dyDescent="0.2">
      <c r="A46" s="10"/>
      <c r="B46" s="20" t="s">
        <v>52</v>
      </c>
      <c r="C46" s="10"/>
      <c r="E46" s="10"/>
      <c r="G46" s="10"/>
      <c r="I46" s="10"/>
      <c r="K46" s="10"/>
      <c r="L46" s="3"/>
      <c r="M46" s="13"/>
      <c r="N46" s="3"/>
      <c r="O46" s="13"/>
    </row>
    <row r="47" spans="1:15" ht="13.5" thickBot="1" x14ac:dyDescent="0.25">
      <c r="A47" s="7" t="s">
        <v>45</v>
      </c>
      <c r="B47" s="21" t="s">
        <v>53</v>
      </c>
      <c r="C47" s="7" t="s">
        <v>54</v>
      </c>
      <c r="D47" s="8" t="s">
        <v>46</v>
      </c>
      <c r="E47" s="9" t="s">
        <v>47</v>
      </c>
      <c r="F47" s="8" t="s">
        <v>64</v>
      </c>
      <c r="G47" s="9" t="s">
        <v>65</v>
      </c>
      <c r="H47" s="8" t="s">
        <v>66</v>
      </c>
      <c r="I47" s="9" t="s">
        <v>67</v>
      </c>
      <c r="J47" s="8" t="s">
        <v>60</v>
      </c>
      <c r="K47" s="9" t="s">
        <v>61</v>
      </c>
      <c r="L47" s="21" t="s">
        <v>62</v>
      </c>
      <c r="M47" s="22" t="s">
        <v>48</v>
      </c>
      <c r="N47" s="21" t="s">
        <v>49</v>
      </c>
      <c r="O47" s="22" t="s">
        <v>50</v>
      </c>
    </row>
    <row r="48" spans="1:15" ht="13.5" thickTop="1" x14ac:dyDescent="0.2">
      <c r="A48" s="10"/>
      <c r="B48" s="64"/>
      <c r="C48" s="65"/>
      <c r="E48" s="10"/>
      <c r="F48" s="67"/>
      <c r="G48" s="65"/>
      <c r="I48" s="65"/>
      <c r="J48" s="68"/>
      <c r="K48" s="65"/>
      <c r="L48" s="69"/>
      <c r="M48" s="70"/>
      <c r="N48" s="69"/>
      <c r="O48" s="70"/>
    </row>
    <row r="49" spans="1:15" x14ac:dyDescent="0.2">
      <c r="A49" s="16" t="s">
        <v>39</v>
      </c>
      <c r="B49" s="62"/>
      <c r="C49" s="23"/>
      <c r="D49" s="42">
        <f>7*45</f>
        <v>315</v>
      </c>
      <c r="E49" s="42">
        <f>31*45</f>
        <v>1395</v>
      </c>
      <c r="F49" s="16"/>
      <c r="G49" s="66"/>
      <c r="H49" s="41"/>
      <c r="I49" s="16"/>
      <c r="J49" s="16"/>
      <c r="K49" s="16"/>
      <c r="L49" s="17"/>
      <c r="M49" s="17"/>
      <c r="N49" s="17"/>
      <c r="O49" s="17"/>
    </row>
    <row r="50" spans="1:15" x14ac:dyDescent="0.2">
      <c r="A50" s="49"/>
      <c r="B50" s="52"/>
      <c r="C50" s="53"/>
      <c r="D50" s="57">
        <v>54.5</v>
      </c>
      <c r="E50" s="49">
        <v>41.25</v>
      </c>
      <c r="F50" s="49"/>
      <c r="G50" s="49"/>
      <c r="H50" s="49"/>
      <c r="I50" s="49"/>
      <c r="J50" s="49"/>
      <c r="K50" s="49"/>
      <c r="L50" s="54"/>
      <c r="M50" s="54"/>
      <c r="N50" s="54"/>
      <c r="O50" s="54"/>
    </row>
    <row r="51" spans="1:15" x14ac:dyDescent="0.2">
      <c r="A51" s="49"/>
      <c r="B51" s="52"/>
      <c r="C51" s="53"/>
      <c r="D51" s="49"/>
      <c r="E51" s="49"/>
      <c r="F51" s="49"/>
      <c r="G51" s="49"/>
      <c r="H51" s="49"/>
      <c r="I51" s="49"/>
      <c r="J51" s="49"/>
      <c r="K51" s="49"/>
      <c r="L51" s="54"/>
      <c r="M51" s="54"/>
      <c r="N51" s="54"/>
      <c r="O51" s="54"/>
    </row>
    <row r="52" spans="1:15" x14ac:dyDescent="0.2">
      <c r="A52" s="49" t="s">
        <v>96</v>
      </c>
      <c r="B52" s="52"/>
      <c r="C52" s="53"/>
      <c r="D52" s="49"/>
      <c r="E52" s="42">
        <f>88*45</f>
        <v>3960</v>
      </c>
      <c r="F52" s="49"/>
      <c r="G52" s="41"/>
      <c r="H52" s="41"/>
      <c r="I52" s="49"/>
      <c r="J52" s="49"/>
      <c r="K52" s="49"/>
      <c r="L52" s="54"/>
      <c r="M52" s="54"/>
      <c r="N52" s="54"/>
      <c r="O52" s="54"/>
    </row>
    <row r="53" spans="1:15" x14ac:dyDescent="0.2">
      <c r="A53" s="49"/>
      <c r="B53" s="52"/>
      <c r="C53" s="53"/>
      <c r="D53" s="49"/>
      <c r="E53" s="57">
        <v>43</v>
      </c>
      <c r="F53" s="49"/>
      <c r="G53" s="57"/>
      <c r="H53" s="49"/>
      <c r="I53" s="49"/>
      <c r="J53" s="49"/>
      <c r="K53" s="49"/>
      <c r="L53" s="54"/>
      <c r="M53" s="54"/>
      <c r="N53" s="54"/>
      <c r="O53" s="54"/>
    </row>
    <row r="54" spans="1:15" x14ac:dyDescent="0.2">
      <c r="A54" s="49"/>
      <c r="B54" s="52"/>
      <c r="C54" s="53"/>
      <c r="D54" s="49"/>
      <c r="E54" s="49"/>
      <c r="F54" s="49"/>
      <c r="G54" s="49"/>
      <c r="H54" s="49"/>
      <c r="I54" s="49"/>
      <c r="J54" s="49"/>
      <c r="K54" s="49"/>
      <c r="L54" s="54"/>
      <c r="M54" s="54"/>
      <c r="N54" s="54"/>
      <c r="O54" s="54"/>
    </row>
    <row r="55" spans="1:15" x14ac:dyDescent="0.2">
      <c r="A55" s="49" t="s">
        <v>68</v>
      </c>
      <c r="B55" s="52">
        <f>D55+E55+F55+G55+H55+I55+J55+K55+L55+M55+N55+O55</f>
        <v>12555</v>
      </c>
      <c r="C55" s="53"/>
      <c r="D55" s="38">
        <f>238*45</f>
        <v>10710</v>
      </c>
      <c r="E55" s="38">
        <f>41*45</f>
        <v>1845</v>
      </c>
      <c r="F55" s="49"/>
      <c r="G55" s="40"/>
      <c r="H55" s="40"/>
      <c r="I55" s="59"/>
      <c r="J55" s="63"/>
      <c r="K55" s="59"/>
      <c r="L55" s="56"/>
      <c r="M55" s="56"/>
      <c r="N55" s="56"/>
      <c r="O55" s="56"/>
    </row>
    <row r="56" spans="1:15" x14ac:dyDescent="0.2">
      <c r="A56" s="49" t="s">
        <v>69</v>
      </c>
      <c r="B56" s="52"/>
      <c r="C56" s="55">
        <f>SUM(D56:O56)</f>
        <v>63.75</v>
      </c>
      <c r="D56" s="58">
        <v>40</v>
      </c>
      <c r="E56" s="49">
        <v>23.75</v>
      </c>
      <c r="F56" s="57"/>
      <c r="G56" s="49"/>
      <c r="H56" s="57"/>
      <c r="I56" s="57"/>
      <c r="J56" s="57"/>
      <c r="K56" s="49"/>
      <c r="L56" s="58"/>
      <c r="M56" s="58"/>
      <c r="N56" s="58"/>
      <c r="O56" s="58"/>
    </row>
    <row r="57" spans="1:15" x14ac:dyDescent="0.2">
      <c r="A57" s="49"/>
      <c r="B57" s="52"/>
      <c r="C57" s="53"/>
      <c r="D57" s="49"/>
      <c r="E57" s="49"/>
      <c r="F57" s="49"/>
      <c r="G57" s="49"/>
      <c r="H57" s="49"/>
      <c r="I57" s="49"/>
      <c r="J57" s="49"/>
      <c r="K57" s="49"/>
      <c r="L57" s="54"/>
      <c r="M57" s="54"/>
      <c r="N57" s="54"/>
      <c r="O57" s="54"/>
    </row>
    <row r="58" spans="1:15" x14ac:dyDescent="0.2">
      <c r="A58" s="49" t="s">
        <v>6</v>
      </c>
      <c r="B58" s="52">
        <f>D58+E58+F58+G58+H58+I58+J58+K58+L58+M58+N58+O58</f>
        <v>109575</v>
      </c>
      <c r="C58" s="53"/>
      <c r="D58" s="42">
        <f>1576*45</f>
        <v>70920</v>
      </c>
      <c r="E58" s="42">
        <f>859*45</f>
        <v>38655</v>
      </c>
      <c r="F58" s="56"/>
      <c r="G58" s="41"/>
      <c r="H58" s="41"/>
      <c r="I58" s="56"/>
      <c r="J58" s="56"/>
      <c r="K58" s="56"/>
      <c r="L58" s="56"/>
      <c r="M58" s="56"/>
      <c r="N58" s="56"/>
      <c r="O58" s="56"/>
    </row>
    <row r="59" spans="1:15" x14ac:dyDescent="0.2">
      <c r="A59" s="49"/>
      <c r="B59" s="52"/>
      <c r="C59" s="55">
        <f>SUM(D59:O59)</f>
        <v>168.42000000000002</v>
      </c>
      <c r="D59" s="57">
        <v>78.62</v>
      </c>
      <c r="E59" s="57">
        <v>89.8</v>
      </c>
      <c r="F59" s="57"/>
      <c r="G59" s="57"/>
      <c r="H59" s="57"/>
      <c r="I59" s="57"/>
      <c r="J59" s="57"/>
      <c r="K59" s="57"/>
      <c r="L59" s="58"/>
      <c r="M59" s="58"/>
      <c r="N59" s="58"/>
      <c r="O59" s="58"/>
    </row>
    <row r="60" spans="1:15" x14ac:dyDescent="0.2">
      <c r="A60" s="49"/>
      <c r="B60" s="52"/>
      <c r="C60" s="53"/>
      <c r="D60" s="49"/>
      <c r="E60" s="49"/>
      <c r="F60" s="49"/>
      <c r="G60" s="49"/>
      <c r="H60" s="49"/>
      <c r="I60" s="49"/>
      <c r="J60" s="49"/>
      <c r="K60" s="49"/>
      <c r="L60" s="54"/>
      <c r="M60" s="54"/>
      <c r="N60" s="54"/>
      <c r="O60" s="54"/>
    </row>
    <row r="61" spans="1:15" x14ac:dyDescent="0.2">
      <c r="A61" s="49" t="s">
        <v>70</v>
      </c>
      <c r="B61" s="52">
        <f>D61+E61+F61+G61+H61+I61+J61+K61+L61+M61+N61+O61</f>
        <v>0</v>
      </c>
      <c r="C61" s="53"/>
      <c r="D61" s="49"/>
      <c r="E61" s="59"/>
      <c r="F61" s="59"/>
      <c r="G61" s="59"/>
      <c r="H61" s="59"/>
      <c r="I61" s="59"/>
      <c r="J61" s="59"/>
      <c r="K61" s="49"/>
      <c r="L61" s="54"/>
      <c r="M61" s="54"/>
      <c r="N61" s="54"/>
      <c r="O61" s="54"/>
    </row>
    <row r="62" spans="1:15" x14ac:dyDescent="0.2">
      <c r="A62" s="49"/>
      <c r="B62" s="52"/>
      <c r="C62" s="55">
        <f>SUM(D62:O62)</f>
        <v>0</v>
      </c>
      <c r="D62" s="57"/>
      <c r="E62" s="57"/>
      <c r="F62" s="57"/>
      <c r="G62" s="57"/>
      <c r="H62" s="57"/>
      <c r="I62" s="57"/>
      <c r="J62" s="57"/>
      <c r="K62" s="57"/>
      <c r="L62" s="58"/>
      <c r="M62" s="58"/>
      <c r="N62" s="58"/>
      <c r="O62" s="58"/>
    </row>
    <row r="63" spans="1:15" x14ac:dyDescent="0.2">
      <c r="A63" s="49"/>
      <c r="B63" s="52"/>
      <c r="C63" s="53"/>
      <c r="D63" s="49"/>
      <c r="E63" s="49"/>
      <c r="F63" s="49"/>
      <c r="G63" s="49"/>
      <c r="H63" s="49"/>
      <c r="I63" s="49"/>
      <c r="J63" s="49"/>
      <c r="K63" s="49"/>
      <c r="L63" s="54"/>
      <c r="M63" s="54"/>
      <c r="N63" s="54"/>
      <c r="O63" s="54"/>
    </row>
    <row r="64" spans="1:15" x14ac:dyDescent="0.2">
      <c r="A64" s="49" t="s">
        <v>71</v>
      </c>
      <c r="B64" s="52">
        <f>D64+E64+F64+G64+H64+I64+J64+K64+L64+M64+N64+O64</f>
        <v>0</v>
      </c>
      <c r="C64" s="53"/>
      <c r="D64" s="54"/>
      <c r="E64" s="54"/>
      <c r="F64" s="56"/>
      <c r="G64" s="54"/>
      <c r="H64" s="56"/>
      <c r="I64" s="56"/>
      <c r="J64" s="54"/>
      <c r="K64" s="54"/>
      <c r="L64" s="54"/>
      <c r="M64" s="54"/>
      <c r="N64" s="56"/>
      <c r="O64" s="56"/>
    </row>
    <row r="65" spans="1:15" x14ac:dyDescent="0.2">
      <c r="A65" s="49"/>
      <c r="B65" s="52"/>
      <c r="C65" s="55">
        <f>SUM(D65:O65)</f>
        <v>0</v>
      </c>
      <c r="D65" s="57"/>
      <c r="E65" s="57"/>
      <c r="F65" s="57"/>
      <c r="G65" s="57"/>
      <c r="H65" s="57"/>
      <c r="I65" s="57"/>
      <c r="J65" s="57"/>
      <c r="K65" s="57"/>
      <c r="L65" s="58"/>
      <c r="M65" s="58"/>
      <c r="N65" s="58"/>
      <c r="O65" s="58"/>
    </row>
    <row r="66" spans="1:15" x14ac:dyDescent="0.2">
      <c r="A66" s="49"/>
      <c r="B66" s="52"/>
      <c r="C66" s="53"/>
      <c r="D66" s="49"/>
      <c r="E66" s="49"/>
      <c r="F66" s="49"/>
      <c r="G66" s="49"/>
      <c r="H66" s="49"/>
      <c r="I66" s="49"/>
      <c r="J66" s="49"/>
      <c r="K66" s="49"/>
      <c r="L66" s="54"/>
      <c r="M66" s="54"/>
      <c r="N66" s="54"/>
      <c r="O66" s="54"/>
    </row>
    <row r="67" spans="1:15" x14ac:dyDescent="0.2">
      <c r="A67" s="49" t="s">
        <v>7</v>
      </c>
      <c r="B67" s="52">
        <f>D67+E67+F67+G67+H67+I67+J67+K67+L67+M67+N67+O67</f>
        <v>7110</v>
      </c>
      <c r="C67" s="53"/>
      <c r="D67" s="42">
        <f>101*45</f>
        <v>4545</v>
      </c>
      <c r="E67" s="42">
        <f>57*45</f>
        <v>2565</v>
      </c>
      <c r="F67" s="56"/>
      <c r="G67" s="41"/>
      <c r="H67" s="41"/>
      <c r="I67" s="56"/>
      <c r="J67" s="56"/>
      <c r="K67" s="56"/>
      <c r="L67" s="56"/>
      <c r="M67" s="56"/>
      <c r="N67" s="56"/>
      <c r="O67" s="56"/>
    </row>
    <row r="68" spans="1:15" x14ac:dyDescent="0.2">
      <c r="A68" s="49"/>
      <c r="B68" s="52"/>
      <c r="C68" s="55">
        <f>SUM(D68:O68)</f>
        <v>115.91</v>
      </c>
      <c r="D68" s="49">
        <v>55.01</v>
      </c>
      <c r="E68" s="57">
        <v>60.9</v>
      </c>
      <c r="F68" s="57"/>
      <c r="G68" s="57"/>
      <c r="H68" s="57"/>
      <c r="I68" s="57"/>
      <c r="J68" s="57"/>
      <c r="K68" s="57"/>
      <c r="L68" s="58"/>
      <c r="M68" s="58"/>
      <c r="N68" s="58"/>
      <c r="O68" s="58"/>
    </row>
    <row r="69" spans="1:15" x14ac:dyDescent="0.2">
      <c r="A69" s="49"/>
      <c r="B69" s="52"/>
      <c r="C69" s="53"/>
      <c r="D69" s="49"/>
      <c r="E69" s="49"/>
      <c r="F69" s="49"/>
      <c r="G69" s="49"/>
      <c r="H69" s="49"/>
      <c r="I69" s="49"/>
      <c r="J69" s="49"/>
      <c r="K69" s="49"/>
      <c r="L69" s="54"/>
      <c r="M69" s="54"/>
      <c r="N69" s="54"/>
      <c r="O69" s="54"/>
    </row>
    <row r="70" spans="1:15" x14ac:dyDescent="0.2">
      <c r="A70" s="49" t="s">
        <v>8</v>
      </c>
      <c r="B70" s="52">
        <f>D70+E70+F70+G70+H70+I70+J70+K70+L70+M70+N70+O70</f>
        <v>99315</v>
      </c>
      <c r="C70" s="53"/>
      <c r="D70" s="37">
        <f>1798*45</f>
        <v>80910</v>
      </c>
      <c r="E70" s="37">
        <f>409*45</f>
        <v>18405</v>
      </c>
      <c r="F70" s="56"/>
      <c r="G70" s="39"/>
      <c r="H70" s="39"/>
      <c r="I70" s="56"/>
      <c r="J70" s="56"/>
      <c r="K70" s="56"/>
      <c r="L70" s="56"/>
      <c r="M70" s="56"/>
      <c r="N70" s="56"/>
      <c r="O70" s="56"/>
    </row>
    <row r="71" spans="1:15" x14ac:dyDescent="0.2">
      <c r="A71" s="49"/>
      <c r="B71" s="52"/>
      <c r="C71" s="55">
        <f>SUM(D71:O71)</f>
        <v>148.9</v>
      </c>
      <c r="D71" s="49">
        <v>74.42</v>
      </c>
      <c r="E71" s="57">
        <v>74.48</v>
      </c>
      <c r="F71" s="57"/>
      <c r="G71" s="57"/>
      <c r="H71" s="57"/>
      <c r="I71" s="57"/>
      <c r="J71" s="57"/>
      <c r="K71" s="58"/>
      <c r="L71" s="58"/>
      <c r="M71" s="58"/>
      <c r="N71" s="58"/>
      <c r="O71" s="58"/>
    </row>
    <row r="72" spans="1:15" x14ac:dyDescent="0.2">
      <c r="A72" s="49"/>
      <c r="B72" s="52"/>
      <c r="C72" s="55"/>
      <c r="D72" s="49"/>
      <c r="E72" s="57"/>
      <c r="F72" s="57"/>
      <c r="G72" s="57"/>
      <c r="H72" s="57"/>
      <c r="I72" s="57"/>
      <c r="J72" s="57"/>
      <c r="K72" s="58"/>
      <c r="L72" s="58"/>
      <c r="M72" s="58"/>
      <c r="N72" s="58"/>
      <c r="O72" s="58"/>
    </row>
    <row r="73" spans="1:15" x14ac:dyDescent="0.2">
      <c r="A73" s="49" t="s">
        <v>40</v>
      </c>
      <c r="B73" s="52"/>
      <c r="C73" s="55"/>
      <c r="D73" s="37">
        <f>1*45</f>
        <v>45</v>
      </c>
      <c r="E73" s="37">
        <f>20*45</f>
        <v>900</v>
      </c>
      <c r="F73" s="57"/>
      <c r="G73" s="39"/>
      <c r="H73" s="39"/>
      <c r="I73" s="57"/>
      <c r="J73" s="57"/>
      <c r="K73" s="58"/>
      <c r="L73" s="58"/>
      <c r="M73" s="58"/>
      <c r="N73" s="58"/>
      <c r="O73" s="58"/>
    </row>
    <row r="74" spans="1:15" x14ac:dyDescent="0.2">
      <c r="A74" s="49"/>
      <c r="B74" s="52"/>
      <c r="C74" s="55"/>
      <c r="D74" s="57">
        <v>65</v>
      </c>
      <c r="E74" s="57">
        <v>55</v>
      </c>
      <c r="F74" s="57"/>
      <c r="G74" s="57"/>
      <c r="H74" s="57"/>
      <c r="I74" s="57"/>
      <c r="J74" s="57"/>
      <c r="K74" s="58"/>
      <c r="L74" s="58"/>
      <c r="M74" s="58"/>
      <c r="N74" s="58"/>
      <c r="O74" s="58"/>
    </row>
    <row r="75" spans="1:15" x14ac:dyDescent="0.2">
      <c r="A75" s="49"/>
      <c r="B75" s="52"/>
      <c r="C75" s="55"/>
      <c r="D75" s="49"/>
      <c r="E75" s="57"/>
      <c r="F75" s="57"/>
      <c r="G75" s="57"/>
      <c r="H75" s="57"/>
      <c r="I75" s="57"/>
      <c r="J75" s="57"/>
      <c r="K75" s="58"/>
      <c r="L75" s="58"/>
      <c r="M75" s="58"/>
      <c r="N75" s="58"/>
      <c r="O75" s="58"/>
    </row>
    <row r="76" spans="1:15" x14ac:dyDescent="0.2">
      <c r="A76" s="49" t="s">
        <v>34</v>
      </c>
      <c r="B76" s="52">
        <f>D76+E76+F76+G76+H76+I76+J76+K76+L76+M76+N76+O76</f>
        <v>450</v>
      </c>
      <c r="C76" s="53"/>
      <c r="D76" s="42">
        <f>10*45</f>
        <v>450</v>
      </c>
      <c r="E76" s="49"/>
      <c r="F76" s="59"/>
      <c r="G76" s="49"/>
      <c r="H76" s="49"/>
      <c r="I76" s="49"/>
      <c r="J76" s="49"/>
      <c r="K76" s="54"/>
      <c r="L76" s="54"/>
      <c r="M76" s="54"/>
      <c r="N76" s="54"/>
      <c r="O76" s="54"/>
    </row>
    <row r="77" spans="1:15" x14ac:dyDescent="0.2">
      <c r="A77" s="49"/>
      <c r="B77" s="52"/>
      <c r="C77" s="55">
        <f>SUM(D77:O77)</f>
        <v>23</v>
      </c>
      <c r="D77" s="57">
        <v>23</v>
      </c>
      <c r="E77" s="49"/>
      <c r="F77" s="49"/>
      <c r="G77" s="49"/>
      <c r="H77" s="49"/>
      <c r="I77" s="49"/>
      <c r="J77" s="49"/>
      <c r="K77" s="54"/>
      <c r="L77" s="54"/>
      <c r="M77" s="54"/>
      <c r="N77" s="54"/>
      <c r="O77" s="54"/>
    </row>
    <row r="78" spans="1:15" x14ac:dyDescent="0.2">
      <c r="A78" s="49"/>
      <c r="B78" s="52"/>
      <c r="C78" s="53"/>
      <c r="D78" s="49"/>
      <c r="E78" s="49"/>
      <c r="F78" s="49"/>
      <c r="G78" s="49"/>
      <c r="H78" s="49"/>
      <c r="I78" s="49"/>
      <c r="J78" s="49"/>
      <c r="K78" s="54"/>
      <c r="L78" s="54"/>
      <c r="M78" s="54"/>
      <c r="N78" s="54"/>
      <c r="O78" s="54"/>
    </row>
    <row r="79" spans="1:15" x14ac:dyDescent="0.2">
      <c r="A79" s="49"/>
      <c r="B79" s="52"/>
      <c r="C79" s="53"/>
      <c r="D79" s="49"/>
      <c r="E79" s="37"/>
      <c r="F79" s="49"/>
      <c r="G79" s="37"/>
      <c r="H79" s="49"/>
      <c r="I79" s="49"/>
      <c r="J79" s="49"/>
      <c r="K79" s="54"/>
      <c r="L79" s="56"/>
      <c r="M79" s="56"/>
      <c r="N79" s="56"/>
      <c r="O79" s="54"/>
    </row>
    <row r="80" spans="1:15" x14ac:dyDescent="0.2">
      <c r="A80" s="49"/>
      <c r="B80" s="52"/>
      <c r="C80" s="55"/>
      <c r="D80" s="49"/>
      <c r="E80" s="49"/>
      <c r="F80" s="49"/>
      <c r="G80" s="49"/>
      <c r="H80" s="49"/>
      <c r="I80" s="49"/>
      <c r="J80" s="49"/>
      <c r="K80" s="54"/>
      <c r="L80" s="58"/>
      <c r="M80" s="58"/>
      <c r="N80" s="54"/>
      <c r="O80" s="58"/>
    </row>
    <row r="81" spans="1:15" x14ac:dyDescent="0.2">
      <c r="A81" s="49"/>
      <c r="B81" s="52"/>
      <c r="C81" s="53"/>
      <c r="D81" s="49"/>
      <c r="E81" s="49"/>
      <c r="F81" s="49"/>
      <c r="G81" s="49"/>
      <c r="H81" s="49"/>
      <c r="I81" s="49"/>
      <c r="J81" s="49"/>
      <c r="K81" s="54"/>
      <c r="L81" s="54"/>
      <c r="M81" s="54"/>
      <c r="N81" s="54"/>
      <c r="O81" s="54"/>
    </row>
    <row r="82" spans="1:15" x14ac:dyDescent="0.2">
      <c r="A82" s="49"/>
      <c r="B82" s="54"/>
      <c r="C82" s="49"/>
      <c r="D82" s="49"/>
      <c r="E82" s="49"/>
      <c r="F82" s="49"/>
      <c r="G82" s="49"/>
      <c r="H82" s="49"/>
      <c r="I82" s="49"/>
      <c r="J82" s="49"/>
      <c r="K82" s="54"/>
      <c r="L82" s="54"/>
      <c r="M82" s="54"/>
      <c r="N82" s="54"/>
      <c r="O82" s="54"/>
    </row>
    <row r="83" spans="1:15" x14ac:dyDescent="0.2">
      <c r="B83" s="3"/>
      <c r="K83" s="3"/>
      <c r="L83" s="3"/>
      <c r="M83" s="3"/>
      <c r="N83" s="3"/>
      <c r="O83" s="3"/>
    </row>
    <row r="84" spans="1:15" x14ac:dyDescent="0.2">
      <c r="B84" s="3"/>
      <c r="D84" s="46">
        <f>D49+D55+D58+D67+D70+D73+D76</f>
        <v>167895</v>
      </c>
      <c r="H84" s="18" t="s">
        <v>72</v>
      </c>
      <c r="K84" s="3"/>
      <c r="L84" s="3"/>
      <c r="M84" s="3"/>
      <c r="N84" s="3"/>
      <c r="O84" s="3"/>
    </row>
    <row r="85" spans="1:15" x14ac:dyDescent="0.2">
      <c r="B85" s="3"/>
      <c r="K85" s="3"/>
      <c r="L85" s="3"/>
      <c r="M85" s="3"/>
      <c r="N85" s="3"/>
      <c r="O85" s="3"/>
    </row>
    <row r="86" spans="1:15" ht="13.5" thickBo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ht="13.5" thickTop="1" x14ac:dyDescent="0.2">
      <c r="A87" s="6"/>
      <c r="B87" s="1" t="s">
        <v>52</v>
      </c>
      <c r="C87" s="6"/>
      <c r="E87" s="6"/>
      <c r="G87" s="6"/>
      <c r="I87" s="6"/>
      <c r="K87" s="6"/>
      <c r="M87" s="6"/>
      <c r="O87" s="6"/>
    </row>
    <row r="88" spans="1:15" ht="13.5" thickBot="1" x14ac:dyDescent="0.25">
      <c r="A88" s="7" t="s">
        <v>45</v>
      </c>
      <c r="B88" s="8" t="s">
        <v>53</v>
      </c>
      <c r="C88" s="9" t="s">
        <v>54</v>
      </c>
      <c r="D88" s="8" t="s">
        <v>46</v>
      </c>
      <c r="E88" s="9" t="s">
        <v>55</v>
      </c>
      <c r="F88" s="8" t="s">
        <v>56</v>
      </c>
      <c r="G88" s="9" t="s">
        <v>57</v>
      </c>
      <c r="H88" s="8" t="s">
        <v>58</v>
      </c>
      <c r="I88" s="9" t="s">
        <v>59</v>
      </c>
      <c r="J88" s="8" t="s">
        <v>60</v>
      </c>
      <c r="K88" s="9" t="s">
        <v>61</v>
      </c>
      <c r="L88" s="8" t="s">
        <v>62</v>
      </c>
      <c r="M88" s="9" t="s">
        <v>48</v>
      </c>
      <c r="N88" s="8" t="s">
        <v>49</v>
      </c>
      <c r="O88" s="9" t="s">
        <v>50</v>
      </c>
    </row>
    <row r="89" spans="1:15" ht="13.5" thickTop="1" x14ac:dyDescent="0.2">
      <c r="A89" s="10"/>
      <c r="C89" s="11"/>
      <c r="E89" s="11"/>
      <c r="F89" s="1"/>
      <c r="G89" s="11"/>
      <c r="H89" s="1"/>
      <c r="I89" s="11"/>
      <c r="J89" s="1"/>
      <c r="K89" s="11"/>
      <c r="L89" s="1"/>
      <c r="M89" s="11"/>
      <c r="N89" s="12"/>
      <c r="O89" s="11"/>
    </row>
    <row r="90" spans="1:15" x14ac:dyDescent="0.2">
      <c r="A90" s="49" t="s">
        <v>97</v>
      </c>
      <c r="B90" s="52">
        <f>D90+E90+F90+G90+H90+I90+J90+K90+L90+M90+N90+O90</f>
        <v>28170</v>
      </c>
      <c r="C90" s="55"/>
      <c r="D90" s="37">
        <f>335*45</f>
        <v>15075</v>
      </c>
      <c r="E90" s="37">
        <f>291*45</f>
        <v>13095</v>
      </c>
      <c r="F90" s="56"/>
      <c r="G90" s="39"/>
      <c r="H90" s="39"/>
      <c r="I90" s="56"/>
      <c r="J90" s="56"/>
      <c r="K90" s="56"/>
      <c r="L90" s="56"/>
      <c r="M90" s="56"/>
      <c r="N90" s="56"/>
      <c r="O90" s="56"/>
    </row>
    <row r="91" spans="1:15" x14ac:dyDescent="0.2">
      <c r="A91" s="49"/>
      <c r="B91" s="52"/>
      <c r="C91" s="55">
        <f>SUM(D91:O91)</f>
        <v>157.75</v>
      </c>
      <c r="D91" s="57">
        <v>78.400000000000006</v>
      </c>
      <c r="E91" s="57">
        <v>79.349999999999994</v>
      </c>
      <c r="F91" s="57"/>
      <c r="G91" s="57"/>
      <c r="H91" s="57"/>
      <c r="I91" s="57"/>
      <c r="J91" s="57"/>
      <c r="K91" s="58"/>
      <c r="L91" s="58"/>
      <c r="M91" s="58"/>
      <c r="N91" s="58"/>
      <c r="O91" s="58"/>
    </row>
    <row r="92" spans="1:15" x14ac:dyDescent="0.2">
      <c r="A92" s="49"/>
      <c r="B92" s="52"/>
      <c r="C92" s="53"/>
      <c r="D92" s="49"/>
      <c r="E92" s="49"/>
      <c r="F92" s="57"/>
      <c r="G92" s="49"/>
      <c r="H92" s="49"/>
      <c r="I92" s="49"/>
      <c r="J92" s="49"/>
      <c r="K92" s="54"/>
      <c r="L92" s="54"/>
      <c r="M92" s="54"/>
      <c r="N92" s="54"/>
      <c r="O92" s="54"/>
    </row>
    <row r="93" spans="1:15" x14ac:dyDescent="0.2">
      <c r="A93" s="49" t="s">
        <v>73</v>
      </c>
      <c r="B93" s="52">
        <f>D93+E93+F93+G93+H93+I93+J93+K93+L93+M93+N93+O93</f>
        <v>0</v>
      </c>
      <c r="C93" s="53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spans="1:15" x14ac:dyDescent="0.2">
      <c r="A94" s="49"/>
      <c r="B94" s="52"/>
      <c r="C94" s="55">
        <f>SUM(D94:O94)</f>
        <v>0</v>
      </c>
      <c r="D94" s="57"/>
      <c r="E94" s="57"/>
      <c r="F94" s="57"/>
      <c r="G94" s="57"/>
      <c r="H94" s="57"/>
      <c r="I94" s="57"/>
      <c r="J94" s="57"/>
      <c r="K94" s="58"/>
      <c r="L94" s="58"/>
      <c r="M94" s="58"/>
      <c r="N94" s="58"/>
      <c r="O94" s="58"/>
    </row>
    <row r="95" spans="1:15" x14ac:dyDescent="0.2">
      <c r="A95" s="49"/>
      <c r="B95" s="52"/>
      <c r="C95" s="53"/>
      <c r="D95" s="49"/>
      <c r="E95" s="49"/>
      <c r="F95" s="49"/>
      <c r="G95" s="49"/>
      <c r="H95" s="49"/>
      <c r="I95" s="49"/>
      <c r="J95" s="49"/>
      <c r="K95" s="54"/>
      <c r="L95" s="54"/>
      <c r="M95" s="54"/>
      <c r="N95" s="54"/>
      <c r="O95" s="54"/>
    </row>
    <row r="96" spans="1:15" x14ac:dyDescent="0.2">
      <c r="A96" s="49" t="s">
        <v>9</v>
      </c>
      <c r="B96" s="52">
        <f>D96+E96+F96+G96+H96+I96+J96+K96+L96+M96+N96+O96</f>
        <v>12195</v>
      </c>
      <c r="C96" s="53"/>
      <c r="D96" s="37">
        <f>208*45</f>
        <v>9360</v>
      </c>
      <c r="E96" s="37">
        <f>63*45</f>
        <v>2835</v>
      </c>
      <c r="F96" s="56"/>
      <c r="G96" s="39"/>
      <c r="H96" s="39"/>
      <c r="I96" s="56"/>
      <c r="J96" s="56"/>
      <c r="K96" s="56"/>
      <c r="L96" s="56"/>
      <c r="M96" s="56"/>
      <c r="N96" s="56"/>
      <c r="O96" s="56"/>
    </row>
    <row r="97" spans="1:15" x14ac:dyDescent="0.2">
      <c r="A97" s="49"/>
      <c r="B97" s="52"/>
      <c r="C97" s="55">
        <f>SUM(D97:O97)</f>
        <v>109.34</v>
      </c>
      <c r="D97" s="57">
        <v>55.34</v>
      </c>
      <c r="E97" s="57">
        <v>54</v>
      </c>
      <c r="F97" s="57"/>
      <c r="G97" s="57"/>
      <c r="H97" s="57"/>
      <c r="I97" s="57"/>
      <c r="J97" s="57"/>
      <c r="K97" s="58"/>
      <c r="L97" s="58"/>
      <c r="M97" s="58"/>
      <c r="N97" s="58"/>
      <c r="O97" s="58"/>
    </row>
    <row r="98" spans="1:15" x14ac:dyDescent="0.2">
      <c r="A98" s="49"/>
      <c r="B98" s="52"/>
      <c r="C98" s="53"/>
      <c r="D98" s="49"/>
      <c r="E98" s="49"/>
      <c r="F98" s="49"/>
      <c r="G98" s="49"/>
      <c r="H98" s="49"/>
      <c r="I98" s="49"/>
      <c r="J98" s="49"/>
      <c r="K98" s="54"/>
      <c r="L98" s="54"/>
      <c r="M98" s="54"/>
      <c r="N98" s="54"/>
      <c r="O98" s="54"/>
    </row>
    <row r="99" spans="1:15" x14ac:dyDescent="0.2">
      <c r="A99" s="49" t="s">
        <v>74</v>
      </c>
      <c r="B99" s="52">
        <f>D99+E99+F99+G99+H99+I99+J99+K99+L99+M99+N99+O99</f>
        <v>270</v>
      </c>
      <c r="C99" s="53"/>
      <c r="D99" s="49"/>
      <c r="E99" s="37">
        <f>6*45</f>
        <v>270</v>
      </c>
      <c r="F99" s="49"/>
      <c r="G99" s="39"/>
      <c r="H99" s="39"/>
      <c r="I99" s="54"/>
      <c r="J99" s="49"/>
      <c r="K99" s="54"/>
      <c r="L99" s="54"/>
      <c r="M99" s="54"/>
      <c r="N99" s="54"/>
      <c r="O99" s="54"/>
    </row>
    <row r="100" spans="1:15" x14ac:dyDescent="0.2">
      <c r="A100" s="49"/>
      <c r="B100" s="52"/>
      <c r="C100" s="55">
        <f>SUM(D100:O100)</f>
        <v>56.5</v>
      </c>
      <c r="D100" s="57"/>
      <c r="E100" s="57">
        <v>56.5</v>
      </c>
      <c r="F100" s="57"/>
      <c r="G100" s="57"/>
      <c r="H100" s="57"/>
      <c r="I100" s="57"/>
      <c r="J100" s="57"/>
      <c r="K100" s="54"/>
      <c r="L100" s="58"/>
      <c r="M100" s="54"/>
      <c r="N100" s="58"/>
      <c r="O100" s="58"/>
    </row>
    <row r="101" spans="1:15" x14ac:dyDescent="0.2">
      <c r="A101" s="49"/>
      <c r="B101" s="52"/>
      <c r="C101" s="53"/>
      <c r="D101" s="49"/>
      <c r="E101" s="49"/>
      <c r="F101" s="49"/>
      <c r="G101" s="49"/>
      <c r="H101" s="49"/>
      <c r="I101" s="49"/>
      <c r="J101" s="49"/>
      <c r="K101" s="54"/>
      <c r="L101" s="54"/>
      <c r="M101" s="54"/>
      <c r="N101" s="54"/>
      <c r="O101" s="54"/>
    </row>
    <row r="102" spans="1:15" x14ac:dyDescent="0.2">
      <c r="A102" s="49" t="s">
        <v>31</v>
      </c>
      <c r="B102" s="52">
        <f>D102+E102+F102+G102+H102+I102+J102+K102+L102+M102+N102+O102</f>
        <v>3420</v>
      </c>
      <c r="C102" s="53"/>
      <c r="D102" s="38">
        <f>76*45</f>
        <v>3420</v>
      </c>
      <c r="E102" s="56"/>
      <c r="F102" s="56"/>
      <c r="G102" s="56"/>
      <c r="H102" s="49"/>
      <c r="I102" s="49"/>
      <c r="J102" s="56"/>
      <c r="K102" s="56"/>
      <c r="L102" s="56"/>
      <c r="M102" s="56"/>
      <c r="N102" s="54"/>
      <c r="O102" s="56"/>
    </row>
    <row r="103" spans="1:15" x14ac:dyDescent="0.2">
      <c r="A103" s="49"/>
      <c r="B103" s="52"/>
      <c r="C103" s="55">
        <f>SUM(D103:O103)</f>
        <v>72</v>
      </c>
      <c r="D103" s="57">
        <v>72</v>
      </c>
      <c r="E103" s="58"/>
      <c r="F103" s="57"/>
      <c r="G103" s="58"/>
      <c r="H103" s="57"/>
      <c r="I103" s="49"/>
      <c r="J103" s="58"/>
      <c r="K103" s="54"/>
      <c r="L103" s="58"/>
      <c r="M103" s="58"/>
      <c r="N103" s="58"/>
      <c r="O103" s="58"/>
    </row>
    <row r="104" spans="1:15" x14ac:dyDescent="0.2">
      <c r="A104" s="49"/>
      <c r="B104" s="52"/>
      <c r="C104" s="55"/>
      <c r="D104" s="57"/>
      <c r="E104" s="58"/>
      <c r="F104" s="57"/>
      <c r="G104" s="58"/>
      <c r="H104" s="57"/>
      <c r="I104" s="49"/>
      <c r="J104" s="58"/>
      <c r="K104" s="54"/>
      <c r="L104" s="58"/>
      <c r="M104" s="58"/>
      <c r="N104" s="58"/>
      <c r="O104" s="58"/>
    </row>
    <row r="105" spans="1:15" x14ac:dyDescent="0.2">
      <c r="A105" s="49" t="s">
        <v>10</v>
      </c>
      <c r="B105" s="52">
        <f>D105+E105+F105+G105+H105+I105+J105+K105+L105+M105+N105+O105</f>
        <v>4455</v>
      </c>
      <c r="C105" s="53"/>
      <c r="D105" s="37">
        <f>31*45</f>
        <v>1395</v>
      </c>
      <c r="E105" s="37">
        <f>68*45</f>
        <v>3060</v>
      </c>
      <c r="F105" s="56"/>
      <c r="G105" s="39"/>
      <c r="H105" s="39"/>
      <c r="I105" s="56"/>
      <c r="J105" s="56"/>
      <c r="K105" s="56"/>
      <c r="L105" s="56"/>
      <c r="M105" s="56"/>
      <c r="N105" s="56"/>
      <c r="O105" s="60"/>
    </row>
    <row r="106" spans="1:15" x14ac:dyDescent="0.2">
      <c r="A106" s="49"/>
      <c r="B106" s="52"/>
      <c r="C106" s="55">
        <f>SUM(D106:O106)</f>
        <v>147</v>
      </c>
      <c r="D106" s="57">
        <v>72</v>
      </c>
      <c r="E106" s="57">
        <v>75</v>
      </c>
      <c r="F106" s="57"/>
      <c r="G106" s="57"/>
      <c r="H106" s="57"/>
      <c r="I106" s="57"/>
      <c r="J106" s="57"/>
      <c r="K106" s="58"/>
      <c r="L106" s="58"/>
      <c r="M106" s="58"/>
      <c r="N106" s="54"/>
      <c r="O106" s="58"/>
    </row>
    <row r="107" spans="1:15" x14ac:dyDescent="0.2">
      <c r="A107" s="49"/>
      <c r="B107" s="52"/>
      <c r="C107" s="53"/>
      <c r="D107" s="49"/>
      <c r="E107" s="49"/>
      <c r="F107" s="49"/>
      <c r="G107" s="49"/>
      <c r="H107" s="49"/>
      <c r="I107" s="49"/>
      <c r="J107" s="49"/>
      <c r="K107" s="54"/>
      <c r="L107" s="54"/>
      <c r="M107" s="54"/>
      <c r="N107" s="54"/>
      <c r="O107" s="58"/>
    </row>
    <row r="108" spans="1:15" x14ac:dyDescent="0.2">
      <c r="A108" s="49" t="s">
        <v>11</v>
      </c>
      <c r="B108" s="52">
        <f>D108+E108+F108+G108+H108+I108+J108+K108+L108+M108+N108+O108</f>
        <v>722430</v>
      </c>
      <c r="C108" s="53"/>
      <c r="D108" s="38">
        <f>10020*45</f>
        <v>450900</v>
      </c>
      <c r="E108" s="38">
        <f>6034*45</f>
        <v>271530</v>
      </c>
      <c r="F108" s="56"/>
      <c r="G108" s="40"/>
      <c r="H108" s="40"/>
      <c r="I108" s="56"/>
      <c r="J108" s="56"/>
      <c r="K108" s="56"/>
      <c r="L108" s="56"/>
      <c r="M108" s="56"/>
      <c r="N108" s="56"/>
      <c r="O108" s="60"/>
    </row>
    <row r="109" spans="1:15" x14ac:dyDescent="0.2">
      <c r="A109" s="49"/>
      <c r="B109" s="52"/>
      <c r="C109" s="55">
        <f>SUM(D109:O109)</f>
        <v>144.88</v>
      </c>
      <c r="D109" s="57">
        <v>75.709999999999994</v>
      </c>
      <c r="E109" s="57">
        <v>69.17</v>
      </c>
      <c r="F109" s="49"/>
      <c r="G109" s="57"/>
      <c r="H109" s="57"/>
      <c r="I109" s="57"/>
      <c r="J109" s="57"/>
      <c r="K109" s="58"/>
      <c r="L109" s="58"/>
      <c r="M109" s="58"/>
      <c r="N109" s="58"/>
      <c r="O109" s="58"/>
    </row>
    <row r="110" spans="1:15" x14ac:dyDescent="0.2">
      <c r="A110" s="49"/>
      <c r="B110" s="52"/>
      <c r="C110" s="53"/>
      <c r="D110" s="49"/>
      <c r="E110" s="49"/>
      <c r="F110" s="49"/>
      <c r="G110" s="49"/>
      <c r="H110" s="49"/>
      <c r="I110" s="49"/>
      <c r="J110" s="49"/>
      <c r="K110" s="54"/>
      <c r="L110" s="54"/>
      <c r="M110" s="54"/>
      <c r="N110" s="54"/>
      <c r="O110" s="58"/>
    </row>
    <row r="111" spans="1:15" x14ac:dyDescent="0.2">
      <c r="A111" s="49" t="s">
        <v>75</v>
      </c>
      <c r="B111" s="52">
        <f>D111+E111+F111+G111+H111+I111+J111+K111+L111+M111+N111+O111</f>
        <v>945</v>
      </c>
      <c r="C111" s="53"/>
      <c r="D111" s="38">
        <f>12*45</f>
        <v>540</v>
      </c>
      <c r="E111" s="38">
        <f>9*45</f>
        <v>405</v>
      </c>
      <c r="F111" s="56"/>
      <c r="G111" s="40"/>
      <c r="H111" s="40"/>
      <c r="I111" s="54"/>
      <c r="J111" s="56"/>
      <c r="K111" s="56"/>
      <c r="L111" s="56"/>
      <c r="M111" s="56"/>
      <c r="N111" s="56"/>
      <c r="O111" s="60"/>
    </row>
    <row r="112" spans="1:15" x14ac:dyDescent="0.2">
      <c r="A112" s="49"/>
      <c r="B112" s="52"/>
      <c r="C112" s="55">
        <f>SUM(D112:O112)</f>
        <v>119.67</v>
      </c>
      <c r="D112" s="57">
        <v>58</v>
      </c>
      <c r="E112" s="57">
        <v>61.67</v>
      </c>
      <c r="F112" s="57"/>
      <c r="G112" s="57"/>
      <c r="H112" s="57"/>
      <c r="I112" s="57"/>
      <c r="J112" s="57"/>
      <c r="K112" s="58"/>
      <c r="L112" s="58"/>
      <c r="M112" s="58"/>
      <c r="N112" s="58"/>
      <c r="O112" s="58"/>
    </row>
    <row r="113" spans="1:15" x14ac:dyDescent="0.2">
      <c r="A113" s="49"/>
      <c r="B113" s="52"/>
      <c r="C113" s="53"/>
      <c r="D113" s="49"/>
      <c r="E113" s="49"/>
      <c r="F113" s="49"/>
      <c r="G113" s="49"/>
      <c r="H113" s="49"/>
      <c r="I113" s="49"/>
      <c r="J113" s="49"/>
      <c r="K113" s="54"/>
      <c r="L113" s="54"/>
      <c r="M113" s="54"/>
      <c r="N113" s="54"/>
      <c r="O113" s="58"/>
    </row>
    <row r="114" spans="1:15" x14ac:dyDescent="0.2">
      <c r="A114" s="49" t="s">
        <v>12</v>
      </c>
      <c r="B114" s="52">
        <f>D114+E114+F114+G114+H114+I114+J114+K114+L114+M114+N114+O114</f>
        <v>59220</v>
      </c>
      <c r="C114" s="53"/>
      <c r="D114" s="37">
        <f>634*45</f>
        <v>28530</v>
      </c>
      <c r="E114" s="37">
        <f>682*45</f>
        <v>30690</v>
      </c>
      <c r="F114" s="56"/>
      <c r="G114" s="39"/>
      <c r="H114" s="39"/>
      <c r="I114" s="56"/>
      <c r="J114" s="56"/>
      <c r="K114" s="56"/>
      <c r="L114" s="56"/>
      <c r="M114" s="56"/>
      <c r="N114" s="56"/>
      <c r="O114" s="60"/>
    </row>
    <row r="115" spans="1:15" x14ac:dyDescent="0.2">
      <c r="A115" s="49"/>
      <c r="B115" s="52"/>
      <c r="C115" s="55">
        <f>SUM(D115:O115)</f>
        <v>135.16</v>
      </c>
      <c r="D115" s="57">
        <v>69.33</v>
      </c>
      <c r="E115" s="57">
        <v>65.83</v>
      </c>
      <c r="F115" s="57"/>
      <c r="G115" s="57"/>
      <c r="H115" s="57"/>
      <c r="I115" s="57"/>
      <c r="J115" s="57"/>
      <c r="K115" s="58"/>
      <c r="L115" s="58"/>
      <c r="M115" s="58"/>
      <c r="N115" s="58"/>
      <c r="O115" s="58"/>
    </row>
    <row r="116" spans="1:15" x14ac:dyDescent="0.2">
      <c r="A116" s="49"/>
      <c r="B116" s="52"/>
      <c r="C116" s="53"/>
      <c r="D116" s="49"/>
      <c r="E116" s="49"/>
      <c r="F116" s="49"/>
      <c r="G116" s="49"/>
      <c r="H116" s="49"/>
      <c r="I116" s="49"/>
      <c r="J116" s="49"/>
      <c r="K116" s="54"/>
      <c r="L116" s="54"/>
      <c r="M116" s="54"/>
      <c r="N116" s="54"/>
      <c r="O116" s="58"/>
    </row>
    <row r="117" spans="1:15" x14ac:dyDescent="0.2">
      <c r="B117" s="3"/>
      <c r="C117" s="14"/>
      <c r="D117" s="14"/>
      <c r="F117" s="14"/>
      <c r="H117" s="14"/>
      <c r="K117" s="3"/>
      <c r="L117" s="15"/>
      <c r="M117" s="15"/>
      <c r="N117" s="15"/>
      <c r="O117" s="15"/>
    </row>
    <row r="118" spans="1:15" x14ac:dyDescent="0.2">
      <c r="B118" s="3"/>
      <c r="C118" s="14"/>
      <c r="D118" s="3">
        <f>SUM(D90+D96+D102+D105+D108+D111+D114)</f>
        <v>509220</v>
      </c>
      <c r="F118" s="14"/>
      <c r="H118" s="24" t="s">
        <v>76</v>
      </c>
      <c r="K118" s="3"/>
      <c r="L118" s="15"/>
      <c r="M118" s="15"/>
      <c r="N118" s="15"/>
      <c r="O118" s="15"/>
    </row>
    <row r="119" spans="1:15" x14ac:dyDescent="0.2">
      <c r="B119" s="3"/>
      <c r="C119" s="14"/>
      <c r="D119" s="14"/>
      <c r="F119" s="14"/>
      <c r="H119" s="14"/>
      <c r="K119" s="3"/>
      <c r="L119" s="15"/>
      <c r="M119" s="15"/>
      <c r="N119" s="15"/>
      <c r="O119" s="15"/>
    </row>
    <row r="120" spans="1:15" x14ac:dyDescent="0.2">
      <c r="B120" s="3"/>
      <c r="C120" s="14"/>
      <c r="D120" s="14"/>
      <c r="F120" s="14"/>
      <c r="H120" s="14"/>
      <c r="K120" s="3"/>
      <c r="L120" s="15"/>
      <c r="M120" s="15"/>
      <c r="N120" s="15"/>
      <c r="O120" s="15"/>
    </row>
    <row r="121" spans="1:15" x14ac:dyDescent="0.2">
      <c r="B121" s="3"/>
      <c r="C121" s="14"/>
      <c r="D121" s="14"/>
      <c r="F121" s="14"/>
      <c r="H121" s="14"/>
      <c r="K121" s="3"/>
      <c r="L121" s="15"/>
      <c r="M121" s="15"/>
      <c r="N121" s="15"/>
      <c r="O121" s="15"/>
    </row>
    <row r="122" spans="1:15" x14ac:dyDescent="0.2">
      <c r="B122" s="3"/>
      <c r="C122" s="14"/>
      <c r="D122" s="14"/>
      <c r="F122" s="14"/>
      <c r="H122" s="14"/>
      <c r="K122" s="3"/>
      <c r="L122" s="15"/>
      <c r="M122" s="15"/>
      <c r="N122" s="15"/>
      <c r="O122" s="15"/>
    </row>
    <row r="127" spans="1:15" ht="13.5" thickBo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5" ht="13.5" thickTop="1" x14ac:dyDescent="0.2">
      <c r="A128" s="10"/>
      <c r="B128" s="1" t="s">
        <v>52</v>
      </c>
      <c r="C128" s="10"/>
      <c r="E128" s="10"/>
      <c r="G128" s="10"/>
      <c r="I128" s="10"/>
      <c r="K128" s="10"/>
      <c r="M128" s="10"/>
      <c r="O128" s="10"/>
    </row>
    <row r="129" spans="1:15" ht="13.5" thickBot="1" x14ac:dyDescent="0.25">
      <c r="A129" s="7" t="s">
        <v>45</v>
      </c>
      <c r="B129" s="8" t="s">
        <v>53</v>
      </c>
      <c r="C129" s="9" t="s">
        <v>54</v>
      </c>
      <c r="D129" s="8" t="s">
        <v>46</v>
      </c>
      <c r="E129" s="9" t="s">
        <v>47</v>
      </c>
      <c r="F129" s="8" t="s">
        <v>56</v>
      </c>
      <c r="G129" s="9" t="s">
        <v>57</v>
      </c>
      <c r="H129" s="8" t="s">
        <v>58</v>
      </c>
      <c r="I129" s="9" t="s">
        <v>59</v>
      </c>
      <c r="J129" s="8" t="s">
        <v>60</v>
      </c>
      <c r="K129" s="9" t="s">
        <v>61</v>
      </c>
      <c r="L129" s="8" t="s">
        <v>62</v>
      </c>
      <c r="M129" s="9" t="s">
        <v>48</v>
      </c>
      <c r="N129" s="8" t="s">
        <v>49</v>
      </c>
      <c r="O129" s="9" t="s">
        <v>50</v>
      </c>
    </row>
    <row r="130" spans="1:15" ht="13.5" thickTop="1" x14ac:dyDescent="0.2">
      <c r="A130" s="10"/>
      <c r="C130" s="11"/>
      <c r="E130" s="11"/>
      <c r="F130" s="1"/>
      <c r="G130" s="11"/>
      <c r="H130" s="1"/>
      <c r="I130" s="11"/>
      <c r="J130" s="1"/>
      <c r="K130" s="11"/>
      <c r="L130" s="1"/>
      <c r="M130" s="11"/>
      <c r="N130" s="12"/>
      <c r="O130" s="11"/>
    </row>
    <row r="131" spans="1:15" x14ac:dyDescent="0.2">
      <c r="A131" s="49" t="s">
        <v>13</v>
      </c>
      <c r="B131" s="52">
        <f>D131+E131+F131+G131+H131+I131+J131+K131+L131+M131+N131+O131</f>
        <v>6030</v>
      </c>
      <c r="C131" s="53"/>
      <c r="D131" s="37">
        <f>80*45</f>
        <v>3600</v>
      </c>
      <c r="E131" s="38">
        <f>54*45</f>
        <v>2430</v>
      </c>
      <c r="F131" s="56"/>
      <c r="G131" s="40"/>
      <c r="H131" s="40"/>
      <c r="I131" s="56"/>
      <c r="J131" s="56"/>
      <c r="K131" s="56"/>
      <c r="L131" s="56"/>
      <c r="M131" s="56"/>
      <c r="N131" s="56"/>
      <c r="O131" s="54"/>
    </row>
    <row r="132" spans="1:15" x14ac:dyDescent="0.2">
      <c r="A132" s="49"/>
      <c r="B132" s="52"/>
      <c r="C132" s="55">
        <f>SUM(D132:O132)</f>
        <v>489.28</v>
      </c>
      <c r="D132" s="57">
        <v>265.27999999999997</v>
      </c>
      <c r="E132" s="57">
        <v>224</v>
      </c>
      <c r="F132" s="57"/>
      <c r="G132" s="57"/>
      <c r="H132" s="57"/>
      <c r="I132" s="57"/>
      <c r="J132" s="57"/>
      <c r="K132" s="58"/>
      <c r="L132" s="58"/>
      <c r="M132" s="58"/>
      <c r="N132" s="58"/>
      <c r="O132" s="58"/>
    </row>
    <row r="133" spans="1:15" x14ac:dyDescent="0.2">
      <c r="A133" s="49"/>
      <c r="B133" s="52"/>
      <c r="C133" s="53"/>
      <c r="D133" s="49"/>
      <c r="E133" s="49"/>
      <c r="F133" s="49"/>
      <c r="G133" s="49"/>
      <c r="H133" s="49"/>
      <c r="I133" s="49"/>
      <c r="J133" s="49"/>
      <c r="K133" s="54"/>
      <c r="L133" s="54"/>
      <c r="M133" s="54"/>
      <c r="N133" s="54"/>
      <c r="O133" s="54"/>
    </row>
    <row r="134" spans="1:15" x14ac:dyDescent="0.2">
      <c r="A134" s="49" t="s">
        <v>35</v>
      </c>
      <c r="B134" s="52">
        <f>D134+E134+F134+G134+H134+I134+J134+K134+L134+M134+N134+O134</f>
        <v>11565</v>
      </c>
      <c r="C134" s="53"/>
      <c r="D134" s="38">
        <f>49*45</f>
        <v>2205</v>
      </c>
      <c r="E134" s="38">
        <f>208*45</f>
        <v>9360</v>
      </c>
      <c r="F134" s="56"/>
      <c r="G134" s="40"/>
      <c r="H134" s="40"/>
      <c r="I134" s="54"/>
      <c r="J134" s="54"/>
      <c r="K134" s="54"/>
      <c r="L134" s="56"/>
      <c r="M134" s="56"/>
      <c r="N134" s="56"/>
      <c r="O134" s="56"/>
    </row>
    <row r="135" spans="1:15" x14ac:dyDescent="0.2">
      <c r="A135" s="49"/>
      <c r="B135" s="52"/>
      <c r="C135" s="55">
        <f>SUM(D135:O135)</f>
        <v>180.53</v>
      </c>
      <c r="D135" s="57">
        <v>73.75</v>
      </c>
      <c r="E135" s="57">
        <v>106.78</v>
      </c>
      <c r="F135" s="57"/>
      <c r="G135" s="57"/>
      <c r="H135" s="57"/>
      <c r="I135" s="57"/>
      <c r="J135" s="57"/>
      <c r="K135" s="71"/>
      <c r="L135" s="71"/>
      <c r="M135" s="71"/>
      <c r="N135" s="71"/>
      <c r="O135" s="71"/>
    </row>
    <row r="136" spans="1:15" x14ac:dyDescent="0.2">
      <c r="A136" s="49"/>
      <c r="B136" s="52"/>
      <c r="C136" s="55"/>
      <c r="D136" s="57"/>
      <c r="E136" s="57"/>
      <c r="F136" s="57"/>
      <c r="G136" s="57"/>
      <c r="H136" s="57"/>
      <c r="I136" s="57"/>
      <c r="J136" s="57"/>
      <c r="K136" s="71"/>
      <c r="L136" s="71"/>
      <c r="M136" s="71"/>
      <c r="N136" s="71"/>
      <c r="O136" s="71"/>
    </row>
    <row r="137" spans="1:15" x14ac:dyDescent="0.2">
      <c r="A137" s="49" t="s">
        <v>32</v>
      </c>
      <c r="B137" s="52">
        <f>D137+E137+F137+G137+H137+I137+J137+K137+L137+M137+N137+O137</f>
        <v>2700</v>
      </c>
      <c r="C137" s="53"/>
      <c r="D137" s="38">
        <f>29*45</f>
        <v>1305</v>
      </c>
      <c r="E137" s="38">
        <f>31*45</f>
        <v>1395</v>
      </c>
      <c r="F137" s="56"/>
      <c r="G137" s="40"/>
      <c r="H137" s="40"/>
      <c r="I137" s="59"/>
      <c r="J137" s="59"/>
      <c r="K137" s="56"/>
      <c r="L137" s="54"/>
      <c r="M137" s="56"/>
      <c r="N137" s="56"/>
      <c r="O137" s="72"/>
    </row>
    <row r="138" spans="1:15" x14ac:dyDescent="0.2">
      <c r="A138" s="49"/>
      <c r="B138" s="52"/>
      <c r="C138" s="55">
        <f>SUM(D138:O138)</f>
        <v>182.14</v>
      </c>
      <c r="D138" s="57">
        <v>85.39</v>
      </c>
      <c r="E138" s="57">
        <v>96.75</v>
      </c>
      <c r="F138" s="57"/>
      <c r="G138" s="57"/>
      <c r="H138" s="57"/>
      <c r="I138" s="57"/>
      <c r="J138" s="57"/>
      <c r="K138" s="58"/>
      <c r="L138" s="58"/>
      <c r="M138" s="58"/>
      <c r="N138" s="58"/>
      <c r="O138" s="71"/>
    </row>
    <row r="139" spans="1:15" x14ac:dyDescent="0.2">
      <c r="A139" s="49"/>
      <c r="B139" s="52"/>
      <c r="C139" s="53"/>
      <c r="D139" s="49"/>
      <c r="E139" s="49"/>
      <c r="F139" s="49"/>
      <c r="G139" s="49"/>
      <c r="H139" s="49"/>
      <c r="I139" s="49"/>
      <c r="J139" s="49"/>
      <c r="K139" s="54"/>
      <c r="L139" s="54"/>
      <c r="M139" s="54"/>
      <c r="N139" s="54"/>
      <c r="O139" s="71"/>
    </row>
    <row r="140" spans="1:15" x14ac:dyDescent="0.2">
      <c r="A140" s="49" t="s">
        <v>14</v>
      </c>
      <c r="B140" s="52">
        <f>D140+E140+F140+G140+H140+I140+J140+K140+L140+M140+N140+O140</f>
        <v>38475</v>
      </c>
      <c r="C140" s="53"/>
      <c r="D140" s="38">
        <f>388*45</f>
        <v>17460</v>
      </c>
      <c r="E140" s="38">
        <f>467*45</f>
        <v>21015</v>
      </c>
      <c r="F140" s="56"/>
      <c r="G140" s="40"/>
      <c r="H140" s="40"/>
      <c r="I140" s="56"/>
      <c r="J140" s="56"/>
      <c r="K140" s="56"/>
      <c r="L140" s="56"/>
      <c r="M140" s="56"/>
      <c r="N140" s="56"/>
      <c r="O140" s="72"/>
    </row>
    <row r="141" spans="1:15" x14ac:dyDescent="0.2">
      <c r="A141" s="49"/>
      <c r="B141" s="52"/>
      <c r="C141" s="55">
        <f>SUM(D141:O141)</f>
        <v>109.53</v>
      </c>
      <c r="D141" s="57">
        <v>56.39</v>
      </c>
      <c r="E141" s="57">
        <v>53.14</v>
      </c>
      <c r="F141" s="57"/>
      <c r="G141" s="57"/>
      <c r="H141" s="57"/>
      <c r="I141" s="57"/>
      <c r="J141" s="57"/>
      <c r="K141" s="58"/>
      <c r="L141" s="58"/>
      <c r="M141" s="58"/>
      <c r="N141" s="58"/>
      <c r="O141" s="71"/>
    </row>
    <row r="142" spans="1:15" x14ac:dyDescent="0.2">
      <c r="A142" s="49"/>
      <c r="B142" s="52"/>
      <c r="C142" s="53"/>
      <c r="D142" s="49"/>
      <c r="E142" s="49"/>
      <c r="F142" s="49"/>
      <c r="G142" s="49"/>
      <c r="H142" s="49"/>
      <c r="I142" s="49"/>
      <c r="J142" s="49"/>
      <c r="K142" s="54"/>
      <c r="L142" s="54"/>
      <c r="M142" s="54"/>
      <c r="N142" s="54"/>
      <c r="O142" s="71"/>
    </row>
    <row r="143" spans="1:15" x14ac:dyDescent="0.2">
      <c r="A143" s="49" t="s">
        <v>15</v>
      </c>
      <c r="B143" s="52">
        <f>D143+E143+F143+G143+H143+I143+J143+K143+L143+M143+N143+O143</f>
        <v>40725</v>
      </c>
      <c r="C143" s="53"/>
      <c r="D143" s="37">
        <f>498*45</f>
        <v>22410</v>
      </c>
      <c r="E143" s="37">
        <f>407*45</f>
        <v>18315</v>
      </c>
      <c r="F143" s="56"/>
      <c r="G143" s="39"/>
      <c r="H143" s="39"/>
      <c r="I143" s="56"/>
      <c r="J143" s="56"/>
      <c r="K143" s="56"/>
      <c r="L143" s="56"/>
      <c r="M143" s="56"/>
      <c r="N143" s="56"/>
      <c r="O143" s="72"/>
    </row>
    <row r="144" spans="1:15" x14ac:dyDescent="0.2">
      <c r="A144" s="49"/>
      <c r="B144" s="52"/>
      <c r="C144" s="55">
        <f>SUM(D144:O144)</f>
        <v>167.57</v>
      </c>
      <c r="D144" s="57">
        <v>77.62</v>
      </c>
      <c r="E144" s="57">
        <v>89.95</v>
      </c>
      <c r="F144" s="57"/>
      <c r="G144" s="57"/>
      <c r="H144" s="57"/>
      <c r="I144" s="57"/>
      <c r="J144" s="57"/>
      <c r="K144" s="58"/>
      <c r="L144" s="58"/>
      <c r="M144" s="58"/>
      <c r="N144" s="58"/>
      <c r="O144" s="71"/>
    </row>
    <row r="145" spans="1:15" x14ac:dyDescent="0.2">
      <c r="A145" s="49"/>
      <c r="B145" s="52"/>
      <c r="C145" s="53"/>
      <c r="D145" s="49"/>
      <c r="E145" s="49"/>
      <c r="F145" s="49"/>
      <c r="G145" s="49"/>
      <c r="H145" s="49"/>
      <c r="I145" s="49"/>
      <c r="J145" s="49"/>
      <c r="K145" s="54"/>
      <c r="L145" s="54"/>
      <c r="M145" s="54"/>
      <c r="N145" s="54"/>
      <c r="O145" s="71"/>
    </row>
    <row r="146" spans="1:15" x14ac:dyDescent="0.2">
      <c r="A146" s="49" t="s">
        <v>77</v>
      </c>
      <c r="B146" s="52">
        <f>D146+E146+F146+G146+H146+I146+J146+K146+L146+M146+N146+O146</f>
        <v>0</v>
      </c>
      <c r="C146" s="53"/>
      <c r="D146" s="49"/>
      <c r="E146" s="49"/>
      <c r="F146" s="49"/>
      <c r="G146" s="49"/>
      <c r="H146" s="49"/>
      <c r="I146" s="49"/>
      <c r="J146" s="59"/>
      <c r="K146" s="54"/>
      <c r="L146" s="54"/>
      <c r="M146" s="54"/>
      <c r="N146" s="56"/>
      <c r="O146" s="72"/>
    </row>
    <row r="147" spans="1:15" x14ac:dyDescent="0.2">
      <c r="A147" s="49"/>
      <c r="B147" s="52"/>
      <c r="C147" s="55">
        <f>SUM(D147:O147)</f>
        <v>0</v>
      </c>
      <c r="D147" s="57"/>
      <c r="E147" s="49"/>
      <c r="F147" s="49"/>
      <c r="G147" s="49"/>
      <c r="H147" s="49"/>
      <c r="I147" s="49"/>
      <c r="J147" s="49"/>
      <c r="K147" s="54"/>
      <c r="L147" s="54"/>
      <c r="M147" s="54"/>
      <c r="N147" s="58"/>
      <c r="O147" s="71"/>
    </row>
    <row r="148" spans="1:15" x14ac:dyDescent="0.2">
      <c r="A148" s="49"/>
      <c r="B148" s="52"/>
      <c r="C148" s="53"/>
      <c r="D148" s="49"/>
      <c r="E148" s="49"/>
      <c r="F148" s="49"/>
      <c r="G148" s="49"/>
      <c r="H148" s="49"/>
      <c r="I148" s="49"/>
      <c r="J148" s="49"/>
      <c r="K148" s="54"/>
      <c r="L148" s="54"/>
      <c r="M148" s="54"/>
      <c r="N148" s="54"/>
      <c r="O148" s="71"/>
    </row>
    <row r="149" spans="1:15" x14ac:dyDescent="0.2">
      <c r="A149" s="49" t="s">
        <v>16</v>
      </c>
      <c r="B149" s="52">
        <f>D149+E149+F149+G149+H149+I149+J149+K149+L149+M149+N149+O149</f>
        <v>3195</v>
      </c>
      <c r="C149" s="53"/>
      <c r="D149" s="37">
        <f>25*45</f>
        <v>1125</v>
      </c>
      <c r="E149" s="37">
        <f>46*45</f>
        <v>2070</v>
      </c>
      <c r="F149" s="56"/>
      <c r="G149" s="39"/>
      <c r="H149" s="39"/>
      <c r="I149" s="56"/>
      <c r="J149" s="56"/>
      <c r="K149" s="56"/>
      <c r="L149" s="56"/>
      <c r="M149" s="56"/>
      <c r="N149" s="56"/>
      <c r="O149" s="72"/>
    </row>
    <row r="150" spans="1:15" x14ac:dyDescent="0.2">
      <c r="A150" s="49"/>
      <c r="B150" s="52"/>
      <c r="C150" s="55">
        <f>SUM(D150:O150)</f>
        <v>137.63</v>
      </c>
      <c r="D150" s="57">
        <v>65.13</v>
      </c>
      <c r="E150" s="57">
        <v>72.5</v>
      </c>
      <c r="F150" s="57"/>
      <c r="G150" s="57"/>
      <c r="H150" s="57"/>
      <c r="I150" s="57"/>
      <c r="J150" s="57"/>
      <c r="K150" s="71"/>
      <c r="L150" s="71"/>
      <c r="M150" s="71"/>
      <c r="N150" s="71"/>
      <c r="O150" s="71"/>
    </row>
    <row r="151" spans="1:15" x14ac:dyDescent="0.2">
      <c r="A151" s="49"/>
      <c r="B151" s="52"/>
      <c r="C151" s="53"/>
      <c r="D151" s="49"/>
      <c r="E151" s="49"/>
      <c r="F151" s="49"/>
      <c r="G151" s="49"/>
      <c r="H151" s="49"/>
      <c r="I151" s="49"/>
      <c r="J151" s="49"/>
      <c r="K151" s="54"/>
      <c r="L151" s="54"/>
      <c r="M151" s="54"/>
      <c r="N151" s="54"/>
      <c r="O151" s="71"/>
    </row>
    <row r="152" spans="1:15" x14ac:dyDescent="0.2">
      <c r="A152" s="49" t="s">
        <v>17</v>
      </c>
      <c r="B152" s="52">
        <f>D152+E152+F152+G152+H152+I152+J152+K152+L152+M152+N152+O152</f>
        <v>12150</v>
      </c>
      <c r="C152" s="55"/>
      <c r="D152" s="37">
        <f>114*45</f>
        <v>5130</v>
      </c>
      <c r="E152" s="37">
        <f>156*45</f>
        <v>7020</v>
      </c>
      <c r="F152" s="56"/>
      <c r="G152" s="39"/>
      <c r="H152" s="39"/>
      <c r="I152" s="56"/>
      <c r="J152" s="56"/>
      <c r="K152" s="56"/>
      <c r="L152" s="56"/>
      <c r="M152" s="56"/>
      <c r="N152" s="56"/>
      <c r="O152" s="72"/>
    </row>
    <row r="153" spans="1:15" x14ac:dyDescent="0.2">
      <c r="A153" s="49"/>
      <c r="B153" s="52"/>
      <c r="C153" s="55">
        <f>SUM(D153:O153)</f>
        <v>362.47</v>
      </c>
      <c r="D153" s="57">
        <v>182.35</v>
      </c>
      <c r="E153" s="57">
        <v>180.12</v>
      </c>
      <c r="F153" s="57"/>
      <c r="G153" s="57"/>
      <c r="H153" s="57"/>
      <c r="I153" s="57"/>
      <c r="J153" s="57"/>
      <c r="K153" s="71"/>
      <c r="L153" s="71"/>
      <c r="M153" s="71"/>
      <c r="N153" s="71"/>
      <c r="O153" s="71"/>
    </row>
    <row r="154" spans="1:15" x14ac:dyDescent="0.2">
      <c r="A154" s="49"/>
      <c r="B154" s="52"/>
      <c r="C154" s="55"/>
      <c r="D154" s="57"/>
      <c r="E154" s="57"/>
      <c r="F154" s="57"/>
      <c r="G154" s="49"/>
      <c r="H154" s="49"/>
      <c r="I154" s="49"/>
      <c r="J154" s="49"/>
      <c r="K154" s="54"/>
      <c r="L154" s="54"/>
      <c r="M154" s="54"/>
      <c r="N154" s="54"/>
      <c r="O154" s="71"/>
    </row>
    <row r="155" spans="1:15" x14ac:dyDescent="0.2">
      <c r="A155" s="49" t="s">
        <v>98</v>
      </c>
      <c r="B155" s="52">
        <f>D155+E155+F155+G155+H155+I155+J155+K155+L155+M155+N155+O155</f>
        <v>405</v>
      </c>
      <c r="C155" s="53"/>
      <c r="D155" s="73"/>
      <c r="E155" s="37">
        <f>9*45</f>
        <v>405</v>
      </c>
      <c r="F155" s="49"/>
      <c r="G155" s="39"/>
      <c r="H155" s="39"/>
      <c r="I155" s="49"/>
      <c r="J155" s="49"/>
      <c r="K155" s="54"/>
      <c r="L155" s="54"/>
      <c r="M155" s="54"/>
      <c r="N155" s="54"/>
      <c r="O155" s="72"/>
    </row>
    <row r="156" spans="1:15" x14ac:dyDescent="0.2">
      <c r="A156" s="49"/>
      <c r="B156" s="52"/>
      <c r="C156" s="55">
        <f>SUM(D156:O156)</f>
        <v>102.5</v>
      </c>
      <c r="D156" s="57"/>
      <c r="E156" s="57">
        <v>102.5</v>
      </c>
      <c r="F156" s="49"/>
      <c r="G156" s="57"/>
      <c r="H156" s="57"/>
      <c r="I156" s="57"/>
      <c r="J156" s="57"/>
      <c r="K156" s="71"/>
      <c r="L156" s="71"/>
      <c r="M156" s="71"/>
      <c r="N156" s="71"/>
      <c r="O156" s="58"/>
    </row>
    <row r="157" spans="1:15" x14ac:dyDescent="0.2">
      <c r="A157" s="49"/>
      <c r="B157" s="52"/>
      <c r="C157" s="55"/>
      <c r="D157" s="57"/>
      <c r="E157" s="57"/>
      <c r="F157" s="49"/>
      <c r="G157" s="57"/>
      <c r="H157" s="57"/>
      <c r="I157" s="57"/>
      <c r="J157" s="57"/>
      <c r="K157" s="71"/>
      <c r="L157" s="71"/>
      <c r="M157" s="71"/>
      <c r="N157" s="71"/>
      <c r="O157" s="58"/>
    </row>
    <row r="158" spans="1:15" x14ac:dyDescent="0.2">
      <c r="A158" s="49" t="s">
        <v>102</v>
      </c>
      <c r="B158" s="52">
        <f>D158+E158+F158+G158+H158+I158+J158+K158+L158+M158+N158+O158</f>
        <v>3375</v>
      </c>
      <c r="C158" s="53"/>
      <c r="D158" s="37">
        <f>75*45</f>
        <v>3375</v>
      </c>
      <c r="E158" s="37"/>
      <c r="F158" s="49"/>
      <c r="G158" s="39"/>
      <c r="H158" s="39"/>
      <c r="I158" s="49"/>
      <c r="J158" s="49"/>
      <c r="K158" s="54"/>
      <c r="L158" s="54"/>
      <c r="M158" s="54"/>
      <c r="N158" s="54"/>
      <c r="O158" s="72"/>
    </row>
    <row r="159" spans="1:15" x14ac:dyDescent="0.2">
      <c r="A159" s="49"/>
      <c r="B159" s="52"/>
      <c r="C159" s="55">
        <f>SUM(D159:O159)</f>
        <v>35</v>
      </c>
      <c r="D159" s="57">
        <v>35</v>
      </c>
      <c r="E159" s="57"/>
      <c r="F159" s="49"/>
      <c r="G159" s="57"/>
      <c r="H159" s="57"/>
      <c r="I159" s="57"/>
      <c r="J159" s="57"/>
      <c r="K159" s="71"/>
      <c r="L159" s="71"/>
      <c r="M159" s="71"/>
      <c r="N159" s="71"/>
      <c r="O159" s="58"/>
    </row>
    <row r="160" spans="1:15" x14ac:dyDescent="0.2">
      <c r="A160" s="49"/>
      <c r="B160" s="54"/>
      <c r="C160" s="57"/>
      <c r="D160" s="49"/>
      <c r="E160" s="57"/>
      <c r="F160" s="49"/>
      <c r="G160" s="57"/>
      <c r="H160" s="57"/>
      <c r="I160" s="57"/>
      <c r="J160" s="57"/>
      <c r="K160" s="71"/>
      <c r="L160" s="71"/>
      <c r="M160" s="71"/>
      <c r="N160" s="71"/>
      <c r="O160" s="54"/>
    </row>
    <row r="161" spans="1:15" x14ac:dyDescent="0.2">
      <c r="B161" s="3"/>
      <c r="K161" s="3"/>
      <c r="L161" s="3"/>
      <c r="M161" s="3"/>
      <c r="N161" s="3"/>
      <c r="O161" s="3"/>
    </row>
    <row r="162" spans="1:15" x14ac:dyDescent="0.2">
      <c r="B162" s="3"/>
      <c r="D162" s="47">
        <f>SUM(D131+D134+D137+D140+D143+D149+D152+D158)</f>
        <v>56610</v>
      </c>
      <c r="H162" s="18" t="s">
        <v>78</v>
      </c>
      <c r="K162" s="3"/>
      <c r="L162" s="3"/>
      <c r="M162" s="3"/>
      <c r="N162" s="3"/>
      <c r="O162" s="3"/>
    </row>
    <row r="163" spans="1:15" x14ac:dyDescent="0.2">
      <c r="B163" s="3"/>
      <c r="H163" s="18"/>
      <c r="K163" s="3"/>
      <c r="L163" s="3"/>
      <c r="M163" s="3"/>
      <c r="N163" s="3"/>
      <c r="O163" s="3"/>
    </row>
    <row r="164" spans="1:15" x14ac:dyDescent="0.2">
      <c r="B164" s="3"/>
      <c r="H164" s="18"/>
      <c r="K164" s="3"/>
      <c r="L164" s="3"/>
      <c r="M164" s="3"/>
      <c r="N164" s="3"/>
      <c r="O164" s="3"/>
    </row>
    <row r="165" spans="1:15" x14ac:dyDescent="0.2">
      <c r="B165" s="3"/>
      <c r="H165" s="18"/>
      <c r="K165" s="3"/>
      <c r="L165" s="3"/>
      <c r="M165" s="3"/>
      <c r="N165" s="3"/>
      <c r="O165" s="3"/>
    </row>
    <row r="166" spans="1:15" x14ac:dyDescent="0.2">
      <c r="B166" s="3"/>
      <c r="H166" s="18"/>
      <c r="K166" s="3"/>
      <c r="L166" s="3"/>
      <c r="M166" s="3"/>
      <c r="N166" s="3"/>
      <c r="O166" s="3"/>
    </row>
    <row r="167" spans="1:15" x14ac:dyDescent="0.2">
      <c r="B167" s="3"/>
      <c r="K167" s="3"/>
      <c r="L167" s="3"/>
      <c r="M167" s="3"/>
      <c r="N167" s="3"/>
      <c r="O167" s="3"/>
    </row>
    <row r="168" spans="1:15" x14ac:dyDescent="0.2">
      <c r="B168" s="3"/>
      <c r="K168" s="3"/>
      <c r="L168" s="3"/>
      <c r="M168" s="3"/>
      <c r="N168" s="3"/>
      <c r="O168" s="3"/>
    </row>
    <row r="169" spans="1:15" ht="13.5" thickBo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 ht="13.5" thickTop="1" x14ac:dyDescent="0.2">
      <c r="A170" s="6"/>
      <c r="B170" s="1" t="s">
        <v>52</v>
      </c>
      <c r="C170" s="6"/>
      <c r="E170" s="6"/>
      <c r="G170" s="6"/>
      <c r="I170" s="6"/>
      <c r="K170" s="6"/>
      <c r="M170" s="6"/>
      <c r="O170" s="6"/>
    </row>
    <row r="171" spans="1:15" ht="13.5" thickBot="1" x14ac:dyDescent="0.25">
      <c r="A171" s="7" t="s">
        <v>45</v>
      </c>
      <c r="B171" s="8" t="s">
        <v>53</v>
      </c>
      <c r="C171" s="9" t="s">
        <v>54</v>
      </c>
      <c r="D171" s="8" t="s">
        <v>46</v>
      </c>
      <c r="E171" s="9" t="s">
        <v>55</v>
      </c>
      <c r="F171" s="8" t="s">
        <v>56</v>
      </c>
      <c r="G171" s="9" t="s">
        <v>57</v>
      </c>
      <c r="H171" s="8" t="s">
        <v>58</v>
      </c>
      <c r="I171" s="9" t="s">
        <v>59</v>
      </c>
      <c r="J171" s="8" t="s">
        <v>60</v>
      </c>
      <c r="K171" s="9" t="s">
        <v>61</v>
      </c>
      <c r="L171" s="8" t="s">
        <v>62</v>
      </c>
      <c r="M171" s="9" t="s">
        <v>48</v>
      </c>
      <c r="N171" s="8" t="s">
        <v>49</v>
      </c>
      <c r="O171" s="9" t="s">
        <v>50</v>
      </c>
    </row>
    <row r="172" spans="1:15" ht="13.5" thickTop="1" x14ac:dyDescent="0.2">
      <c r="A172" s="10"/>
      <c r="C172" s="11"/>
      <c r="E172" s="11"/>
      <c r="F172" s="1"/>
      <c r="G172" s="11"/>
      <c r="H172" s="1"/>
      <c r="I172" s="11"/>
      <c r="J172" s="1"/>
      <c r="K172" s="11"/>
      <c r="L172" s="1"/>
      <c r="M172" s="11"/>
      <c r="N172" s="12"/>
      <c r="O172" s="11"/>
    </row>
    <row r="173" spans="1:15" x14ac:dyDescent="0.2">
      <c r="A173" s="49" t="s">
        <v>79</v>
      </c>
      <c r="B173" s="52">
        <f>D173+E173+F173+G173+H173+I173+J173+K173+L173+M173+N173+O173</f>
        <v>0</v>
      </c>
      <c r="C173" s="53"/>
      <c r="D173" s="49"/>
      <c r="E173" s="49"/>
      <c r="F173" s="49"/>
      <c r="G173" s="49"/>
      <c r="H173" s="49"/>
      <c r="I173" s="59"/>
      <c r="J173" s="59"/>
      <c r="K173" s="56"/>
      <c r="L173" s="56"/>
      <c r="M173" s="56"/>
      <c r="N173" s="56"/>
      <c r="O173" s="54"/>
    </row>
    <row r="174" spans="1:15" x14ac:dyDescent="0.2">
      <c r="A174" s="49"/>
      <c r="B174" s="52"/>
      <c r="C174" s="55">
        <f>SUM(D174:O174)</f>
        <v>0</v>
      </c>
      <c r="D174" s="49"/>
      <c r="E174" s="49"/>
      <c r="F174" s="49"/>
      <c r="G174" s="57"/>
      <c r="H174" s="57"/>
      <c r="I174" s="57"/>
      <c r="J174" s="58"/>
      <c r="K174" s="58"/>
      <c r="L174" s="58"/>
      <c r="M174" s="58"/>
      <c r="N174" s="58"/>
      <c r="O174" s="58"/>
    </row>
    <row r="175" spans="1:15" x14ac:dyDescent="0.2">
      <c r="A175" s="49"/>
      <c r="B175" s="52"/>
      <c r="C175" s="53"/>
      <c r="D175" s="49"/>
      <c r="E175" s="49"/>
      <c r="F175" s="49"/>
      <c r="G175" s="49"/>
      <c r="H175" s="49"/>
      <c r="I175" s="49"/>
      <c r="J175" s="49"/>
      <c r="K175" s="54"/>
      <c r="L175" s="54"/>
      <c r="M175" s="54"/>
      <c r="N175" s="54"/>
      <c r="O175" s="54"/>
    </row>
    <row r="176" spans="1:15" x14ac:dyDescent="0.2">
      <c r="A176" s="49" t="s">
        <v>80</v>
      </c>
      <c r="B176" s="52">
        <f>D176+E176+F176+G176+H176+I176+J176+K176+L176+M176+N176+O176</f>
        <v>45</v>
      </c>
      <c r="C176" s="53"/>
      <c r="D176" s="49"/>
      <c r="E176" s="37">
        <f>1*45</f>
        <v>45</v>
      </c>
      <c r="F176" s="49"/>
      <c r="G176" s="39"/>
      <c r="H176" s="39"/>
      <c r="I176" s="54"/>
      <c r="J176" s="49"/>
      <c r="K176" s="56"/>
      <c r="L176" s="54"/>
      <c r="M176" s="54"/>
      <c r="N176" s="54"/>
      <c r="O176" s="54"/>
    </row>
    <row r="177" spans="1:15" x14ac:dyDescent="0.2">
      <c r="A177" s="49"/>
      <c r="B177" s="52"/>
      <c r="C177" s="55">
        <f>SUM(D177:O177)</f>
        <v>95</v>
      </c>
      <c r="D177" s="57"/>
      <c r="E177" s="57">
        <v>95</v>
      </c>
      <c r="F177" s="57"/>
      <c r="G177" s="57"/>
      <c r="H177" s="57"/>
      <c r="I177" s="57"/>
      <c r="J177" s="57"/>
      <c r="K177" s="71"/>
      <c r="L177" s="71"/>
      <c r="M177" s="71"/>
      <c r="N177" s="71"/>
      <c r="O177" s="71"/>
    </row>
    <row r="178" spans="1:15" x14ac:dyDescent="0.2">
      <c r="A178" s="49"/>
      <c r="B178" s="52"/>
      <c r="C178" s="53"/>
      <c r="D178" s="49"/>
      <c r="E178" s="49"/>
      <c r="F178" s="49"/>
      <c r="G178" s="49"/>
      <c r="H178" s="49"/>
      <c r="I178" s="49"/>
      <c r="J178" s="49"/>
      <c r="K178" s="54"/>
      <c r="L178" s="54"/>
      <c r="M178" s="54"/>
      <c r="N178" s="54"/>
      <c r="O178" s="54"/>
    </row>
    <row r="179" spans="1:15" x14ac:dyDescent="0.2">
      <c r="A179" s="49" t="s">
        <v>81</v>
      </c>
      <c r="B179" s="52">
        <f>D179+E179+F179+G179+H179+I179+J179+K179+L179+M179+N179+O179</f>
        <v>13725</v>
      </c>
      <c r="C179" s="53"/>
      <c r="D179" s="37">
        <f>165*45</f>
        <v>7425</v>
      </c>
      <c r="E179" s="37">
        <f>140*45</f>
        <v>6300</v>
      </c>
      <c r="F179" s="56"/>
      <c r="G179" s="39"/>
      <c r="H179" s="39"/>
      <c r="I179" s="59"/>
      <c r="J179" s="54"/>
      <c r="K179" s="54"/>
      <c r="L179" s="54"/>
      <c r="M179" s="54"/>
      <c r="N179" s="54"/>
      <c r="O179" s="54"/>
    </row>
    <row r="180" spans="1:15" x14ac:dyDescent="0.2">
      <c r="A180" s="49"/>
      <c r="B180" s="52"/>
      <c r="C180" s="55">
        <f>SUM(D180:O180)</f>
        <v>65.990000000000009</v>
      </c>
      <c r="D180" s="57">
        <v>35.46</v>
      </c>
      <c r="E180" s="57">
        <v>30.53</v>
      </c>
      <c r="F180" s="57"/>
      <c r="G180" s="57"/>
      <c r="H180" s="57"/>
      <c r="I180" s="57"/>
      <c r="J180" s="57"/>
      <c r="K180" s="71"/>
      <c r="L180" s="71"/>
      <c r="M180" s="71"/>
      <c r="N180" s="71"/>
      <c r="O180" s="71"/>
    </row>
    <row r="181" spans="1:15" x14ac:dyDescent="0.2">
      <c r="A181" s="49"/>
      <c r="B181" s="52"/>
      <c r="C181" s="53"/>
      <c r="D181" s="49"/>
      <c r="E181" s="49"/>
      <c r="F181" s="49"/>
      <c r="G181" s="49"/>
      <c r="H181" s="49"/>
      <c r="I181" s="49"/>
      <c r="J181" s="49"/>
      <c r="K181" s="54"/>
      <c r="L181" s="54"/>
      <c r="M181" s="54"/>
      <c r="N181" s="54"/>
      <c r="O181" s="54"/>
    </row>
    <row r="182" spans="1:15" x14ac:dyDescent="0.2">
      <c r="A182" s="49" t="s">
        <v>36</v>
      </c>
      <c r="B182" s="52">
        <f>D182+E182+F182+G182+H182+I182+J182+K182+L182+M182+N182+O182</f>
        <v>2115</v>
      </c>
      <c r="C182" s="53"/>
      <c r="D182" s="37">
        <f>3*45</f>
        <v>135</v>
      </c>
      <c r="E182" s="37">
        <f>44*45</f>
        <v>1980</v>
      </c>
      <c r="F182" s="54"/>
      <c r="G182" s="39"/>
      <c r="H182" s="39"/>
      <c r="I182" s="49"/>
      <c r="J182" s="59"/>
      <c r="K182" s="54"/>
      <c r="L182" s="56"/>
      <c r="M182" s="56"/>
      <c r="N182" s="56"/>
      <c r="O182" s="54"/>
    </row>
    <row r="183" spans="1:15" x14ac:dyDescent="0.2">
      <c r="A183" s="49"/>
      <c r="B183" s="52"/>
      <c r="C183" s="55">
        <f>SUM(D183:O183)</f>
        <v>115</v>
      </c>
      <c r="D183" s="57">
        <v>60</v>
      </c>
      <c r="E183" s="57">
        <v>55</v>
      </c>
      <c r="F183" s="49"/>
      <c r="G183" s="57"/>
      <c r="H183" s="58"/>
      <c r="I183" s="58"/>
      <c r="J183" s="58"/>
      <c r="K183" s="58"/>
      <c r="L183" s="58"/>
      <c r="M183" s="58"/>
      <c r="N183" s="58"/>
      <c r="O183" s="58"/>
    </row>
    <row r="184" spans="1:15" x14ac:dyDescent="0.2">
      <c r="A184" s="49"/>
      <c r="B184" s="52"/>
      <c r="C184" s="53"/>
      <c r="D184" s="49"/>
      <c r="E184" s="49"/>
      <c r="F184" s="49"/>
      <c r="G184" s="49"/>
      <c r="H184" s="49"/>
      <c r="I184" s="49"/>
      <c r="J184" s="49"/>
      <c r="K184" s="54"/>
      <c r="L184" s="54"/>
      <c r="M184" s="54"/>
      <c r="N184" s="54"/>
      <c r="O184" s="54"/>
    </row>
    <row r="185" spans="1:15" x14ac:dyDescent="0.2">
      <c r="A185" s="49" t="s">
        <v>82</v>
      </c>
      <c r="B185" s="52">
        <f>D185+E185+F185+G185+H185+I185+J185+K185+L185+M185+N185+O185</f>
        <v>0</v>
      </c>
      <c r="C185" s="53"/>
      <c r="D185" s="49"/>
      <c r="E185" s="59"/>
      <c r="F185" s="56"/>
      <c r="G185" s="49"/>
      <c r="H185" s="49"/>
      <c r="I185" s="59"/>
      <c r="J185" s="49"/>
      <c r="K185" s="54"/>
      <c r="L185" s="54"/>
      <c r="M185" s="54"/>
      <c r="N185" s="54"/>
      <c r="O185" s="54"/>
    </row>
    <row r="186" spans="1:15" x14ac:dyDescent="0.2">
      <c r="A186" s="49"/>
      <c r="B186" s="52"/>
      <c r="C186" s="55">
        <f>SUM(D186:O186)</f>
        <v>0</v>
      </c>
      <c r="D186" s="57"/>
      <c r="E186" s="57"/>
      <c r="F186" s="57"/>
      <c r="G186" s="57"/>
      <c r="H186" s="57"/>
      <c r="I186" s="57"/>
      <c r="J186" s="49"/>
      <c r="K186" s="58"/>
      <c r="L186" s="58"/>
      <c r="M186" s="58"/>
      <c r="N186" s="54"/>
      <c r="O186" s="54"/>
    </row>
    <row r="187" spans="1:15" x14ac:dyDescent="0.2">
      <c r="A187" s="49"/>
      <c r="B187" s="52"/>
      <c r="C187" s="55"/>
      <c r="D187" s="57"/>
      <c r="E187" s="57"/>
      <c r="F187" s="57"/>
      <c r="G187" s="57"/>
      <c r="H187" s="57"/>
      <c r="I187" s="57"/>
      <c r="J187" s="49"/>
      <c r="K187" s="58"/>
      <c r="L187" s="58"/>
      <c r="M187" s="58"/>
      <c r="N187" s="54"/>
      <c r="O187" s="54"/>
    </row>
    <row r="188" spans="1:15" x14ac:dyDescent="0.2">
      <c r="A188" s="49" t="s">
        <v>37</v>
      </c>
      <c r="B188" s="52">
        <f>D188+E188+F188+G188+H188+I188+J188+K188+L188+M188+N188+O188</f>
        <v>225</v>
      </c>
      <c r="C188" s="53"/>
      <c r="D188" s="37">
        <f>2*45</f>
        <v>90</v>
      </c>
      <c r="E188" s="37">
        <f>3*45</f>
        <v>135</v>
      </c>
      <c r="F188" s="49"/>
      <c r="G188" s="39"/>
      <c r="H188" s="39"/>
      <c r="I188" s="49"/>
      <c r="J188" s="49"/>
      <c r="K188" s="54"/>
      <c r="L188" s="54"/>
      <c r="M188" s="54"/>
      <c r="N188" s="54"/>
      <c r="O188" s="54"/>
    </row>
    <row r="189" spans="1:15" x14ac:dyDescent="0.2">
      <c r="A189" s="49"/>
      <c r="B189" s="52"/>
      <c r="C189" s="55">
        <f>SUM(D189:O189)</f>
        <v>300</v>
      </c>
      <c r="D189" s="57">
        <v>120</v>
      </c>
      <c r="E189" s="57">
        <v>180</v>
      </c>
      <c r="F189" s="57"/>
      <c r="G189" s="57"/>
      <c r="H189" s="57"/>
      <c r="I189" s="57"/>
      <c r="J189" s="49"/>
      <c r="K189" s="58"/>
      <c r="L189" s="58"/>
      <c r="M189" s="58"/>
      <c r="N189" s="58"/>
      <c r="O189" s="54"/>
    </row>
    <row r="190" spans="1:15" x14ac:dyDescent="0.2">
      <c r="A190" s="49"/>
      <c r="B190" s="52"/>
      <c r="C190" s="53"/>
      <c r="D190" s="49"/>
      <c r="E190" s="49"/>
      <c r="F190" s="49"/>
      <c r="G190" s="49"/>
      <c r="H190" s="49"/>
      <c r="I190" s="49"/>
      <c r="J190" s="49"/>
      <c r="K190" s="54"/>
      <c r="L190" s="54"/>
      <c r="M190" s="54"/>
      <c r="N190" s="54"/>
      <c r="O190" s="54"/>
    </row>
    <row r="191" spans="1:15" x14ac:dyDescent="0.2">
      <c r="A191" s="49" t="s">
        <v>83</v>
      </c>
      <c r="B191" s="52">
        <f>D191+E191+F191+G191+H191+I191+J191+K191+L191+M191+N191+O191</f>
        <v>0</v>
      </c>
      <c r="C191" s="53"/>
      <c r="D191" s="49"/>
      <c r="E191" s="49"/>
      <c r="F191" s="59"/>
      <c r="G191" s="49"/>
      <c r="H191" s="59"/>
      <c r="I191" s="59"/>
      <c r="J191" s="59"/>
      <c r="K191" s="56"/>
      <c r="L191" s="56"/>
      <c r="M191" s="56"/>
      <c r="N191" s="56"/>
      <c r="O191" s="56"/>
    </row>
    <row r="192" spans="1:15" x14ac:dyDescent="0.2">
      <c r="A192" s="49"/>
      <c r="B192" s="52"/>
      <c r="C192" s="55">
        <f>SUM(D192:O192)</f>
        <v>0</v>
      </c>
      <c r="D192" s="49"/>
      <c r="E192" s="49"/>
      <c r="F192" s="57"/>
      <c r="G192" s="49"/>
      <c r="H192" s="49"/>
      <c r="I192" s="57"/>
      <c r="J192" s="57"/>
      <c r="K192" s="71"/>
      <c r="L192" s="71"/>
      <c r="M192" s="54"/>
      <c r="N192" s="58"/>
      <c r="O192" s="54"/>
    </row>
    <row r="193" spans="1:15" x14ac:dyDescent="0.2">
      <c r="A193" s="49"/>
      <c r="B193" s="52"/>
      <c r="C193" s="53"/>
      <c r="D193" s="49"/>
      <c r="E193" s="49"/>
      <c r="F193" s="49"/>
      <c r="G193" s="49"/>
      <c r="H193" s="49"/>
      <c r="I193" s="49"/>
      <c r="J193" s="49"/>
      <c r="K193" s="54"/>
      <c r="L193" s="54"/>
      <c r="M193" s="54"/>
      <c r="N193" s="54"/>
      <c r="O193" s="54"/>
    </row>
    <row r="194" spans="1:15" x14ac:dyDescent="0.2">
      <c r="A194" s="49" t="s">
        <v>84</v>
      </c>
      <c r="B194" s="52">
        <f>D194+E194+F194+G194+H194+I194+J194+K194+L194+M194+N194+O194</f>
        <v>90</v>
      </c>
      <c r="C194" s="53"/>
      <c r="D194" s="49"/>
      <c r="E194" s="37">
        <f>2*45</f>
        <v>90</v>
      </c>
      <c r="F194" s="59"/>
      <c r="G194" s="39"/>
      <c r="H194" s="39"/>
      <c r="I194" s="49"/>
      <c r="J194" s="49"/>
      <c r="K194" s="54"/>
      <c r="L194" s="54"/>
      <c r="M194" s="54"/>
      <c r="N194" s="54"/>
      <c r="O194" s="54"/>
    </row>
    <row r="195" spans="1:15" x14ac:dyDescent="0.2">
      <c r="A195" s="49"/>
      <c r="B195" s="52"/>
      <c r="C195" s="55">
        <f>SUM(D195:O195)</f>
        <v>30</v>
      </c>
      <c r="D195" s="49"/>
      <c r="E195" s="57">
        <v>30</v>
      </c>
      <c r="F195" s="57"/>
      <c r="G195" s="57"/>
      <c r="H195" s="49"/>
      <c r="I195" s="49"/>
      <c r="J195" s="49"/>
      <c r="K195" s="58"/>
      <c r="L195" s="58"/>
      <c r="M195" s="58"/>
      <c r="N195" s="54"/>
      <c r="O195" s="54"/>
    </row>
    <row r="196" spans="1:15" x14ac:dyDescent="0.2">
      <c r="A196" s="49"/>
      <c r="B196" s="52"/>
      <c r="C196" s="53"/>
      <c r="D196" s="49"/>
      <c r="E196" s="49"/>
      <c r="F196" s="49"/>
      <c r="G196" s="49"/>
      <c r="H196" s="49"/>
      <c r="I196" s="49"/>
      <c r="J196" s="49"/>
      <c r="K196" s="54"/>
      <c r="L196" s="54"/>
      <c r="M196" s="54"/>
      <c r="N196" s="54"/>
      <c r="O196" s="54"/>
    </row>
    <row r="197" spans="1:15" x14ac:dyDescent="0.2">
      <c r="A197" s="49" t="s">
        <v>41</v>
      </c>
      <c r="B197" s="52">
        <f>D197+E197+F197+G197+H197+I197+J197+K197+L197+M197+N197+O197</f>
        <v>90</v>
      </c>
      <c r="C197" s="53"/>
      <c r="D197" s="37">
        <f>2*45</f>
        <v>90</v>
      </c>
      <c r="E197" s="49"/>
      <c r="F197" s="59"/>
      <c r="G197" s="59"/>
      <c r="H197" s="59"/>
      <c r="I197" s="49"/>
      <c r="J197" s="49"/>
      <c r="K197" s="54"/>
      <c r="L197" s="54"/>
      <c r="M197" s="54"/>
      <c r="N197" s="54"/>
      <c r="O197" s="54"/>
    </row>
    <row r="198" spans="1:15" x14ac:dyDescent="0.2">
      <c r="A198" s="49"/>
      <c r="B198" s="52"/>
      <c r="C198" s="55">
        <f>SUM(D198:O198)</f>
        <v>80</v>
      </c>
      <c r="D198" s="57">
        <v>80</v>
      </c>
      <c r="E198" s="57"/>
      <c r="F198" s="57"/>
      <c r="G198" s="57"/>
      <c r="H198" s="57"/>
      <c r="I198" s="57"/>
      <c r="J198" s="57"/>
      <c r="K198" s="54"/>
      <c r="L198" s="58"/>
      <c r="M198" s="58"/>
      <c r="N198" s="54"/>
      <c r="O198" s="54"/>
    </row>
    <row r="199" spans="1:15" x14ac:dyDescent="0.2">
      <c r="A199" s="49"/>
      <c r="B199" s="52"/>
      <c r="C199" s="55"/>
      <c r="D199" s="57"/>
      <c r="E199" s="57"/>
      <c r="F199" s="57"/>
      <c r="G199" s="57"/>
      <c r="H199" s="57"/>
      <c r="I199" s="57"/>
      <c r="J199" s="57"/>
      <c r="K199" s="54"/>
      <c r="L199" s="58"/>
      <c r="M199" s="58"/>
      <c r="N199" s="54"/>
      <c r="O199" s="54"/>
    </row>
    <row r="200" spans="1:15" x14ac:dyDescent="0.2">
      <c r="A200" s="49" t="s">
        <v>85</v>
      </c>
      <c r="B200" s="52">
        <f>D200+E200+F200+G200+H200+I200+J200+K200+L200+M200+N200+O200</f>
        <v>125010</v>
      </c>
      <c r="C200" s="53"/>
      <c r="D200" s="37">
        <f>1246*45</f>
        <v>56070</v>
      </c>
      <c r="E200" s="37">
        <f>1532*45</f>
        <v>68940</v>
      </c>
      <c r="F200" s="56"/>
      <c r="G200" s="39"/>
      <c r="H200" s="39"/>
      <c r="I200" s="56"/>
      <c r="J200" s="56"/>
      <c r="K200" s="56"/>
      <c r="L200" s="56"/>
      <c r="M200" s="56"/>
      <c r="N200" s="56"/>
      <c r="O200" s="56"/>
    </row>
    <row r="201" spans="1:15" x14ac:dyDescent="0.2">
      <c r="A201" s="49"/>
      <c r="B201" s="52"/>
      <c r="C201" s="55">
        <f>SUM(D201:O201)</f>
        <v>227.33999999999997</v>
      </c>
      <c r="D201" s="57">
        <v>110.07</v>
      </c>
      <c r="E201" s="57">
        <v>117.27</v>
      </c>
      <c r="F201" s="73"/>
      <c r="G201" s="57"/>
      <c r="H201" s="57"/>
      <c r="I201" s="57"/>
      <c r="J201" s="57"/>
      <c r="K201" s="58"/>
      <c r="L201" s="58"/>
      <c r="M201" s="58"/>
      <c r="N201" s="58"/>
      <c r="O201" s="58"/>
    </row>
    <row r="202" spans="1:15" x14ac:dyDescent="0.2">
      <c r="A202" s="49"/>
      <c r="B202" s="52"/>
      <c r="C202" s="53"/>
      <c r="D202" s="49"/>
      <c r="E202" s="49"/>
      <c r="F202" s="49"/>
      <c r="G202" s="49"/>
      <c r="H202" s="49"/>
      <c r="I202" s="49"/>
      <c r="J202" s="49"/>
      <c r="K202" s="54"/>
      <c r="L202" s="54"/>
      <c r="M202" s="54"/>
      <c r="N202" s="54"/>
      <c r="O202" s="54"/>
    </row>
    <row r="203" spans="1:15" x14ac:dyDescent="0.2">
      <c r="A203" s="49" t="s">
        <v>33</v>
      </c>
      <c r="B203" s="52"/>
      <c r="C203" s="53"/>
      <c r="D203" s="37">
        <f>184*45</f>
        <v>8280</v>
      </c>
      <c r="E203" s="37">
        <f>278*45</f>
        <v>12510</v>
      </c>
      <c r="F203" s="49"/>
      <c r="G203" s="39"/>
      <c r="H203" s="39"/>
      <c r="I203" s="49"/>
      <c r="J203" s="49"/>
      <c r="K203" s="54"/>
      <c r="L203" s="54"/>
      <c r="M203" s="54"/>
      <c r="N203" s="54"/>
      <c r="O203" s="54"/>
    </row>
    <row r="204" spans="1:15" x14ac:dyDescent="0.2">
      <c r="A204" s="49"/>
      <c r="B204" s="52"/>
      <c r="C204" s="53"/>
      <c r="D204" s="49">
        <v>88.59</v>
      </c>
      <c r="E204" s="49">
        <v>76.67</v>
      </c>
      <c r="F204" s="49"/>
      <c r="G204" s="49"/>
      <c r="H204" s="49"/>
      <c r="I204" s="49"/>
      <c r="J204" s="49"/>
      <c r="K204" s="54"/>
      <c r="L204" s="54"/>
      <c r="M204" s="54"/>
      <c r="N204" s="54"/>
      <c r="O204" s="54"/>
    </row>
    <row r="205" spans="1:15" x14ac:dyDescent="0.2">
      <c r="A205" s="49"/>
      <c r="B205" s="54"/>
      <c r="C205" s="49"/>
      <c r="D205" s="57"/>
      <c r="E205" s="57"/>
      <c r="F205" s="57"/>
      <c r="G205" s="57"/>
      <c r="H205" s="49"/>
      <c r="I205" s="49"/>
      <c r="J205" s="49"/>
      <c r="K205" s="54"/>
      <c r="L205" s="54"/>
      <c r="M205" s="54"/>
      <c r="N205" s="54"/>
      <c r="O205" s="54"/>
    </row>
    <row r="206" spans="1:15" x14ac:dyDescent="0.2">
      <c r="B206" s="2"/>
      <c r="K206" s="2"/>
      <c r="L206" s="2"/>
      <c r="M206" s="2"/>
      <c r="N206" s="2"/>
      <c r="O206" s="2"/>
    </row>
    <row r="207" spans="1:15" x14ac:dyDescent="0.2">
      <c r="B207" s="2"/>
      <c r="D207" s="47">
        <f>SUM(D179+D182+D188+D197+D200+D203)</f>
        <v>72090</v>
      </c>
      <c r="H207" s="18"/>
      <c r="K207" s="2"/>
      <c r="L207" s="2"/>
      <c r="M207" s="2"/>
      <c r="N207" s="2"/>
      <c r="O207" s="2"/>
    </row>
    <row r="208" spans="1:15" x14ac:dyDescent="0.2">
      <c r="B208" s="2"/>
      <c r="K208" s="2"/>
      <c r="L208" s="2"/>
      <c r="M208" s="2"/>
      <c r="N208" s="2"/>
      <c r="O208" s="2"/>
    </row>
    <row r="209" spans="1:15" x14ac:dyDescent="0.2">
      <c r="B209" s="2"/>
      <c r="K209" s="2"/>
      <c r="L209" s="2"/>
      <c r="M209" s="2"/>
      <c r="N209" s="2"/>
      <c r="O209" s="2"/>
    </row>
    <row r="210" spans="1:15" ht="13.5" thickBo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ht="13.5" thickTop="1" x14ac:dyDescent="0.2">
      <c r="A211" s="6"/>
      <c r="B211" s="1" t="s">
        <v>52</v>
      </c>
      <c r="C211" s="6"/>
      <c r="E211" s="6"/>
      <c r="G211" s="6"/>
      <c r="I211" s="6"/>
      <c r="K211" s="6"/>
      <c r="M211" s="6"/>
      <c r="O211" s="6"/>
    </row>
    <row r="212" spans="1:15" ht="13.5" thickBot="1" x14ac:dyDescent="0.25">
      <c r="A212" s="7" t="s">
        <v>45</v>
      </c>
      <c r="B212" s="8" t="s">
        <v>53</v>
      </c>
      <c r="C212" s="9" t="s">
        <v>54</v>
      </c>
      <c r="D212" s="8" t="s">
        <v>46</v>
      </c>
      <c r="E212" s="9" t="s">
        <v>47</v>
      </c>
      <c r="F212" s="8" t="s">
        <v>56</v>
      </c>
      <c r="G212" s="9" t="s">
        <v>57</v>
      </c>
      <c r="H212" s="8" t="s">
        <v>58</v>
      </c>
      <c r="I212" s="9" t="s">
        <v>59</v>
      </c>
      <c r="J212" s="8" t="s">
        <v>60</v>
      </c>
      <c r="K212" s="9" t="s">
        <v>61</v>
      </c>
      <c r="L212" s="8" t="s">
        <v>62</v>
      </c>
      <c r="M212" s="9" t="s">
        <v>48</v>
      </c>
      <c r="N212" s="8" t="s">
        <v>49</v>
      </c>
      <c r="O212" s="9" t="s">
        <v>50</v>
      </c>
    </row>
    <row r="213" spans="1:15" ht="13.5" thickTop="1" x14ac:dyDescent="0.2">
      <c r="A213" s="10"/>
      <c r="C213" s="11"/>
      <c r="E213" s="11"/>
      <c r="F213" s="1"/>
      <c r="G213" s="11"/>
      <c r="H213" s="1"/>
      <c r="I213" s="11"/>
      <c r="J213" s="1"/>
      <c r="K213" s="11"/>
      <c r="L213" s="1"/>
      <c r="M213" s="11"/>
      <c r="N213" s="12"/>
      <c r="O213" s="11"/>
    </row>
    <row r="214" spans="1:15" x14ac:dyDescent="0.2">
      <c r="A214" s="16" t="s">
        <v>86</v>
      </c>
      <c r="B214" s="62">
        <f>D214+E214+F214+G214+H214+I214+J214+K214+L214+M214+N214+O214</f>
        <v>3735</v>
      </c>
      <c r="C214" s="23"/>
      <c r="D214" s="37">
        <f>83*45</f>
        <v>3735</v>
      </c>
      <c r="E214" s="74"/>
      <c r="F214" s="74"/>
      <c r="G214" s="75"/>
      <c r="H214" s="16"/>
      <c r="I214" s="17"/>
      <c r="J214" s="16"/>
      <c r="K214" s="17"/>
      <c r="L214" s="17"/>
      <c r="M214" s="74"/>
      <c r="N214" s="17"/>
      <c r="O214" s="17"/>
    </row>
    <row r="215" spans="1:15" x14ac:dyDescent="0.2">
      <c r="A215" s="49"/>
      <c r="B215" s="52"/>
      <c r="C215" s="55">
        <f>SUM(D215:O215)</f>
        <v>68.5</v>
      </c>
      <c r="D215" s="57">
        <v>68.5</v>
      </c>
      <c r="E215" s="57"/>
      <c r="F215" s="57"/>
      <c r="G215" s="57"/>
      <c r="H215" s="57"/>
      <c r="I215" s="57"/>
      <c r="J215" s="57"/>
      <c r="K215" s="58"/>
      <c r="L215" s="58"/>
      <c r="M215" s="58"/>
      <c r="N215" s="58"/>
      <c r="O215" s="58"/>
    </row>
    <row r="216" spans="1:15" x14ac:dyDescent="0.2">
      <c r="A216" s="49"/>
      <c r="B216" s="52"/>
      <c r="C216" s="53"/>
      <c r="D216" s="49"/>
      <c r="E216" s="49"/>
      <c r="F216" s="49"/>
      <c r="G216" s="49"/>
      <c r="H216" s="49"/>
      <c r="I216" s="49"/>
      <c r="J216" s="49"/>
      <c r="K216" s="54"/>
      <c r="L216" s="54"/>
      <c r="M216" s="54"/>
      <c r="N216" s="54"/>
      <c r="O216" s="54"/>
    </row>
    <row r="217" spans="1:15" x14ac:dyDescent="0.2">
      <c r="A217" s="49" t="s">
        <v>42</v>
      </c>
      <c r="B217" s="52">
        <f>D217+E217+F217+G217+H217+I217+J217+K217+L217+M217+N217+O217</f>
        <v>450</v>
      </c>
      <c r="C217" s="53"/>
      <c r="D217" s="37">
        <f>10*45</f>
        <v>450</v>
      </c>
      <c r="E217" s="49"/>
      <c r="F217" s="54"/>
      <c r="G217" s="59"/>
      <c r="H217" s="54"/>
      <c r="I217" s="54"/>
      <c r="J217" s="49"/>
      <c r="K217" s="54"/>
      <c r="L217" s="54"/>
      <c r="M217" s="54"/>
      <c r="N217" s="54"/>
      <c r="O217" s="54"/>
    </row>
    <row r="218" spans="1:15" x14ac:dyDescent="0.2">
      <c r="A218" s="49"/>
      <c r="B218" s="52"/>
      <c r="C218" s="55">
        <f>SUM(D218:O218)</f>
        <v>77</v>
      </c>
      <c r="D218" s="57">
        <v>77</v>
      </c>
      <c r="E218" s="57"/>
      <c r="F218" s="57"/>
      <c r="G218" s="57"/>
      <c r="H218" s="57"/>
      <c r="I218" s="57"/>
      <c r="J218" s="57"/>
      <c r="K218" s="58"/>
      <c r="L218" s="58"/>
      <c r="M218" s="54"/>
      <c r="N218" s="54"/>
      <c r="O218" s="54"/>
    </row>
    <row r="219" spans="1:15" x14ac:dyDescent="0.2">
      <c r="A219" s="49"/>
      <c r="B219" s="52"/>
      <c r="C219" s="53"/>
      <c r="D219" s="49"/>
      <c r="E219" s="49"/>
      <c r="F219" s="49"/>
      <c r="G219" s="49"/>
      <c r="H219" s="49"/>
      <c r="I219" s="49"/>
      <c r="J219" s="49"/>
      <c r="K219" s="54"/>
      <c r="L219" s="54"/>
      <c r="M219" s="54"/>
      <c r="N219" s="54"/>
      <c r="O219" s="54"/>
    </row>
    <row r="220" spans="1:15" x14ac:dyDescent="0.2">
      <c r="A220" s="49" t="s">
        <v>29</v>
      </c>
      <c r="B220" s="52">
        <f>D220+E220+F220+G220+H220+I220+J220+K220+L220+M220+N220+O220</f>
        <v>90</v>
      </c>
      <c r="C220" s="53"/>
      <c r="D220" s="37">
        <f>2*45</f>
        <v>90</v>
      </c>
      <c r="E220" s="59"/>
      <c r="F220" s="59"/>
      <c r="G220" s="59"/>
      <c r="H220" s="59"/>
      <c r="I220" s="49"/>
      <c r="J220" s="49"/>
      <c r="K220" s="56"/>
      <c r="L220" s="54"/>
      <c r="M220" s="56"/>
      <c r="N220" s="54"/>
      <c r="O220" s="54"/>
    </row>
    <row r="221" spans="1:15" x14ac:dyDescent="0.2">
      <c r="A221" s="49"/>
      <c r="B221" s="52"/>
      <c r="C221" s="55">
        <f>SUM(D221:O221)</f>
        <v>79</v>
      </c>
      <c r="D221" s="57">
        <v>79</v>
      </c>
      <c r="E221" s="57"/>
      <c r="F221" s="57"/>
      <c r="G221" s="49"/>
      <c r="H221" s="57"/>
      <c r="I221" s="57"/>
      <c r="J221" s="57"/>
      <c r="K221" s="58"/>
      <c r="L221" s="58"/>
      <c r="M221" s="58"/>
      <c r="N221" s="58"/>
      <c r="O221" s="54"/>
    </row>
    <row r="222" spans="1:15" x14ac:dyDescent="0.2">
      <c r="A222" s="49"/>
      <c r="B222" s="52"/>
      <c r="C222" s="53"/>
      <c r="D222" s="49"/>
      <c r="E222" s="49"/>
      <c r="F222" s="49"/>
      <c r="G222" s="49"/>
      <c r="H222" s="49"/>
      <c r="I222" s="49"/>
      <c r="J222" s="49"/>
      <c r="K222" s="54"/>
      <c r="L222" s="54"/>
      <c r="M222" s="54"/>
      <c r="N222" s="54"/>
      <c r="O222" s="54"/>
    </row>
    <row r="223" spans="1:15" x14ac:dyDescent="0.2">
      <c r="A223" s="49" t="s">
        <v>19</v>
      </c>
      <c r="B223" s="52">
        <f>D223+E223+F223+G223+H223+I223+J223+K223+L223+M223+N223+O223</f>
        <v>630</v>
      </c>
      <c r="C223" s="53"/>
      <c r="D223" s="37">
        <f>14*45</f>
        <v>630</v>
      </c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 spans="1:15" x14ac:dyDescent="0.2">
      <c r="A224" s="49"/>
      <c r="B224" s="52"/>
      <c r="C224" s="55">
        <f>SUM(D224:O224)</f>
        <v>57.75</v>
      </c>
      <c r="D224" s="49">
        <v>57.75</v>
      </c>
      <c r="E224" s="57"/>
      <c r="F224" s="57"/>
      <c r="G224" s="57"/>
      <c r="H224" s="57"/>
      <c r="I224" s="57"/>
      <c r="J224" s="57"/>
      <c r="K224" s="58"/>
      <c r="L224" s="58"/>
      <c r="M224" s="58"/>
      <c r="N224" s="58"/>
      <c r="O224" s="58"/>
    </row>
    <row r="225" spans="1:15" x14ac:dyDescent="0.2">
      <c r="A225" s="49"/>
      <c r="B225" s="52"/>
      <c r="C225" s="53"/>
      <c r="D225" s="49"/>
      <c r="E225" s="49"/>
      <c r="F225" s="49"/>
      <c r="G225" s="49"/>
      <c r="H225" s="49"/>
      <c r="I225" s="49"/>
      <c r="J225" s="49"/>
      <c r="K225" s="54"/>
      <c r="L225" s="54"/>
      <c r="M225" s="54"/>
      <c r="N225" s="54"/>
      <c r="O225" s="54"/>
    </row>
    <row r="226" spans="1:15" x14ac:dyDescent="0.2">
      <c r="A226" s="49" t="s">
        <v>20</v>
      </c>
      <c r="B226" s="52">
        <f>D226+E226+F226+G226+H226+I226+J226+K226+L226+M226+N226+O226</f>
        <v>123030</v>
      </c>
      <c r="C226" s="53"/>
      <c r="D226" s="37">
        <f>1233*45</f>
        <v>55485</v>
      </c>
      <c r="E226" s="37">
        <f>1501*45</f>
        <v>67545</v>
      </c>
      <c r="F226" s="56"/>
      <c r="G226" s="39"/>
      <c r="H226" s="39"/>
      <c r="I226" s="56"/>
      <c r="J226" s="56"/>
      <c r="K226" s="56"/>
      <c r="L226" s="56"/>
      <c r="M226" s="56"/>
      <c r="N226" s="56"/>
      <c r="O226" s="56"/>
    </row>
    <row r="227" spans="1:15" x14ac:dyDescent="0.2">
      <c r="A227" s="49"/>
      <c r="B227" s="52"/>
      <c r="C227" s="55">
        <f>SUM(D227:O227)</f>
        <v>89.080000000000013</v>
      </c>
      <c r="D227" s="57">
        <v>44.24</v>
      </c>
      <c r="E227" s="57">
        <v>44.84</v>
      </c>
      <c r="F227" s="57"/>
      <c r="G227" s="57"/>
      <c r="H227" s="57"/>
      <c r="I227" s="57"/>
      <c r="J227" s="57"/>
      <c r="K227" s="58"/>
      <c r="L227" s="58"/>
      <c r="M227" s="58"/>
      <c r="N227" s="58"/>
      <c r="O227" s="58"/>
    </row>
    <row r="228" spans="1:15" x14ac:dyDescent="0.2">
      <c r="A228" s="49"/>
      <c r="B228" s="52"/>
      <c r="C228" s="53"/>
      <c r="D228" s="49"/>
      <c r="E228" s="49"/>
      <c r="F228" s="49"/>
      <c r="G228" s="49"/>
      <c r="H228" s="49"/>
      <c r="I228" s="49"/>
      <c r="J228" s="49"/>
      <c r="K228" s="54"/>
      <c r="L228" s="54"/>
      <c r="M228" s="54"/>
      <c r="N228" s="54"/>
      <c r="O228" s="54"/>
    </row>
    <row r="229" spans="1:15" x14ac:dyDescent="0.2">
      <c r="A229" s="49" t="s">
        <v>21</v>
      </c>
      <c r="B229" s="52">
        <f>D229+E229+F229+G229+H229+I229+J229+K229+L229+M229+N229+O229</f>
        <v>41805</v>
      </c>
      <c r="C229" s="53"/>
      <c r="D229" s="37">
        <f>532*45</f>
        <v>23940</v>
      </c>
      <c r="E229" s="37">
        <f>397*45</f>
        <v>17865</v>
      </c>
      <c r="F229" s="56"/>
      <c r="G229" s="39"/>
      <c r="H229" s="39"/>
      <c r="I229" s="56"/>
      <c r="J229" s="56"/>
      <c r="K229" s="56"/>
      <c r="L229" s="56"/>
      <c r="M229" s="56"/>
      <c r="N229" s="56"/>
      <c r="O229" s="56"/>
    </row>
    <row r="230" spans="1:15" x14ac:dyDescent="0.2">
      <c r="A230" s="49"/>
      <c r="B230" s="52"/>
      <c r="C230" s="55">
        <f>SUM(D230:O230)</f>
        <v>138.69999999999999</v>
      </c>
      <c r="D230" s="57">
        <v>82.41</v>
      </c>
      <c r="E230" s="57">
        <v>56.29</v>
      </c>
      <c r="F230" s="57"/>
      <c r="G230" s="57"/>
      <c r="H230" s="57"/>
      <c r="I230" s="57"/>
      <c r="J230" s="57"/>
      <c r="K230" s="58"/>
      <c r="L230" s="58"/>
      <c r="M230" s="58"/>
      <c r="N230" s="58"/>
      <c r="O230" s="58"/>
    </row>
    <row r="231" spans="1:15" x14ac:dyDescent="0.2">
      <c r="A231" s="49"/>
      <c r="B231" s="52"/>
      <c r="C231" s="53"/>
      <c r="D231" s="49"/>
      <c r="E231" s="49"/>
      <c r="F231" s="49"/>
      <c r="G231" s="49"/>
      <c r="H231" s="49"/>
      <c r="I231" s="49"/>
      <c r="J231" s="49"/>
      <c r="K231" s="54"/>
      <c r="L231" s="54"/>
      <c r="M231" s="54"/>
      <c r="N231" s="54"/>
      <c r="O231" s="54"/>
    </row>
    <row r="232" spans="1:15" x14ac:dyDescent="0.2">
      <c r="A232" s="49" t="s">
        <v>22</v>
      </c>
      <c r="B232" s="52"/>
      <c r="C232" s="53"/>
      <c r="D232" s="37">
        <f>605*45</f>
        <v>27225</v>
      </c>
      <c r="E232" s="37">
        <f>332*45</f>
        <v>14940</v>
      </c>
      <c r="F232" s="49"/>
      <c r="G232" s="39"/>
      <c r="H232" s="39"/>
      <c r="I232" s="49"/>
      <c r="J232" s="49"/>
      <c r="K232" s="54"/>
      <c r="L232" s="54"/>
      <c r="M232" s="54"/>
      <c r="N232" s="54"/>
      <c r="O232" s="54"/>
    </row>
    <row r="233" spans="1:15" x14ac:dyDescent="0.2">
      <c r="A233" s="49"/>
      <c r="B233" s="52"/>
      <c r="C233" s="53"/>
      <c r="D233" s="49">
        <v>54.27</v>
      </c>
      <c r="E233" s="49">
        <v>53.56</v>
      </c>
      <c r="F233" s="49"/>
      <c r="G233" s="49"/>
      <c r="H233" s="49"/>
      <c r="I233" s="49"/>
      <c r="J233" s="49"/>
      <c r="K233" s="54"/>
      <c r="L233" s="54"/>
      <c r="M233" s="54"/>
      <c r="N233" s="54"/>
      <c r="O233" s="54"/>
    </row>
    <row r="234" spans="1:15" x14ac:dyDescent="0.2">
      <c r="A234" s="49"/>
      <c r="B234" s="52"/>
      <c r="C234" s="53"/>
      <c r="D234" s="49"/>
      <c r="E234" s="49"/>
      <c r="F234" s="49"/>
      <c r="G234" s="49"/>
      <c r="H234" s="49"/>
      <c r="I234" s="49"/>
      <c r="J234" s="49"/>
      <c r="K234" s="54"/>
      <c r="L234" s="54"/>
      <c r="M234" s="54"/>
      <c r="N234" s="54"/>
      <c r="O234" s="54"/>
    </row>
    <row r="235" spans="1:15" x14ac:dyDescent="0.2">
      <c r="A235" s="49" t="s">
        <v>87</v>
      </c>
      <c r="B235" s="52">
        <f>D235+E235+F235+G235+H235+I235+J235+K235+L235+M235+N235+O235</f>
        <v>45</v>
      </c>
      <c r="C235" s="53"/>
      <c r="D235" s="54"/>
      <c r="E235" s="37">
        <f>1*45</f>
        <v>45</v>
      </c>
      <c r="F235" s="54"/>
      <c r="G235" s="39"/>
      <c r="H235" s="39"/>
      <c r="I235" s="54"/>
      <c r="J235" s="54"/>
      <c r="K235" s="56"/>
      <c r="L235" s="56"/>
      <c r="M235" s="54"/>
      <c r="N235" s="54"/>
      <c r="O235" s="54"/>
    </row>
    <row r="236" spans="1:15" x14ac:dyDescent="0.2">
      <c r="A236" s="49"/>
      <c r="B236" s="52"/>
      <c r="C236" s="55">
        <f>SUM(D236:O236)</f>
        <v>70</v>
      </c>
      <c r="D236" s="57"/>
      <c r="E236" s="57">
        <v>70</v>
      </c>
      <c r="F236" s="57"/>
      <c r="G236" s="57"/>
      <c r="H236" s="57"/>
      <c r="I236" s="57"/>
      <c r="J236" s="57"/>
      <c r="K236" s="58"/>
      <c r="L236" s="58"/>
      <c r="M236" s="58"/>
      <c r="N236" s="58"/>
      <c r="O236" s="54"/>
    </row>
    <row r="237" spans="1:15" x14ac:dyDescent="0.2">
      <c r="A237" s="49"/>
      <c r="B237" s="52"/>
      <c r="C237" s="53"/>
      <c r="D237" s="49"/>
      <c r="E237" s="49"/>
      <c r="F237" s="49"/>
      <c r="G237" s="49"/>
      <c r="H237" s="49"/>
      <c r="I237" s="49"/>
      <c r="J237" s="49"/>
      <c r="K237" s="54"/>
      <c r="L237" s="54"/>
      <c r="M237" s="54"/>
      <c r="N237" s="54"/>
      <c r="O237" s="54"/>
    </row>
    <row r="238" spans="1:15" x14ac:dyDescent="0.2">
      <c r="A238" s="49" t="s">
        <v>88</v>
      </c>
      <c r="B238" s="52">
        <f>D238+E238+F238+G238+H238+I238+J238+K238+L238+M238+N238+O238</f>
        <v>270</v>
      </c>
      <c r="C238" s="53"/>
      <c r="D238" s="56"/>
      <c r="E238" s="37">
        <f>6*45</f>
        <v>270</v>
      </c>
      <c r="F238" s="56"/>
      <c r="G238" s="39"/>
      <c r="H238" s="39"/>
      <c r="I238" s="56"/>
      <c r="J238" s="56"/>
      <c r="K238" s="56"/>
      <c r="L238" s="56"/>
      <c r="M238" s="56"/>
      <c r="N238" s="56"/>
      <c r="O238" s="56"/>
    </row>
    <row r="239" spans="1:15" x14ac:dyDescent="0.2">
      <c r="A239" s="49"/>
      <c r="B239" s="52"/>
      <c r="C239" s="55">
        <f>SUM(D239:O239)</f>
        <v>280</v>
      </c>
      <c r="D239" s="57"/>
      <c r="E239" s="57">
        <v>280</v>
      </c>
      <c r="F239" s="57"/>
      <c r="G239" s="57"/>
      <c r="H239" s="57"/>
      <c r="I239" s="57"/>
      <c r="J239" s="57"/>
      <c r="K239" s="71"/>
      <c r="L239" s="58"/>
      <c r="M239" s="58"/>
      <c r="N239" s="58"/>
      <c r="O239" s="58"/>
    </row>
    <row r="240" spans="1:15" x14ac:dyDescent="0.2">
      <c r="A240" s="49"/>
      <c r="B240" s="52"/>
      <c r="C240" s="55"/>
      <c r="D240" s="57"/>
      <c r="E240" s="57"/>
      <c r="F240" s="57"/>
      <c r="G240" s="57"/>
      <c r="H240" s="57"/>
      <c r="I240" s="57"/>
      <c r="J240" s="57"/>
      <c r="K240" s="71"/>
      <c r="L240" s="58"/>
      <c r="M240" s="58"/>
      <c r="N240" s="58"/>
      <c r="O240" s="58"/>
    </row>
    <row r="241" spans="1:15" x14ac:dyDescent="0.2">
      <c r="A241" s="49" t="s">
        <v>99</v>
      </c>
      <c r="B241" s="52">
        <f>D241+E241+F241+G241+H241+I241+J241+K241+L241+M241+N241+O241</f>
        <v>1035</v>
      </c>
      <c r="C241" s="53"/>
      <c r="D241" s="49"/>
      <c r="E241" s="37">
        <f>23*45</f>
        <v>1035</v>
      </c>
      <c r="F241" s="50"/>
      <c r="G241" s="39"/>
      <c r="H241" s="39"/>
      <c r="I241" s="50"/>
      <c r="J241" s="50"/>
      <c r="K241" s="50"/>
      <c r="L241" s="50"/>
      <c r="M241" s="50"/>
      <c r="N241" s="51"/>
      <c r="O241" s="50"/>
    </row>
    <row r="242" spans="1:15" x14ac:dyDescent="0.2">
      <c r="A242" s="49"/>
      <c r="B242" s="52"/>
      <c r="C242" s="55">
        <f>SUM(D242:O242)</f>
        <v>30</v>
      </c>
      <c r="D242" s="49"/>
      <c r="E242" s="57">
        <v>30</v>
      </c>
      <c r="F242" s="50"/>
      <c r="G242" s="50"/>
      <c r="H242" s="50"/>
      <c r="I242" s="50"/>
      <c r="J242" s="50"/>
      <c r="K242" s="50"/>
      <c r="L242" s="50"/>
      <c r="M242" s="50"/>
      <c r="N242" s="51"/>
      <c r="O242" s="50"/>
    </row>
    <row r="243" spans="1:15" x14ac:dyDescent="0.2">
      <c r="A243" s="49"/>
      <c r="B243" s="52"/>
      <c r="C243" s="53"/>
      <c r="D243" s="49"/>
      <c r="E243" s="49"/>
      <c r="F243" s="49"/>
      <c r="G243" s="49"/>
      <c r="H243" s="49"/>
      <c r="I243" s="49"/>
      <c r="J243" s="49"/>
      <c r="K243" s="54"/>
      <c r="L243" s="54"/>
      <c r="M243" s="54"/>
      <c r="N243" s="54"/>
      <c r="O243" s="54"/>
    </row>
    <row r="244" spans="1:15" x14ac:dyDescent="0.2">
      <c r="B244" s="3"/>
      <c r="K244" s="3"/>
      <c r="L244" s="3"/>
      <c r="M244" s="3"/>
      <c r="N244" s="3"/>
      <c r="O244" s="3"/>
    </row>
    <row r="245" spans="1:15" x14ac:dyDescent="0.2">
      <c r="B245" s="3"/>
      <c r="D245" s="47">
        <f>SUM(D214+D217+D220+D223+D226+D229+D232)</f>
        <v>111555</v>
      </c>
      <c r="K245" s="3"/>
      <c r="L245" s="3"/>
      <c r="M245" s="3"/>
      <c r="N245" s="3"/>
      <c r="O245" s="3"/>
    </row>
    <row r="246" spans="1:15" x14ac:dyDescent="0.2">
      <c r="B246" s="3"/>
      <c r="K246" s="3"/>
      <c r="L246" s="3"/>
      <c r="M246" s="3"/>
      <c r="N246" s="3"/>
      <c r="O246" s="3"/>
    </row>
    <row r="247" spans="1:15" x14ac:dyDescent="0.2">
      <c r="B247" s="3"/>
      <c r="K247" s="3"/>
      <c r="L247" s="3"/>
      <c r="M247" s="3"/>
      <c r="N247" s="3"/>
      <c r="O247" s="3"/>
    </row>
    <row r="248" spans="1:15" x14ac:dyDescent="0.2">
      <c r="B248" s="3"/>
      <c r="K248" s="3"/>
      <c r="L248" s="3"/>
      <c r="M248" s="3"/>
      <c r="N248" s="3"/>
      <c r="O248" s="3"/>
    </row>
    <row r="249" spans="1:15" x14ac:dyDescent="0.2">
      <c r="B249" s="3"/>
      <c r="K249" s="3"/>
      <c r="L249" s="3"/>
      <c r="M249" s="3"/>
      <c r="N249" s="3"/>
      <c r="O249" s="3"/>
    </row>
    <row r="250" spans="1:15" x14ac:dyDescent="0.2">
      <c r="B250" s="3"/>
      <c r="K250" s="3"/>
      <c r="L250" s="3"/>
      <c r="M250" s="3"/>
      <c r="N250" s="3"/>
      <c r="O250" s="3"/>
    </row>
    <row r="251" spans="1:15" ht="13.5" thickBot="1" x14ac:dyDescent="0.25">
      <c r="B251" s="19"/>
      <c r="D251" s="5"/>
      <c r="F251" s="5"/>
      <c r="H251" s="5"/>
      <c r="J251" s="5"/>
      <c r="K251" s="3"/>
      <c r="L251" s="19"/>
      <c r="M251" s="3"/>
      <c r="N251" s="19"/>
      <c r="O251" s="3"/>
    </row>
    <row r="252" spans="1:15" ht="13.5" thickTop="1" x14ac:dyDescent="0.2">
      <c r="A252" s="6"/>
      <c r="B252" s="1" t="s">
        <v>52</v>
      </c>
      <c r="C252" s="6"/>
      <c r="E252" s="6"/>
      <c r="G252" s="6"/>
      <c r="I252" s="6"/>
      <c r="K252" s="6"/>
      <c r="M252" s="6"/>
      <c r="O252" s="6"/>
    </row>
    <row r="253" spans="1:15" ht="13.5" thickBot="1" x14ac:dyDescent="0.25">
      <c r="A253" s="7" t="s">
        <v>45</v>
      </c>
      <c r="B253" s="8" t="s">
        <v>53</v>
      </c>
      <c r="C253" s="9" t="s">
        <v>54</v>
      </c>
      <c r="D253" s="8" t="s">
        <v>46</v>
      </c>
      <c r="E253" s="9" t="s">
        <v>55</v>
      </c>
      <c r="F253" s="8" t="s">
        <v>56</v>
      </c>
      <c r="G253" s="9" t="s">
        <v>57</v>
      </c>
      <c r="H253" s="8" t="s">
        <v>58</v>
      </c>
      <c r="I253" s="9" t="s">
        <v>59</v>
      </c>
      <c r="J253" s="8" t="s">
        <v>60</v>
      </c>
      <c r="K253" s="9" t="s">
        <v>61</v>
      </c>
      <c r="L253" s="8" t="s">
        <v>62</v>
      </c>
      <c r="M253" s="9" t="s">
        <v>48</v>
      </c>
      <c r="N253" s="8" t="s">
        <v>49</v>
      </c>
      <c r="O253" s="9" t="s">
        <v>50</v>
      </c>
    </row>
    <row r="254" spans="1:15" ht="13.5" thickTop="1" x14ac:dyDescent="0.2">
      <c r="A254" s="10"/>
      <c r="C254" s="11"/>
      <c r="E254" s="11"/>
      <c r="F254" s="1"/>
      <c r="G254" s="11"/>
      <c r="H254" s="1"/>
      <c r="I254" s="11"/>
      <c r="J254" s="1"/>
      <c r="K254" s="11"/>
      <c r="L254" s="1"/>
      <c r="M254" s="11"/>
      <c r="N254" s="12"/>
      <c r="O254" s="11"/>
    </row>
    <row r="255" spans="1:15" x14ac:dyDescent="0.2">
      <c r="A255" s="49" t="s">
        <v>23</v>
      </c>
      <c r="B255" s="52">
        <f>D255+E255+F255+G255+H255+I255+J255+K255+L255+M255+N255+O255</f>
        <v>6435</v>
      </c>
      <c r="C255" s="53"/>
      <c r="D255" s="37">
        <f>57*45</f>
        <v>2565</v>
      </c>
      <c r="E255" s="37">
        <f>86*45</f>
        <v>3870</v>
      </c>
      <c r="F255" s="56"/>
      <c r="G255" s="39"/>
      <c r="H255" s="39"/>
      <c r="I255" s="56"/>
      <c r="J255" s="56"/>
      <c r="K255" s="56"/>
      <c r="L255" s="56"/>
      <c r="M255" s="56"/>
      <c r="N255" s="56"/>
      <c r="O255" s="56"/>
    </row>
    <row r="256" spans="1:15" x14ac:dyDescent="0.2">
      <c r="A256" s="49"/>
      <c r="B256" s="52"/>
      <c r="C256" s="55">
        <f>SUM(D256:O256)</f>
        <v>282.08</v>
      </c>
      <c r="D256" s="57">
        <v>156.25</v>
      </c>
      <c r="E256" s="57">
        <v>125.83</v>
      </c>
      <c r="F256" s="57"/>
      <c r="G256" s="57"/>
      <c r="H256" s="57"/>
      <c r="I256" s="57"/>
      <c r="J256" s="57"/>
      <c r="K256" s="58"/>
      <c r="L256" s="58"/>
      <c r="M256" s="58"/>
      <c r="N256" s="58"/>
      <c r="O256" s="58"/>
    </row>
    <row r="257" spans="1:15" x14ac:dyDescent="0.2">
      <c r="A257" s="49"/>
      <c r="B257" s="49"/>
      <c r="C257" s="50"/>
      <c r="D257" s="49"/>
      <c r="E257" s="50"/>
      <c r="F257" s="50"/>
      <c r="G257" s="50"/>
      <c r="H257" s="50"/>
      <c r="I257" s="50"/>
      <c r="J257" s="50"/>
      <c r="K257" s="50"/>
      <c r="L257" s="50"/>
      <c r="M257" s="50"/>
      <c r="N257" s="51"/>
      <c r="O257" s="50"/>
    </row>
    <row r="258" spans="1:15" x14ac:dyDescent="0.2">
      <c r="A258" s="49" t="s">
        <v>24</v>
      </c>
      <c r="B258" s="52">
        <f>D258+E258+F258+G258+H258+I258+J258+K258+L258+M258+N258+O258</f>
        <v>8550</v>
      </c>
      <c r="C258" s="53"/>
      <c r="D258" s="37">
        <f>182*45</f>
        <v>8190</v>
      </c>
      <c r="E258" s="37">
        <f>8*45</f>
        <v>360</v>
      </c>
      <c r="F258" s="56"/>
      <c r="G258" s="39"/>
      <c r="H258" s="39"/>
      <c r="I258" s="56"/>
      <c r="J258" s="56"/>
      <c r="K258" s="56"/>
      <c r="L258" s="56"/>
      <c r="M258" s="56"/>
      <c r="N258" s="56"/>
      <c r="O258" s="54"/>
    </row>
    <row r="259" spans="1:15" x14ac:dyDescent="0.2">
      <c r="A259" s="49"/>
      <c r="B259" s="52"/>
      <c r="C259" s="55">
        <f>SUM(D259:O259)</f>
        <v>175.82999999999998</v>
      </c>
      <c r="D259" s="57">
        <v>88.33</v>
      </c>
      <c r="E259" s="57">
        <v>87.5</v>
      </c>
      <c r="F259" s="57"/>
      <c r="G259" s="57"/>
      <c r="H259" s="57"/>
      <c r="I259" s="57"/>
      <c r="J259" s="57"/>
      <c r="K259" s="58"/>
      <c r="L259" s="58"/>
      <c r="M259" s="58"/>
      <c r="N259" s="58"/>
      <c r="O259" s="58"/>
    </row>
    <row r="260" spans="1:15" x14ac:dyDescent="0.2">
      <c r="A260" s="49"/>
      <c r="B260" s="52"/>
      <c r="C260" s="53"/>
      <c r="D260" s="49"/>
      <c r="E260" s="49"/>
      <c r="F260" s="49"/>
      <c r="G260" s="49"/>
      <c r="H260" s="49"/>
      <c r="I260" s="49"/>
      <c r="J260" s="49"/>
      <c r="K260" s="54"/>
      <c r="L260" s="54"/>
      <c r="M260" s="54"/>
      <c r="N260" s="54"/>
      <c r="O260" s="54"/>
    </row>
    <row r="261" spans="1:15" x14ac:dyDescent="0.2">
      <c r="A261" s="49" t="s">
        <v>100</v>
      </c>
      <c r="B261" s="52">
        <f>D261+E261+F261+G261+H261+I261+J261+K261+L261+M261+N261+O261</f>
        <v>225</v>
      </c>
      <c r="C261" s="53"/>
      <c r="D261" s="49"/>
      <c r="E261" s="37">
        <f>5*45</f>
        <v>225</v>
      </c>
      <c r="F261" s="49"/>
      <c r="G261" s="39"/>
      <c r="H261" s="39"/>
      <c r="I261" s="49"/>
      <c r="J261" s="49"/>
      <c r="K261" s="54"/>
      <c r="L261" s="54"/>
      <c r="M261" s="54"/>
      <c r="N261" s="54"/>
      <c r="O261" s="54"/>
    </row>
    <row r="262" spans="1:15" x14ac:dyDescent="0.2">
      <c r="A262" s="49"/>
      <c r="B262" s="52"/>
      <c r="C262" s="55">
        <f>SUM(D262:O262)</f>
        <v>80</v>
      </c>
      <c r="D262" s="49"/>
      <c r="E262" s="57">
        <v>80</v>
      </c>
      <c r="F262" s="49"/>
      <c r="G262" s="49"/>
      <c r="H262" s="49"/>
      <c r="I262" s="49"/>
      <c r="J262" s="49"/>
      <c r="K262" s="54"/>
      <c r="L262" s="54"/>
      <c r="M262" s="54"/>
      <c r="N262" s="54"/>
      <c r="O262" s="54"/>
    </row>
    <row r="263" spans="1:15" x14ac:dyDescent="0.2">
      <c r="A263" s="49"/>
      <c r="B263" s="52"/>
      <c r="C263" s="53"/>
      <c r="D263" s="49"/>
      <c r="E263" s="49"/>
      <c r="F263" s="49"/>
      <c r="G263" s="49"/>
      <c r="H263" s="49"/>
      <c r="I263" s="49"/>
      <c r="J263" s="49"/>
      <c r="K263" s="54"/>
      <c r="L263" s="54"/>
      <c r="M263" s="54"/>
      <c r="N263" s="54"/>
      <c r="O263" s="54"/>
    </row>
    <row r="264" spans="1:15" x14ac:dyDescent="0.2">
      <c r="A264" s="49" t="s">
        <v>25</v>
      </c>
      <c r="B264" s="52">
        <f>D264+E264+F264+G264+H264+I264+J264+K264+L264+M264+N264+O264</f>
        <v>1092465</v>
      </c>
      <c r="C264" s="53"/>
      <c r="D264" s="37">
        <f>11363*45</f>
        <v>511335</v>
      </c>
      <c r="E264" s="37">
        <f>12914*45</f>
        <v>581130</v>
      </c>
      <c r="F264" s="56"/>
      <c r="G264" s="39"/>
      <c r="H264" s="39"/>
      <c r="I264" s="56"/>
      <c r="J264" s="56"/>
      <c r="K264" s="56"/>
      <c r="L264" s="56"/>
      <c r="M264" s="56"/>
      <c r="N264" s="56"/>
      <c r="O264" s="56"/>
    </row>
    <row r="265" spans="1:15" x14ac:dyDescent="0.2">
      <c r="A265" s="49"/>
      <c r="B265" s="52"/>
      <c r="C265" s="55">
        <f>SUM(D265:O265)</f>
        <v>65.509999999999991</v>
      </c>
      <c r="D265" s="57">
        <v>27.25</v>
      </c>
      <c r="E265" s="57">
        <v>38.26</v>
      </c>
      <c r="F265" s="57"/>
      <c r="G265" s="57"/>
      <c r="H265" s="57"/>
      <c r="I265" s="57"/>
      <c r="J265" s="57"/>
      <c r="K265" s="58"/>
      <c r="L265" s="58"/>
      <c r="M265" s="58"/>
      <c r="N265" s="58"/>
      <c r="O265" s="58"/>
    </row>
    <row r="266" spans="1:15" x14ac:dyDescent="0.2">
      <c r="A266" s="49"/>
      <c r="B266" s="52"/>
      <c r="C266" s="53"/>
      <c r="D266" s="49"/>
      <c r="E266" s="49"/>
      <c r="F266" s="49"/>
      <c r="G266" s="49"/>
      <c r="H266" s="49"/>
      <c r="I266" s="49"/>
      <c r="J266" s="49"/>
      <c r="K266" s="54"/>
      <c r="L266" s="54"/>
      <c r="M266" s="54"/>
      <c r="N266" s="54"/>
      <c r="O266" s="54"/>
    </row>
    <row r="267" spans="1:15" x14ac:dyDescent="0.2">
      <c r="A267" s="49" t="s">
        <v>26</v>
      </c>
      <c r="B267" s="52">
        <f>D267+E267+F267+G267+H267+I267+J267+K267+L267+M267+N267+O267</f>
        <v>1890</v>
      </c>
      <c r="C267" s="53"/>
      <c r="D267" s="37">
        <f>38*45</f>
        <v>1710</v>
      </c>
      <c r="E267" s="37">
        <f>4*45</f>
        <v>180</v>
      </c>
      <c r="F267" s="56"/>
      <c r="G267" s="39"/>
      <c r="H267" s="39"/>
      <c r="I267" s="56"/>
      <c r="J267" s="56"/>
      <c r="K267" s="56"/>
      <c r="L267" s="56"/>
      <c r="M267" s="56"/>
      <c r="N267" s="56"/>
      <c r="O267" s="56"/>
    </row>
    <row r="268" spans="1:15" x14ac:dyDescent="0.2">
      <c r="A268" s="49"/>
      <c r="B268" s="52"/>
      <c r="C268" s="55">
        <f>SUM(D268:O268)</f>
        <v>282.5</v>
      </c>
      <c r="D268" s="57">
        <v>162.5</v>
      </c>
      <c r="E268" s="57">
        <v>120</v>
      </c>
      <c r="F268" s="57"/>
      <c r="G268" s="58"/>
      <c r="H268" s="57"/>
      <c r="I268" s="57"/>
      <c r="J268" s="57"/>
      <c r="K268" s="58"/>
      <c r="L268" s="58"/>
      <c r="M268" s="58"/>
      <c r="N268" s="58"/>
      <c r="O268" s="58"/>
    </row>
    <row r="269" spans="1:15" x14ac:dyDescent="0.2">
      <c r="A269" s="49"/>
      <c r="B269" s="52"/>
      <c r="C269" s="53"/>
      <c r="D269" s="49"/>
      <c r="E269" s="49"/>
      <c r="F269" s="49"/>
      <c r="G269" s="49"/>
      <c r="H269" s="49"/>
      <c r="I269" s="49"/>
      <c r="J269" s="49"/>
      <c r="K269" s="54"/>
      <c r="L269" s="54"/>
      <c r="M269" s="54"/>
      <c r="N269" s="54"/>
      <c r="O269" s="54"/>
    </row>
    <row r="270" spans="1:15" x14ac:dyDescent="0.2">
      <c r="A270" s="49" t="s">
        <v>89</v>
      </c>
      <c r="B270" s="52">
        <f>D270+E270+F270+G270+H270+I270+J270+K270+L270+M270+N270+O270</f>
        <v>0</v>
      </c>
      <c r="C270" s="53"/>
      <c r="D270" s="56"/>
      <c r="E270" s="56"/>
      <c r="F270" s="56"/>
      <c r="G270" s="39"/>
      <c r="H270" s="56"/>
      <c r="I270" s="59"/>
      <c r="J270" s="49"/>
      <c r="K270" s="54"/>
      <c r="L270" s="54"/>
      <c r="M270" s="54"/>
      <c r="N270" s="54"/>
      <c r="O270" s="54"/>
    </row>
    <row r="271" spans="1:15" x14ac:dyDescent="0.2">
      <c r="A271" s="49" t="s">
        <v>90</v>
      </c>
      <c r="B271" s="52"/>
      <c r="C271" s="55">
        <f>SUM(D271:O271)</f>
        <v>0</v>
      </c>
      <c r="D271" s="57"/>
      <c r="E271" s="57"/>
      <c r="F271" s="57"/>
      <c r="G271" s="58"/>
      <c r="H271" s="57"/>
      <c r="I271" s="49"/>
      <c r="J271" s="49"/>
      <c r="K271" s="58"/>
      <c r="L271" s="58"/>
      <c r="M271" s="58"/>
      <c r="N271" s="58"/>
      <c r="O271" s="58"/>
    </row>
    <row r="272" spans="1:15" x14ac:dyDescent="0.2">
      <c r="A272" s="49"/>
      <c r="B272" s="52"/>
      <c r="C272" s="53"/>
      <c r="D272" s="49"/>
      <c r="E272" s="49"/>
      <c r="F272" s="49"/>
      <c r="G272" s="49"/>
      <c r="H272" s="49"/>
      <c r="I272" s="49"/>
      <c r="J272" s="49"/>
      <c r="K272" s="54"/>
      <c r="L272" s="54"/>
      <c r="M272" s="54"/>
      <c r="N272" s="54"/>
      <c r="O272" s="54"/>
    </row>
    <row r="273" spans="1:15" x14ac:dyDescent="0.2">
      <c r="A273" s="49" t="s">
        <v>27</v>
      </c>
      <c r="B273" s="52">
        <f>D273+E273+F273+G273+H273+I273+J273+K273+L273+M273+N273+O273</f>
        <v>240300</v>
      </c>
      <c r="C273" s="53"/>
      <c r="D273" s="37">
        <f>2595*45</f>
        <v>116775</v>
      </c>
      <c r="E273" s="37">
        <f>2745*45</f>
        <v>123525</v>
      </c>
      <c r="F273" s="56"/>
      <c r="G273" s="39"/>
      <c r="H273" s="39"/>
      <c r="I273" s="56"/>
      <c r="J273" s="56"/>
      <c r="K273" s="56"/>
      <c r="L273" s="56"/>
      <c r="M273" s="56"/>
      <c r="N273" s="56"/>
      <c r="O273" s="56"/>
    </row>
    <row r="274" spans="1:15" x14ac:dyDescent="0.2">
      <c r="A274" s="49"/>
      <c r="B274" s="52"/>
      <c r="C274" s="55">
        <f>SUM(D274:O274)</f>
        <v>123.61000000000001</v>
      </c>
      <c r="D274" s="57">
        <v>60.02</v>
      </c>
      <c r="E274" s="49">
        <v>63.59</v>
      </c>
      <c r="F274" s="57"/>
      <c r="G274" s="57"/>
      <c r="H274" s="57"/>
      <c r="I274" s="57"/>
      <c r="J274" s="57"/>
      <c r="K274" s="58"/>
      <c r="L274" s="58"/>
      <c r="M274" s="58"/>
      <c r="N274" s="58"/>
      <c r="O274" s="58"/>
    </row>
    <row r="275" spans="1:15" x14ac:dyDescent="0.2">
      <c r="A275" s="49"/>
      <c r="B275" s="52"/>
      <c r="C275" s="53"/>
      <c r="D275" s="49"/>
      <c r="E275" s="49"/>
      <c r="F275" s="49"/>
      <c r="G275" s="49"/>
      <c r="H275" s="49"/>
      <c r="I275" s="49"/>
      <c r="J275" s="49"/>
      <c r="K275" s="54"/>
      <c r="L275" s="54"/>
      <c r="M275" s="54"/>
      <c r="N275" s="54"/>
      <c r="O275" s="54"/>
    </row>
    <row r="276" spans="1:15" x14ac:dyDescent="0.2">
      <c r="A276" s="49" t="s">
        <v>28</v>
      </c>
      <c r="B276" s="52">
        <f>D276+E276+F276+G276+H276+I276+J276+K276+L276+M276+N276+O276</f>
        <v>16920</v>
      </c>
      <c r="C276" s="53"/>
      <c r="D276" s="37">
        <f>232*45</f>
        <v>10440</v>
      </c>
      <c r="E276" s="37">
        <f>144*45</f>
        <v>6480</v>
      </c>
      <c r="F276" s="56"/>
      <c r="G276" s="39"/>
      <c r="H276" s="39"/>
      <c r="I276" s="56"/>
      <c r="J276" s="56"/>
      <c r="K276" s="56"/>
      <c r="L276" s="56"/>
      <c r="M276" s="56"/>
      <c r="N276" s="56"/>
      <c r="O276" s="56"/>
    </row>
    <row r="277" spans="1:15" x14ac:dyDescent="0.2">
      <c r="A277" s="49"/>
      <c r="B277" s="52"/>
      <c r="C277" s="55">
        <f>SUM(D277:O277)</f>
        <v>130.41999999999999</v>
      </c>
      <c r="D277" s="57">
        <v>65.709999999999994</v>
      </c>
      <c r="E277" s="57">
        <v>64.709999999999994</v>
      </c>
      <c r="F277" s="57"/>
      <c r="G277" s="57"/>
      <c r="H277" s="57"/>
      <c r="I277" s="57"/>
      <c r="J277" s="57"/>
      <c r="K277" s="58"/>
      <c r="L277" s="58"/>
      <c r="M277" s="58"/>
      <c r="N277" s="58"/>
      <c r="O277" s="58"/>
    </row>
    <row r="278" spans="1:15" x14ac:dyDescent="0.2">
      <c r="A278" s="49"/>
      <c r="B278" s="52"/>
      <c r="C278" s="55"/>
      <c r="D278" s="57"/>
      <c r="E278" s="57"/>
      <c r="F278" s="57"/>
      <c r="G278" s="57"/>
      <c r="H278" s="57"/>
      <c r="I278" s="57"/>
      <c r="J278" s="57"/>
      <c r="K278" s="58"/>
      <c r="L278" s="58"/>
      <c r="M278" s="58"/>
      <c r="N278" s="58"/>
      <c r="O278" s="58"/>
    </row>
    <row r="279" spans="1:15" x14ac:dyDescent="0.2">
      <c r="A279" s="49" t="s">
        <v>18</v>
      </c>
      <c r="B279" s="52">
        <f>D279+E279+F279+G279+H279+I279+J279+K279+L279+M279+N279+O279</f>
        <v>291870</v>
      </c>
      <c r="C279" s="53"/>
      <c r="D279" s="37">
        <f>3558*45</f>
        <v>160110</v>
      </c>
      <c r="E279" s="37">
        <f>2928*45</f>
        <v>131760</v>
      </c>
      <c r="F279" s="76"/>
      <c r="G279" s="39"/>
      <c r="H279" s="39"/>
      <c r="I279" s="56"/>
      <c r="J279" s="56"/>
      <c r="K279" s="56"/>
      <c r="L279" s="56"/>
      <c r="M279" s="56"/>
      <c r="N279" s="56"/>
      <c r="O279" s="56"/>
    </row>
    <row r="280" spans="1:15" x14ac:dyDescent="0.2">
      <c r="A280" s="49"/>
      <c r="B280" s="52"/>
      <c r="C280" s="55">
        <f>SUM(D280:O280)</f>
        <v>152.43</v>
      </c>
      <c r="D280" s="57">
        <v>79.52</v>
      </c>
      <c r="E280" s="57">
        <v>72.91</v>
      </c>
      <c r="F280" s="57"/>
      <c r="G280" s="57"/>
      <c r="H280" s="57"/>
      <c r="I280" s="57"/>
      <c r="J280" s="57"/>
      <c r="K280" s="58"/>
      <c r="L280" s="58"/>
      <c r="M280" s="58"/>
      <c r="N280" s="58"/>
      <c r="O280" s="58"/>
    </row>
    <row r="281" spans="1:15" x14ac:dyDescent="0.2">
      <c r="A281" s="49"/>
      <c r="B281" s="52"/>
      <c r="C281" s="53"/>
      <c r="D281" s="49"/>
      <c r="E281" s="57"/>
      <c r="F281" s="57"/>
      <c r="G281" s="57"/>
      <c r="H281" s="49"/>
      <c r="I281" s="49"/>
      <c r="J281" s="49"/>
      <c r="K281" s="58"/>
      <c r="L281" s="54"/>
      <c r="M281" s="54"/>
      <c r="N281" s="54"/>
      <c r="O281" s="54"/>
    </row>
    <row r="282" spans="1:15" x14ac:dyDescent="0.2">
      <c r="A282" s="49" t="s">
        <v>91</v>
      </c>
      <c r="B282" s="52">
        <f>D282+E282+F282+G282+H282+I282+J282+K282+L282+M282+N282+O282</f>
        <v>0</v>
      </c>
      <c r="C282" s="53"/>
      <c r="D282" s="56"/>
      <c r="E282" s="56"/>
      <c r="F282" s="56"/>
      <c r="G282" s="56"/>
      <c r="H282" s="56"/>
      <c r="I282" s="56"/>
      <c r="J282" s="56"/>
      <c r="K282" s="54"/>
      <c r="L282" s="54"/>
      <c r="M282" s="54"/>
      <c r="N282" s="54"/>
      <c r="O282" s="54"/>
    </row>
    <row r="283" spans="1:15" x14ac:dyDescent="0.2">
      <c r="A283" s="49"/>
      <c r="B283" s="52"/>
      <c r="C283" s="55">
        <f>SUM(D283:O283)</f>
        <v>0</v>
      </c>
      <c r="D283" s="57"/>
      <c r="E283" s="57"/>
      <c r="F283" s="57"/>
      <c r="G283" s="57"/>
      <c r="H283" s="57"/>
      <c r="I283" s="57"/>
      <c r="J283" s="57"/>
      <c r="K283" s="58"/>
      <c r="L283" s="58"/>
      <c r="M283" s="58"/>
      <c r="N283" s="58"/>
      <c r="O283" s="60"/>
    </row>
    <row r="284" spans="1:15" ht="13.5" thickBot="1" x14ac:dyDescent="0.25">
      <c r="A284" s="7"/>
      <c r="B284" s="25"/>
      <c r="C284" s="26"/>
      <c r="D284" s="7"/>
      <c r="E284" s="7"/>
      <c r="F284" s="5"/>
      <c r="G284" s="7"/>
      <c r="H284" s="5"/>
      <c r="I284" s="7"/>
      <c r="J284" s="5"/>
      <c r="K284" s="27"/>
      <c r="L284" s="19"/>
      <c r="M284" s="27"/>
      <c r="N284" s="19"/>
      <c r="O284" s="27"/>
    </row>
    <row r="285" spans="1:15" ht="13.5" thickTop="1" x14ac:dyDescent="0.2">
      <c r="A285" s="28" t="s">
        <v>92</v>
      </c>
      <c r="B285" s="31">
        <f>B8+B11+B14+B17+B20+B23+B26+B29+B35+B49+B52+B55+B58+B61+B64+B67+B70+B73+B76+B90+B93+B96+B99+B102+B105+B108+B111+B114+B131+B134+B137+B140+B143+B146+B149+B152+B155+B173+B176+B179+B182+B185+B188+B191+B194+B197+B200+B203+B214+B217+B220+B223+B226+B229+B232+B235+B238+B241+B255+Sheet1!B34+B261+B264+B267+B270+B273+B276+B279+B282</f>
        <v>3791250</v>
      </c>
      <c r="C285" s="31" t="e">
        <f>C8+C11+C14+C17+C20+C23+C26+C29+C35+C49+C52+C55+C58+C61+C64+C67+C70+C73+C76+C90+C93+C96+C99+C102+C105+C108+C111+C114+C131+C134+C137+C140+C143+C146+C149+C152+C155+C173+C176+C179+C182+C185+C188+C191+C194+C197+C200+C203+C214+C217+C220+C223+C226+C229+C232+C235+C238+C241+C255+Sheet1!#REF!+C261+C264+C267+C270+C273+C276+C279+C282</f>
        <v>#REF!</v>
      </c>
      <c r="D285" s="31">
        <f>D8+D14+D17+D20+D23+D26+D29+D32+D35+D49+D52+D55+D58+D61+D64+D67+D70+D73+D76+D96+D99+D102+D105+D108+D111+D114+D131+D134+D137+D140+D143+D146+D149+D152+D155+D158+D179+D182+D185+D188+D191+D194+D197+D200+D203+D214+D217+D220+D223+D226+D229+D232+D235+D238+D241+D255+D258+D261+D264+D267+D270+D273+D276+D279+D282</f>
        <v>1967265</v>
      </c>
      <c r="E285" s="31">
        <f>E8+E11+E14+E17+E20+E23+E26+E29+E35+E49+E52+E55+E58+E61+E64+E67+E70+E73+E76+E90+E93+E96+E99+E102+E105+E108+E111+E114+E131+E134+E137+E140+E143+E146+E149+E152+E155+E173+E176+E179+E182+E185+E188+E191+E194+E197+E200+E203+E214+E217+E220+E223+E226+E229+E232+E235+E238+E241+E255+Sheet1!D34+E261+E264+E267+E270+E273+E276+E279+E282</f>
        <v>1637640</v>
      </c>
      <c r="F285" s="29"/>
      <c r="G285" s="44">
        <f>G8+G11+G14+G17+G20+G23+G26+G29+G35+G49+G52+G55+G58+G61+G64+G67+G70+G73+G76+G90+G93+G96+G99+G102+G105+G108+G111+G114+G131+G134+G137+G140+G143+G146+G149+G152+G155+G158+G173+G176+G179+G182+G185+G188+G191+G194+G197+G200+G203+G214+G217+G220+G223+G226+G229+G232+G235+G238+G241+G255+Sheet1!F34+G261+G264+G267+G270+G273+G276+G279+G282</f>
        <v>0</v>
      </c>
      <c r="H285" s="31">
        <f>H8+H11+H14+H17+H20+H23+H26+H29+H35+H49+H52+H55+H58+H61+H64+H67+H70+H73+H76+H90+H93+H96+H99+H102+H105+H108+H111+H114+H131+H134+H137+H140+H143+H146+H149+H152+H155+H173+H176+H179+H182+H185+H188+H191+H194+H197+H200+H203+H214+H217+H220+H223+H226+H229+H232+H235+H238+H241+H255+Sheet1!G34+H261+H264+H267+H270+H273+H276+H279+H282</f>
        <v>0</v>
      </c>
      <c r="I285" s="31"/>
      <c r="J285" s="32"/>
      <c r="K285" s="30"/>
      <c r="L285" s="32"/>
      <c r="M285" s="30"/>
      <c r="N285" s="29"/>
      <c r="O285" s="30"/>
    </row>
    <row r="286" spans="1:15" ht="13.5" thickBot="1" x14ac:dyDescent="0.25">
      <c r="A286" s="33" t="s">
        <v>93</v>
      </c>
      <c r="B286" s="34"/>
      <c r="C286" s="35"/>
      <c r="D286" s="35"/>
      <c r="E286" s="35"/>
      <c r="F286" s="36"/>
      <c r="G286" s="35"/>
      <c r="H286" s="36"/>
      <c r="I286" s="35"/>
      <c r="J286" s="36"/>
      <c r="K286" s="35"/>
      <c r="L286" s="36"/>
      <c r="M286" s="35"/>
      <c r="N286" s="36"/>
      <c r="O286" s="35"/>
    </row>
    <row r="287" spans="1:15" ht="13.5" thickTop="1" x14ac:dyDescent="0.2">
      <c r="D287" s="45"/>
    </row>
    <row r="288" spans="1:15" ht="13.5" thickBot="1" x14ac:dyDescent="0.25">
      <c r="D288" s="48">
        <f>SUM(D255+D258+D264+D267+D273+D276+D279)</f>
        <v>811125</v>
      </c>
      <c r="E288" s="43"/>
      <c r="F288" s="3">
        <f>44052*45</f>
        <v>1982340</v>
      </c>
      <c r="G288" t="s">
        <v>103</v>
      </c>
      <c r="H288" s="14">
        <f>1982.34*45</f>
        <v>89205.3</v>
      </c>
    </row>
    <row r="289" spans="4:7" ht="13.5" thickTop="1" x14ac:dyDescent="0.2">
      <c r="D289" s="14"/>
      <c r="E289" s="15"/>
      <c r="F289">
        <f>36400*45</f>
        <v>1638000</v>
      </c>
      <c r="G289" s="43" t="s">
        <v>104</v>
      </c>
    </row>
  </sheetData>
  <phoneticPr fontId="2" type="noConversion"/>
  <pageMargins left="1.1000000000000001" right="1.05" top="1" bottom="1" header="0.5" footer="0.5"/>
  <pageSetup paperSize="5" orientation="landscape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6:A18"/>
  <sheetViews>
    <sheetView workbookViewId="0">
      <selection activeCell="A19" sqref="A19"/>
    </sheetView>
  </sheetViews>
  <sheetFormatPr defaultRowHeight="12.75" x14ac:dyDescent="0.2"/>
  <sheetData>
    <row r="16" spans="1:1" ht="54.75" x14ac:dyDescent="1">
      <c r="A16" s="4" t="s">
        <v>43</v>
      </c>
    </row>
    <row r="18" spans="1:1" ht="54.75" x14ac:dyDescent="1">
      <c r="A18" s="4" t="s">
        <v>44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pfda-llpc</dc:creator>
  <cp:lastModifiedBy>PC-2</cp:lastModifiedBy>
  <cp:lastPrinted>2020-01-21T00:27:16Z</cp:lastPrinted>
  <dcterms:created xsi:type="dcterms:W3CDTF">2005-04-04T08:54:24Z</dcterms:created>
  <dcterms:modified xsi:type="dcterms:W3CDTF">2023-05-18T02:45:26Z</dcterms:modified>
</cp:coreProperties>
</file>