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A93EC817-3BE8-4EE8-BA9F-E600979CF7E0}" xr6:coauthVersionLast="47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VOLUME OF FISH TRADED,BROKER" sheetId="1" r:id="rId1"/>
    <sheet name="SOURCE OF FISH UNLOADED BY.F.G" sheetId="2" r:id="rId2"/>
    <sheet name="FISH UNLOADING OVER LND VEHICLS" sheetId="3" r:id="rId3"/>
  </sheets>
  <calcPr calcId="191029"/>
</workbook>
</file>

<file path=xl/calcChain.xml><?xml version="1.0" encoding="utf-8"?>
<calcChain xmlns="http://schemas.openxmlformats.org/spreadsheetml/2006/main">
  <c r="AA127" i="3" l="1"/>
  <c r="AA118" i="3"/>
  <c r="AA107" i="3"/>
  <c r="AA84" i="3"/>
  <c r="AA83" i="3"/>
  <c r="AA71" i="3"/>
  <c r="Y72" i="3"/>
  <c r="U72" i="3"/>
  <c r="S72" i="3"/>
  <c r="Q72" i="3"/>
  <c r="N72" i="3"/>
  <c r="L72" i="3"/>
  <c r="J72" i="3"/>
  <c r="F72" i="3"/>
  <c r="D72" i="3"/>
  <c r="B72" i="3"/>
  <c r="AA65" i="3"/>
  <c r="AA63" i="3"/>
  <c r="AA62" i="3"/>
  <c r="AA61" i="3"/>
  <c r="AA60" i="3"/>
  <c r="AA59" i="3"/>
  <c r="AA58" i="3"/>
  <c r="AA57" i="3"/>
  <c r="AA54" i="3"/>
  <c r="AA53" i="3"/>
  <c r="AA52" i="3"/>
  <c r="AA51" i="3"/>
  <c r="AA50" i="3"/>
  <c r="AA49" i="3"/>
  <c r="AA48" i="3"/>
  <c r="AA46" i="3"/>
  <c r="AA45" i="3"/>
  <c r="AA44" i="3"/>
  <c r="AA43" i="3"/>
  <c r="AA42" i="3"/>
  <c r="AA95" i="3" l="1"/>
  <c r="B87" i="3"/>
  <c r="AA85" i="3"/>
  <c r="AA80" i="3"/>
  <c r="Y68" i="3"/>
  <c r="U68" i="3"/>
  <c r="S68" i="3"/>
  <c r="Q68" i="3"/>
  <c r="N68" i="3"/>
  <c r="J68" i="3"/>
  <c r="H68" i="3"/>
  <c r="D68" i="3"/>
  <c r="B68" i="3"/>
  <c r="AA67" i="3"/>
  <c r="AA14" i="3"/>
  <c r="AA12" i="3"/>
  <c r="C86" i="3" l="1"/>
  <c r="Y102" i="3"/>
  <c r="Y104" i="3" s="1"/>
  <c r="Y100" i="3"/>
  <c r="Y125" i="3"/>
  <c r="Y122" i="3"/>
  <c r="Y87" i="3"/>
  <c r="Y81" i="3"/>
  <c r="Z70" i="3"/>
  <c r="Y55" i="3"/>
  <c r="Y22" i="3"/>
  <c r="Y30" i="3" s="1"/>
  <c r="Y92" i="3"/>
  <c r="Y93" i="3" s="1"/>
  <c r="Y89" i="3"/>
  <c r="Y90" i="3" s="1"/>
  <c r="W103" i="3"/>
  <c r="W104" i="3" s="1"/>
  <c r="W116" i="3"/>
  <c r="W100" i="3"/>
  <c r="W96" i="3"/>
  <c r="W81" i="3"/>
  <c r="W72" i="3"/>
  <c r="W55" i="3"/>
  <c r="W30" i="3"/>
  <c r="W124" i="3"/>
  <c r="W125" i="3" s="1"/>
  <c r="W121" i="3"/>
  <c r="W122" i="3" s="1"/>
  <c r="W89" i="3"/>
  <c r="W90" i="3" s="1"/>
  <c r="W66" i="3"/>
  <c r="W68" i="3" s="1"/>
  <c r="W92" i="3"/>
  <c r="W93" i="3" s="1"/>
  <c r="U100" i="3"/>
  <c r="U121" i="3"/>
  <c r="U102" i="3"/>
  <c r="U89" i="3"/>
  <c r="U55" i="3"/>
  <c r="V99" i="3" l="1"/>
  <c r="X80" i="3"/>
  <c r="Z85" i="3"/>
  <c r="X103" i="3"/>
  <c r="X99" i="3"/>
  <c r="Z99" i="3"/>
  <c r="Y131" i="3"/>
  <c r="W131" i="3"/>
  <c r="S16" i="3"/>
  <c r="S30" i="3" s="1"/>
  <c r="S124" i="3"/>
  <c r="S116" i="3"/>
  <c r="S100" i="3"/>
  <c r="S96" i="3"/>
  <c r="S90" i="3"/>
  <c r="S87" i="3"/>
  <c r="S81" i="3"/>
  <c r="S55" i="3"/>
  <c r="S121" i="3"/>
  <c r="S122" i="3" s="1"/>
  <c r="S102" i="3"/>
  <c r="S104" i="3" s="1"/>
  <c r="S92" i="3"/>
  <c r="S93" i="3" s="1"/>
  <c r="S106" i="3"/>
  <c r="AA106" i="3" s="1"/>
  <c r="T45" i="3" l="1"/>
  <c r="T83" i="3"/>
  <c r="T99" i="3"/>
  <c r="S125" i="3"/>
  <c r="AA124" i="3"/>
  <c r="S108" i="3"/>
  <c r="Q30" i="3"/>
  <c r="Q121" i="3"/>
  <c r="Q103" i="3"/>
  <c r="Q92" i="3"/>
  <c r="Q89" i="3"/>
  <c r="Q55" i="3"/>
  <c r="S131" i="3" l="1"/>
  <c r="T106" i="3"/>
  <c r="T108" i="3" s="1"/>
  <c r="N30" i="3"/>
  <c r="N125" i="3"/>
  <c r="N116" i="3"/>
  <c r="N87" i="3"/>
  <c r="N81" i="3"/>
  <c r="N55" i="3"/>
  <c r="N121" i="3"/>
  <c r="N102" i="3"/>
  <c r="N104" i="3" s="1"/>
  <c r="N92" i="3"/>
  <c r="N93" i="3" s="1"/>
  <c r="N89" i="3"/>
  <c r="N90" i="3" s="1"/>
  <c r="N122" i="3" l="1"/>
  <c r="L66" i="3"/>
  <c r="L30" i="3"/>
  <c r="L55" i="3"/>
  <c r="L87" i="3"/>
  <c r="M108" i="3"/>
  <c r="L125" i="3"/>
  <c r="L99" i="3"/>
  <c r="AA99" i="3" s="1"/>
  <c r="L121" i="3"/>
  <c r="L122" i="3" s="1"/>
  <c r="L103" i="3"/>
  <c r="L104" i="3" s="1"/>
  <c r="L92" i="3"/>
  <c r="L93" i="3" s="1"/>
  <c r="L89" i="3"/>
  <c r="L90" i="3" s="1"/>
  <c r="M103" i="3" l="1"/>
  <c r="N131" i="3"/>
  <c r="L68" i="3"/>
  <c r="AA66" i="3"/>
  <c r="O121" i="3"/>
  <c r="O122" i="3" s="1"/>
  <c r="L100" i="3"/>
  <c r="J121" i="3"/>
  <c r="J115" i="3"/>
  <c r="J103" i="3"/>
  <c r="J92" i="3"/>
  <c r="J89" i="3"/>
  <c r="J55" i="3"/>
  <c r="M99" i="3" l="1"/>
  <c r="K42" i="3"/>
  <c r="H121" i="3"/>
  <c r="H100" i="3"/>
  <c r="H103" i="3"/>
  <c r="H92" i="3"/>
  <c r="H89" i="3"/>
  <c r="H70" i="3"/>
  <c r="H55" i="3"/>
  <c r="H30" i="3"/>
  <c r="F55" i="3"/>
  <c r="F30" i="3"/>
  <c r="F125" i="3"/>
  <c r="F116" i="3"/>
  <c r="F108" i="3"/>
  <c r="G106" i="3" s="1"/>
  <c r="G108" i="3" s="1"/>
  <c r="F96" i="3"/>
  <c r="F81" i="3"/>
  <c r="F102" i="3"/>
  <c r="AA102" i="3" s="1"/>
  <c r="F100" i="3"/>
  <c r="F121" i="3"/>
  <c r="F122" i="3" s="1"/>
  <c r="F92" i="3"/>
  <c r="F93" i="3" s="1"/>
  <c r="F89" i="3"/>
  <c r="F90" i="3" s="1"/>
  <c r="F64" i="3"/>
  <c r="D121" i="3"/>
  <c r="D25" i="3"/>
  <c r="D30" i="3" s="1"/>
  <c r="D103" i="3"/>
  <c r="D92" i="3"/>
  <c r="D89" i="3"/>
  <c r="D47" i="3"/>
  <c r="AA47" i="3" s="1"/>
  <c r="AA55" i="3" s="1"/>
  <c r="B30" i="3"/>
  <c r="B89" i="3"/>
  <c r="B103" i="3"/>
  <c r="B92" i="3"/>
  <c r="B55" i="3"/>
  <c r="I99" i="3" l="1"/>
  <c r="G99" i="3"/>
  <c r="G100" i="3" s="1"/>
  <c r="E7" i="3"/>
  <c r="AA121" i="3"/>
  <c r="F68" i="3"/>
  <c r="AA64" i="3"/>
  <c r="AA103" i="3"/>
  <c r="AA104" i="3" s="1"/>
  <c r="AB103" i="3" s="1"/>
  <c r="AA70" i="3"/>
  <c r="AA72" i="3" s="1"/>
  <c r="AB71" i="3" s="1"/>
  <c r="H72" i="3"/>
  <c r="AA89" i="3"/>
  <c r="D55" i="3"/>
  <c r="I98" i="3"/>
  <c r="E6" i="3"/>
  <c r="E24" i="3"/>
  <c r="E13" i="3"/>
  <c r="E19" i="3"/>
  <c r="E9" i="3"/>
  <c r="E28" i="3"/>
  <c r="E18" i="3"/>
  <c r="E29" i="3"/>
  <c r="E25" i="3"/>
  <c r="E15" i="3"/>
  <c r="E10" i="3"/>
  <c r="E16" i="3"/>
  <c r="E20" i="3"/>
  <c r="E26" i="3"/>
  <c r="E11" i="3"/>
  <c r="E17" i="3"/>
  <c r="E22" i="3"/>
  <c r="E27" i="3"/>
  <c r="I100" i="3" l="1"/>
  <c r="AA90" i="3"/>
  <c r="AB89" i="3" s="1"/>
  <c r="AB53" i="3"/>
  <c r="AB43" i="3"/>
  <c r="E30" i="3"/>
  <c r="Z8" i="3" l="1"/>
  <c r="U104" i="3"/>
  <c r="U87" i="3"/>
  <c r="U81" i="3"/>
  <c r="U30" i="3"/>
  <c r="U108" i="3"/>
  <c r="V108" i="3" s="1"/>
  <c r="Z44" i="3" l="1"/>
  <c r="Z50" i="3"/>
  <c r="X61" i="3"/>
  <c r="V14" i="3"/>
  <c r="V19" i="3"/>
  <c r="V6" i="3"/>
  <c r="V10" i="3"/>
  <c r="V29" i="3"/>
  <c r="Z14" i="3"/>
  <c r="X60" i="3"/>
  <c r="Q128" i="3" l="1"/>
  <c r="Q125" i="3"/>
  <c r="Q122" i="3"/>
  <c r="Q116" i="3"/>
  <c r="Q108" i="3"/>
  <c r="Q104" i="3"/>
  <c r="Q93" i="3"/>
  <c r="Q90" i="3"/>
  <c r="Q87" i="3"/>
  <c r="Q81" i="3"/>
  <c r="R51" i="3"/>
  <c r="R103" i="3" l="1"/>
  <c r="R104" i="3" s="1"/>
  <c r="R12" i="3"/>
  <c r="R19" i="3"/>
  <c r="N108" i="3"/>
  <c r="L116" i="3" l="1"/>
  <c r="L108" i="3"/>
  <c r="L81" i="3"/>
  <c r="M61" i="3"/>
  <c r="M80" i="3" l="1"/>
  <c r="L131" i="3"/>
  <c r="M42" i="3"/>
  <c r="M49" i="3"/>
  <c r="J108" i="3"/>
  <c r="K108" i="3" s="1"/>
  <c r="J125" i="3"/>
  <c r="J122" i="3"/>
  <c r="J116" i="3"/>
  <c r="J104" i="3"/>
  <c r="J96" i="3"/>
  <c r="J93" i="3"/>
  <c r="J87" i="3"/>
  <c r="K60" i="3"/>
  <c r="J30" i="3"/>
  <c r="K83" i="3" l="1"/>
  <c r="K103" i="3"/>
  <c r="K10" i="3"/>
  <c r="K17" i="3"/>
  <c r="K45" i="3"/>
  <c r="K43" i="3"/>
  <c r="I45" i="3"/>
  <c r="I60" i="3" l="1"/>
  <c r="I61" i="3"/>
  <c r="I7" i="3"/>
  <c r="I8" i="3"/>
  <c r="D108" i="3"/>
  <c r="E108" i="3" l="1"/>
  <c r="E53" i="3"/>
  <c r="E42" i="3"/>
  <c r="B108" i="3"/>
  <c r="C59" i="3"/>
  <c r="C106" i="3" l="1"/>
  <c r="C6" i="3"/>
  <c r="C22" i="3"/>
  <c r="C57" i="3"/>
  <c r="C67" i="3"/>
  <c r="Z103" i="3"/>
  <c r="V27" i="3" l="1"/>
  <c r="V103" i="3"/>
  <c r="V65" i="3"/>
  <c r="V54" i="3"/>
  <c r="V42" i="3" l="1"/>
  <c r="V11" i="3"/>
  <c r="V17" i="3"/>
  <c r="V22" i="3"/>
  <c r="V28" i="3"/>
  <c r="V13" i="3"/>
  <c r="V18" i="3"/>
  <c r="V24" i="3"/>
  <c r="V7" i="3"/>
  <c r="V15" i="3"/>
  <c r="V20" i="3"/>
  <c r="V25" i="3"/>
  <c r="V9" i="3"/>
  <c r="V16" i="3"/>
  <c r="V21" i="3"/>
  <c r="V87" i="3"/>
  <c r="V30" i="3" l="1"/>
  <c r="T57" i="3"/>
  <c r="R108" i="3"/>
  <c r="R42" i="3"/>
  <c r="T58" i="3" l="1"/>
  <c r="T42" i="3"/>
  <c r="T43" i="3"/>
  <c r="T53" i="3"/>
  <c r="T48" i="3"/>
  <c r="O102" i="3"/>
  <c r="O104" i="3" s="1"/>
  <c r="O46" i="3"/>
  <c r="O58" i="3" l="1"/>
  <c r="O59" i="3"/>
  <c r="O49" i="3"/>
  <c r="O45" i="3"/>
  <c r="O42" i="3"/>
  <c r="O53" i="3"/>
  <c r="O43" i="3"/>
  <c r="L96" i="3" l="1"/>
  <c r="M6" i="3"/>
  <c r="M7" i="3" l="1"/>
  <c r="M45" i="3"/>
  <c r="M104" i="3"/>
  <c r="H108" i="3"/>
  <c r="J130" i="3"/>
  <c r="K130" i="3" s="1"/>
  <c r="J90" i="3"/>
  <c r="J100" i="3"/>
  <c r="AA108" i="3" l="1"/>
  <c r="I107" i="3"/>
  <c r="I108" i="3" s="1"/>
  <c r="K89" i="3"/>
  <c r="K7" i="3"/>
  <c r="K13" i="3"/>
  <c r="K53" i="3"/>
  <c r="K58" i="3"/>
  <c r="H90" i="3"/>
  <c r="I128" i="3"/>
  <c r="I70" i="3"/>
  <c r="H81" i="3"/>
  <c r="H87" i="3"/>
  <c r="H93" i="3"/>
  <c r="H96" i="3"/>
  <c r="H104" i="3"/>
  <c r="H116" i="3"/>
  <c r="H122" i="3"/>
  <c r="H125" i="3"/>
  <c r="H128" i="3"/>
  <c r="I89" i="3" l="1"/>
  <c r="I90" i="3" s="1"/>
  <c r="I95" i="3"/>
  <c r="AB107" i="3"/>
  <c r="AB106" i="3"/>
  <c r="I80" i="3"/>
  <c r="I81" i="3" s="1"/>
  <c r="I26" i="3"/>
  <c r="I19" i="3"/>
  <c r="I13" i="3"/>
  <c r="I6" i="3"/>
  <c r="I22" i="3"/>
  <c r="I11" i="3"/>
  <c r="I25" i="3"/>
  <c r="I18" i="3"/>
  <c r="I103" i="3"/>
  <c r="I104" i="3" s="1"/>
  <c r="I87" i="3"/>
  <c r="I63" i="3"/>
  <c r="I47" i="3"/>
  <c r="I124" i="3"/>
  <c r="I125" i="3" s="1"/>
  <c r="I92" i="3"/>
  <c r="I93" i="3" s="1"/>
  <c r="I66" i="3"/>
  <c r="I62" i="3"/>
  <c r="I54" i="3"/>
  <c r="I43" i="3"/>
  <c r="I29" i="3"/>
  <c r="I24" i="3"/>
  <c r="I17" i="3"/>
  <c r="I9" i="3"/>
  <c r="I115" i="3"/>
  <c r="I71" i="3"/>
  <c r="I72" i="3" s="1"/>
  <c r="I65" i="3"/>
  <c r="I53" i="3"/>
  <c r="I42" i="3"/>
  <c r="I28" i="3"/>
  <c r="I21" i="3"/>
  <c r="I16" i="3"/>
  <c r="I121" i="3"/>
  <c r="I122" i="3" s="1"/>
  <c r="I96" i="3"/>
  <c r="I64" i="3"/>
  <c r="I58" i="3"/>
  <c r="I48" i="3"/>
  <c r="I27" i="3"/>
  <c r="I20" i="3"/>
  <c r="I15" i="3"/>
  <c r="AB108" i="3" l="1"/>
  <c r="I68" i="3"/>
  <c r="I30" i="3"/>
  <c r="I55" i="3"/>
  <c r="I116" i="3"/>
  <c r="F104" i="3" l="1"/>
  <c r="G53" i="3"/>
  <c r="D104" i="3"/>
  <c r="D96" i="3"/>
  <c r="D93" i="3"/>
  <c r="D90" i="3"/>
  <c r="D81" i="3"/>
  <c r="E59" i="3"/>
  <c r="E43" i="3"/>
  <c r="G102" i="3" l="1"/>
  <c r="F131" i="3"/>
  <c r="G22" i="3"/>
  <c r="G23" i="3"/>
  <c r="E61" i="3"/>
  <c r="E67" i="3"/>
  <c r="E57" i="3"/>
  <c r="G26" i="3"/>
  <c r="B104" i="3" l="1"/>
  <c r="AA28" i="3"/>
  <c r="AA115" i="3"/>
  <c r="C102" i="3" l="1"/>
  <c r="C103" i="3"/>
  <c r="B125" i="3"/>
  <c r="B122" i="3"/>
  <c r="B116" i="3"/>
  <c r="C17" i="3" l="1"/>
  <c r="C28" i="3"/>
  <c r="B81" i="3"/>
  <c r="B96" i="3" l="1"/>
  <c r="C43" i="3"/>
  <c r="C58" i="3"/>
  <c r="AA92" i="3"/>
  <c r="B93" i="3"/>
  <c r="B90" i="3"/>
  <c r="C80" i="3"/>
  <c r="C104" i="3"/>
  <c r="O84" i="3"/>
  <c r="O87" i="3" s="1"/>
  <c r="N130" i="3"/>
  <c r="O130" i="3" s="1"/>
  <c r="N128" i="3"/>
  <c r="O128" i="3"/>
  <c r="N119" i="3"/>
  <c r="N96" i="3"/>
  <c r="O80" i="3"/>
  <c r="O81" i="3" s="1"/>
  <c r="O54" i="3"/>
  <c r="O22" i="3"/>
  <c r="C89" i="3" l="1"/>
  <c r="O14" i="3"/>
  <c r="O17" i="3"/>
  <c r="C70" i="3"/>
  <c r="B131" i="3"/>
  <c r="O11" i="3"/>
  <c r="C53" i="3"/>
  <c r="C42" i="3"/>
  <c r="O28" i="3"/>
  <c r="C64" i="3"/>
  <c r="C96" i="3"/>
  <c r="C65" i="3"/>
  <c r="C84" i="3"/>
  <c r="C87" i="3" s="1"/>
  <c r="O108" i="3"/>
  <c r="O47" i="3"/>
  <c r="O71" i="3"/>
  <c r="O70" i="3"/>
  <c r="O48" i="3"/>
  <c r="O72" i="3" l="1"/>
  <c r="O55" i="3"/>
  <c r="O62" i="3"/>
  <c r="O65" i="3"/>
  <c r="O64" i="3"/>
  <c r="M58" i="3" l="1"/>
  <c r="M70" i="3"/>
  <c r="M54" i="3" l="1"/>
  <c r="M53" i="3"/>
  <c r="M71" i="3"/>
  <c r="M72" i="3" s="1"/>
  <c r="M43" i="3"/>
  <c r="M48" i="3"/>
  <c r="M63" i="3"/>
  <c r="M66" i="3"/>
  <c r="M47" i="3"/>
  <c r="K54" i="3"/>
  <c r="X57" i="3"/>
  <c r="K63" i="3" l="1"/>
  <c r="K47" i="3"/>
  <c r="K48" i="3"/>
  <c r="H119" i="3"/>
  <c r="I118" i="3" l="1"/>
  <c r="I119" i="3" s="1"/>
  <c r="H131" i="3"/>
  <c r="K55" i="3"/>
  <c r="F119" i="3"/>
  <c r="G119" i="3" l="1"/>
  <c r="H133" i="3"/>
  <c r="G28" i="3"/>
  <c r="D119" i="3"/>
  <c r="B119" i="3"/>
  <c r="C119" i="3" l="1"/>
  <c r="Y119" i="3"/>
  <c r="Z83" i="3"/>
  <c r="R64" i="3" l="1"/>
  <c r="AA86" i="3"/>
  <c r="AA87" i="3" s="1"/>
  <c r="AB85" i="3" s="1"/>
  <c r="AA29" i="3"/>
  <c r="AA27" i="3"/>
  <c r="AA26" i="3"/>
  <c r="AA25" i="3"/>
  <c r="AA23" i="3"/>
  <c r="AA22" i="3"/>
  <c r="AA21" i="3"/>
  <c r="AA20" i="3"/>
  <c r="AA19" i="3"/>
  <c r="AA18" i="3"/>
  <c r="AA17" i="3"/>
  <c r="AA16" i="3"/>
  <c r="AA15" i="3"/>
  <c r="AA13" i="3"/>
  <c r="AA11" i="3"/>
  <c r="AA10" i="3"/>
  <c r="AA9" i="3"/>
  <c r="AA8" i="3"/>
  <c r="AA7" i="3"/>
  <c r="AA6" i="3"/>
  <c r="AA68" i="3" l="1"/>
  <c r="AA81" i="3"/>
  <c r="AB80" i="3" s="1"/>
  <c r="AA96" i="3"/>
  <c r="W119" i="3"/>
  <c r="AB65" i="3" l="1"/>
  <c r="AB60" i="3"/>
  <c r="AB63" i="3"/>
  <c r="AB59" i="3"/>
  <c r="AB61" i="3"/>
  <c r="AB67" i="3"/>
  <c r="AB62" i="3"/>
  <c r="AB64" i="3"/>
  <c r="AB57" i="3"/>
  <c r="AB66" i="3"/>
  <c r="AB58" i="3"/>
  <c r="X45" i="3"/>
  <c r="X53" i="3"/>
  <c r="X47" i="3"/>
  <c r="X102" i="3"/>
  <c r="X104" i="3" s="1"/>
  <c r="U119" i="3"/>
  <c r="V66" i="3" l="1"/>
  <c r="AA119" i="3"/>
  <c r="S119" i="3" l="1"/>
  <c r="Q119" i="3"/>
  <c r="AA24" i="3" l="1"/>
  <c r="AA30" i="3" l="1"/>
  <c r="AB14" i="3" s="1"/>
  <c r="O66" i="3"/>
  <c r="L119" i="3"/>
  <c r="AB8" i="3" l="1"/>
  <c r="AB12" i="3"/>
  <c r="AB23" i="3"/>
  <c r="AB28" i="3"/>
  <c r="O15" i="3"/>
  <c r="O20" i="3"/>
  <c r="O9" i="3"/>
  <c r="O16" i="3"/>
  <c r="O21" i="3"/>
  <c r="O24" i="3"/>
  <c r="M119" i="3"/>
  <c r="O27" i="3"/>
  <c r="O6" i="3"/>
  <c r="O18" i="3"/>
  <c r="O13" i="3"/>
  <c r="O7" i="3"/>
  <c r="O25" i="3"/>
  <c r="O29" i="3"/>
  <c r="J128" i="3"/>
  <c r="AB83" i="3"/>
  <c r="O30" i="3" l="1"/>
  <c r="K127" i="3"/>
  <c r="J131" i="3"/>
  <c r="G9" i="3" l="1"/>
  <c r="G11" i="3"/>
  <c r="G7" i="3"/>
  <c r="G6" i="3"/>
  <c r="G13" i="3"/>
  <c r="G19" i="3"/>
  <c r="G17" i="3"/>
  <c r="AA98" i="3" l="1"/>
  <c r="AA100" i="3" s="1"/>
  <c r="AB99" i="3" s="1"/>
  <c r="Z54" i="3" l="1"/>
  <c r="Z53" i="3"/>
  <c r="Z43" i="3"/>
  <c r="Z42" i="3"/>
  <c r="Z47" i="3"/>
  <c r="Z102" i="3"/>
  <c r="AB118" i="3"/>
  <c r="AB119" i="3" s="1"/>
  <c r="AB98" i="3"/>
  <c r="AB100" i="3" s="1"/>
  <c r="Z55" i="3" l="1"/>
  <c r="R43" i="3"/>
  <c r="R53" i="3"/>
  <c r="R54" i="3"/>
  <c r="R47" i="3"/>
  <c r="J119" i="3"/>
  <c r="K119" i="3"/>
  <c r="E119" i="3"/>
  <c r="N133" i="3" l="1"/>
  <c r="M28" i="3"/>
  <c r="M10" i="3"/>
  <c r="M96" i="3"/>
  <c r="O119" i="3"/>
  <c r="O89" i="3"/>
  <c r="O90" i="3" s="1"/>
  <c r="O96" i="3"/>
  <c r="O124" i="3"/>
  <c r="O125" i="3" s="1"/>
  <c r="O115" i="3"/>
  <c r="O116" i="3" s="1"/>
  <c r="O92" i="3"/>
  <c r="O93" i="3" s="1"/>
  <c r="O63" i="3"/>
  <c r="O61" i="3"/>
  <c r="X118" i="3"/>
  <c r="V119" i="3"/>
  <c r="M29" i="3"/>
  <c r="M24" i="3"/>
  <c r="M21" i="3"/>
  <c r="M17" i="3"/>
  <c r="M15" i="3"/>
  <c r="M11" i="3"/>
  <c r="M27" i="3"/>
  <c r="M25" i="3"/>
  <c r="M22" i="3"/>
  <c r="M20" i="3"/>
  <c r="M18" i="3"/>
  <c r="M16" i="3"/>
  <c r="M9" i="3"/>
  <c r="O68" i="3" l="1"/>
  <c r="R119" i="3"/>
  <c r="K104" i="3"/>
  <c r="X119" i="3"/>
  <c r="M30" i="3"/>
  <c r="Z119" i="3"/>
  <c r="G104" i="3" l="1"/>
  <c r="E102" i="3" l="1"/>
  <c r="E104" i="3" s="1"/>
  <c r="C9" i="3" l="1"/>
  <c r="C15" i="3"/>
  <c r="C18" i="3"/>
  <c r="C20" i="3"/>
  <c r="C24" i="3"/>
  <c r="C27" i="3"/>
  <c r="C29" i="3"/>
  <c r="C7" i="3"/>
  <c r="C11" i="3"/>
  <c r="C13" i="3"/>
  <c r="C16" i="3"/>
  <c r="C21" i="3"/>
  <c r="C25" i="3"/>
  <c r="C30" i="3" l="1"/>
  <c r="Z7" i="3"/>
  <c r="Z28" i="3"/>
  <c r="Z29" i="3"/>
  <c r="Z25" i="3"/>
  <c r="Z27" i="3"/>
  <c r="Z22" i="3"/>
  <c r="Z24" i="3"/>
  <c r="Z20" i="3"/>
  <c r="Z21" i="3"/>
  <c r="Z18" i="3"/>
  <c r="Z19" i="3"/>
  <c r="Z15" i="3"/>
  <c r="Z16" i="3"/>
  <c r="Z11" i="3"/>
  <c r="Z13" i="3"/>
  <c r="Z6" i="3"/>
  <c r="Z9" i="3"/>
  <c r="Z104" i="3"/>
  <c r="V102" i="3" l="1"/>
  <c r="V104" i="3" s="1"/>
  <c r="T102" i="3" l="1"/>
  <c r="R48" i="3"/>
  <c r="R28" i="3" l="1"/>
  <c r="R17" i="3"/>
  <c r="R8" i="3"/>
  <c r="R27" i="3"/>
  <c r="R29" i="3"/>
  <c r="R25" i="3"/>
  <c r="R26" i="3"/>
  <c r="R24" i="3"/>
  <c r="R21" i="3"/>
  <c r="R22" i="3"/>
  <c r="R20" i="3"/>
  <c r="R16" i="3"/>
  <c r="R18" i="3"/>
  <c r="R13" i="3"/>
  <c r="R15" i="3"/>
  <c r="R9" i="3"/>
  <c r="R11" i="3"/>
  <c r="R6" i="3"/>
  <c r="R7" i="3"/>
  <c r="M89" i="3" l="1"/>
  <c r="M115" i="3"/>
  <c r="M116" i="3" s="1"/>
  <c r="M92" i="3"/>
  <c r="M121" i="3"/>
  <c r="M122" i="3" s="1"/>
  <c r="L128" i="3"/>
  <c r="U125" i="3"/>
  <c r="D125" i="3"/>
  <c r="C124" i="3"/>
  <c r="AA125" i="3"/>
  <c r="M124" i="3" l="1"/>
  <c r="M125" i="3" s="1"/>
  <c r="M84" i="3"/>
  <c r="M87" i="3" s="1"/>
  <c r="R124" i="3"/>
  <c r="R125" i="3" s="1"/>
  <c r="V124" i="3"/>
  <c r="V125" i="3" s="1"/>
  <c r="Z124" i="3"/>
  <c r="Z125" i="3" s="1"/>
  <c r="T124" i="3"/>
  <c r="T125" i="3" s="1"/>
  <c r="X124" i="3"/>
  <c r="X125" i="3" s="1"/>
  <c r="K124" i="3"/>
  <c r="K125" i="3" s="1"/>
  <c r="M62" i="3"/>
  <c r="M64" i="3"/>
  <c r="M65" i="3"/>
  <c r="G124" i="3"/>
  <c r="G125" i="3" s="1"/>
  <c r="E124" i="3"/>
  <c r="E125" i="3" s="1"/>
  <c r="AA93" i="3"/>
  <c r="AA128" i="3"/>
  <c r="AB127" i="3" s="1"/>
  <c r="C125" i="3"/>
  <c r="AB124" i="3"/>
  <c r="AB125" i="3" s="1"/>
  <c r="AB70" i="3" l="1"/>
  <c r="AB72" i="3" s="1"/>
  <c r="M68" i="3"/>
  <c r="M55" i="3"/>
  <c r="AB102" i="3"/>
  <c r="AB86" i="3"/>
  <c r="G27" i="3"/>
  <c r="G29" i="3"/>
  <c r="G25" i="3"/>
  <c r="G21" i="3"/>
  <c r="G24" i="3"/>
  <c r="G18" i="3"/>
  <c r="G20" i="3"/>
  <c r="G15" i="3"/>
  <c r="G16" i="3"/>
  <c r="G10" i="3"/>
  <c r="U93" i="3"/>
  <c r="Z89" i="3"/>
  <c r="U90" i="3"/>
  <c r="Y96" i="3"/>
  <c r="AA116" i="3"/>
  <c r="Y116" i="3"/>
  <c r="W87" i="3"/>
  <c r="AA122" i="3"/>
  <c r="G30" i="3" l="1"/>
  <c r="V89" i="3"/>
  <c r="X17" i="3"/>
  <c r="X28" i="3"/>
  <c r="Z71" i="3"/>
  <c r="V52" i="3"/>
  <c r="V53" i="3"/>
  <c r="V49" i="3"/>
  <c r="V47" i="3"/>
  <c r="V43" i="3"/>
  <c r="J133" i="3"/>
  <c r="G80" i="3"/>
  <c r="G81" i="3" s="1"/>
  <c r="G43" i="3"/>
  <c r="E80" i="3"/>
  <c r="E81" i="3" s="1"/>
  <c r="K92" i="3"/>
  <c r="K93" i="3" s="1"/>
  <c r="R84" i="3"/>
  <c r="Z121" i="3"/>
  <c r="G66" i="3"/>
  <c r="R89" i="3"/>
  <c r="T92" i="3"/>
  <c r="X92" i="3"/>
  <c r="K121" i="3"/>
  <c r="K87" i="3"/>
  <c r="G54" i="3"/>
  <c r="T66" i="3"/>
  <c r="E96" i="3"/>
  <c r="K96" i="3"/>
  <c r="X95" i="3"/>
  <c r="T89" i="3"/>
  <c r="X89" i="3"/>
  <c r="R92" i="3"/>
  <c r="V92" i="3"/>
  <c r="Z92" i="3"/>
  <c r="E58" i="3"/>
  <c r="X66" i="3"/>
  <c r="X43" i="3"/>
  <c r="X54" i="3"/>
  <c r="X42" i="3"/>
  <c r="T54" i="3"/>
  <c r="T47" i="3"/>
  <c r="X10" i="3"/>
  <c r="X11" i="3"/>
  <c r="V63" i="3"/>
  <c r="V64" i="3"/>
  <c r="V61" i="3"/>
  <c r="V62" i="3"/>
  <c r="R71" i="3"/>
  <c r="AB104" i="3"/>
  <c r="AB84" i="3"/>
  <c r="Z84" i="3"/>
  <c r="Z86" i="3"/>
  <c r="Z66" i="3"/>
  <c r="X29" i="3"/>
  <c r="Z64" i="3"/>
  <c r="Z65" i="3"/>
  <c r="Z62" i="3"/>
  <c r="Z63" i="3"/>
  <c r="Z58" i="3"/>
  <c r="X64" i="3"/>
  <c r="X65" i="3"/>
  <c r="X62" i="3"/>
  <c r="X63" i="3"/>
  <c r="X58" i="3"/>
  <c r="X25" i="3"/>
  <c r="X27" i="3"/>
  <c r="X24" i="3"/>
  <c r="X21" i="3"/>
  <c r="X22" i="3"/>
  <c r="X19" i="3"/>
  <c r="X20" i="3"/>
  <c r="X16" i="3"/>
  <c r="X18" i="3"/>
  <c r="X13" i="3"/>
  <c r="X15" i="3"/>
  <c r="X9" i="3"/>
  <c r="X6" i="3"/>
  <c r="X7" i="3"/>
  <c r="V58" i="3"/>
  <c r="T64" i="3"/>
  <c r="T65" i="3"/>
  <c r="T62" i="3"/>
  <c r="T63" i="3"/>
  <c r="T61" i="3"/>
  <c r="R66" i="3"/>
  <c r="R65" i="3"/>
  <c r="R62" i="3"/>
  <c r="R63" i="3"/>
  <c r="R58" i="3"/>
  <c r="R61" i="3"/>
  <c r="E54" i="3"/>
  <c r="E47" i="3"/>
  <c r="E48" i="3"/>
  <c r="E65" i="3"/>
  <c r="E63" i="3"/>
  <c r="E66" i="3"/>
  <c r="E62" i="3"/>
  <c r="E64" i="3"/>
  <c r="G64" i="3"/>
  <c r="G65" i="3"/>
  <c r="G62" i="3"/>
  <c r="G63" i="3"/>
  <c r="G58" i="3"/>
  <c r="G61" i="3"/>
  <c r="G47" i="3"/>
  <c r="C81" i="3"/>
  <c r="AB95" i="3"/>
  <c r="F87" i="3"/>
  <c r="D122" i="3"/>
  <c r="D116" i="3"/>
  <c r="D87" i="3"/>
  <c r="C121" i="3"/>
  <c r="C92" i="3"/>
  <c r="U116" i="3"/>
  <c r="U122" i="3"/>
  <c r="Y128" i="3"/>
  <c r="W128" i="3"/>
  <c r="U128" i="3"/>
  <c r="S128" i="3"/>
  <c r="F128" i="3"/>
  <c r="D128" i="3"/>
  <c r="B128" i="3"/>
  <c r="R100" i="3"/>
  <c r="D100" i="3"/>
  <c r="B100" i="3"/>
  <c r="Q96" i="3"/>
  <c r="V70" i="3"/>
  <c r="T70" i="3"/>
  <c r="Z68" i="3" l="1"/>
  <c r="U131" i="3"/>
  <c r="R95" i="3"/>
  <c r="R96" i="3" s="1"/>
  <c r="Q131" i="3"/>
  <c r="Q133" i="3" s="1"/>
  <c r="T68" i="3"/>
  <c r="T55" i="3"/>
  <c r="D131" i="3"/>
  <c r="G55" i="3"/>
  <c r="E68" i="3"/>
  <c r="G68" i="3"/>
  <c r="E55" i="3"/>
  <c r="E121" i="3"/>
  <c r="E122" i="3" s="1"/>
  <c r="X121" i="3"/>
  <c r="X122" i="3" s="1"/>
  <c r="T95" i="3"/>
  <c r="T96" i="3" s="1"/>
  <c r="U96" i="3" s="1"/>
  <c r="X30" i="3"/>
  <c r="X68" i="3"/>
  <c r="E84" i="3"/>
  <c r="E87" i="3" s="1"/>
  <c r="Z96" i="3"/>
  <c r="V68" i="3"/>
  <c r="V55" i="3"/>
  <c r="C71" i="3"/>
  <c r="C128" i="3"/>
  <c r="K70" i="3"/>
  <c r="Z128" i="3"/>
  <c r="R68" i="3"/>
  <c r="T71" i="3"/>
  <c r="X71" i="3"/>
  <c r="T121" i="3"/>
  <c r="T122" i="3" s="1"/>
  <c r="V115" i="3"/>
  <c r="V116" i="3" s="1"/>
  <c r="G115" i="3"/>
  <c r="G116" i="3" s="1"/>
  <c r="G89" i="3"/>
  <c r="G90" i="3" s="1"/>
  <c r="V71" i="3"/>
  <c r="V72" i="3" s="1"/>
  <c r="T128" i="3"/>
  <c r="R121" i="3"/>
  <c r="R122" i="3" s="1"/>
  <c r="V121" i="3"/>
  <c r="V122" i="3" s="1"/>
  <c r="K115" i="3"/>
  <c r="K116" i="3" s="1"/>
  <c r="T115" i="3"/>
  <c r="T116" i="3" s="1"/>
  <c r="X115" i="3"/>
  <c r="X116" i="3" s="1"/>
  <c r="E89" i="3"/>
  <c r="E90" i="3" s="1"/>
  <c r="E115" i="3"/>
  <c r="E116" i="3" s="1"/>
  <c r="G121" i="3"/>
  <c r="G122" i="3" s="1"/>
  <c r="G92" i="3"/>
  <c r="G93" i="3" s="1"/>
  <c r="K71" i="3"/>
  <c r="E71" i="3"/>
  <c r="E72" i="3" s="1"/>
  <c r="G71" i="3"/>
  <c r="C93" i="3"/>
  <c r="R115" i="3"/>
  <c r="R116" i="3" s="1"/>
  <c r="E92" i="3"/>
  <c r="E93" i="3" s="1"/>
  <c r="X87" i="3"/>
  <c r="C90" i="3"/>
  <c r="C100" i="3"/>
  <c r="M128" i="3"/>
  <c r="E100" i="3"/>
  <c r="X128" i="3"/>
  <c r="Z30" i="3"/>
  <c r="Z87" i="3"/>
  <c r="Z116" i="3"/>
  <c r="Z122" i="3"/>
  <c r="Z93" i="3"/>
  <c r="Z90" i="3"/>
  <c r="X93" i="3"/>
  <c r="X90" i="3"/>
  <c r="V93" i="3"/>
  <c r="T93" i="3"/>
  <c r="T90" i="3"/>
  <c r="R80" i="3"/>
  <c r="R93" i="3"/>
  <c r="K122" i="3"/>
  <c r="AB121" i="3"/>
  <c r="C116" i="3"/>
  <c r="C122" i="3"/>
  <c r="R55" i="3"/>
  <c r="M100" i="3"/>
  <c r="M90" i="3"/>
  <c r="R90" i="3"/>
  <c r="X96" i="3"/>
  <c r="K100" i="3"/>
  <c r="O100" i="3"/>
  <c r="K128" i="3"/>
  <c r="M93" i="3"/>
  <c r="K90" i="3"/>
  <c r="E128" i="3"/>
  <c r="AB115" i="3"/>
  <c r="AA131" i="3" l="1"/>
  <c r="D133" i="3"/>
  <c r="V96" i="3"/>
  <c r="K72" i="3"/>
  <c r="M81" i="3"/>
  <c r="L133" i="3"/>
  <c r="G87" i="3"/>
  <c r="G96" i="3"/>
  <c r="T87" i="3"/>
  <c r="AB68" i="3"/>
  <c r="X55" i="3"/>
  <c r="Z72" i="3"/>
  <c r="T72" i="3"/>
  <c r="X72" i="3"/>
  <c r="T104" i="3"/>
  <c r="V128" i="3"/>
  <c r="V90" i="3"/>
  <c r="R81" i="3"/>
  <c r="C72" i="3"/>
  <c r="AB116" i="3"/>
  <c r="G72" i="3"/>
  <c r="R128" i="3"/>
  <c r="R87" i="3"/>
  <c r="R30" i="3"/>
  <c r="AB92" i="3"/>
  <c r="AB93" i="3" s="1"/>
  <c r="R72" i="3"/>
  <c r="AB122" i="3"/>
  <c r="Y133" i="3" l="1"/>
  <c r="Z80" i="3"/>
  <c r="Z81" i="3" s="1"/>
  <c r="W133" i="3"/>
  <c r="V80" i="3"/>
  <c r="V81" i="3" s="1"/>
  <c r="U133" i="3"/>
  <c r="T80" i="3"/>
  <c r="T81" i="3" s="1"/>
  <c r="X81" i="3"/>
  <c r="AB87" i="3"/>
  <c r="AB96" i="3"/>
  <c r="AB128" i="3"/>
  <c r="AB90" i="3"/>
  <c r="AB81" i="3" l="1"/>
  <c r="T23" i="3" l="1"/>
  <c r="T22" i="3" l="1"/>
  <c r="T28" i="3"/>
  <c r="T17" i="3"/>
  <c r="T27" i="3"/>
  <c r="T29" i="3"/>
  <c r="T25" i="3"/>
  <c r="T24" i="3"/>
  <c r="T16" i="3"/>
  <c r="T6" i="3"/>
  <c r="T11" i="3"/>
  <c r="T15" i="3"/>
  <c r="T9" i="3"/>
  <c r="T21" i="3"/>
  <c r="T18" i="3"/>
  <c r="T13" i="3"/>
  <c r="T7" i="3"/>
  <c r="T20" i="3"/>
  <c r="AA132" i="3" l="1"/>
  <c r="AB13" i="3"/>
  <c r="AB20" i="3"/>
  <c r="AB7" i="3"/>
  <c r="AB21" i="3"/>
  <c r="AB24" i="3"/>
  <c r="AB9" i="3"/>
  <c r="AB29" i="3"/>
  <c r="AB11" i="3"/>
  <c r="AB10" i="3"/>
  <c r="AB16" i="3"/>
  <c r="AB6" i="3"/>
  <c r="AB17" i="3"/>
  <c r="AB19" i="3"/>
  <c r="AB18" i="3"/>
  <c r="AB25" i="3"/>
  <c r="AB26" i="3"/>
  <c r="AB27" i="3"/>
  <c r="AB15" i="3"/>
  <c r="T30" i="3"/>
  <c r="AB22" i="3"/>
  <c r="AB30" i="3" l="1"/>
  <c r="AB132" i="3"/>
  <c r="T119" i="3" l="1"/>
  <c r="S133" i="3" l="1"/>
  <c r="C54" i="3" l="1"/>
  <c r="C47" i="3"/>
  <c r="C48" i="3"/>
  <c r="AB42" i="3"/>
  <c r="AB47" i="3" l="1"/>
  <c r="AB49" i="3"/>
  <c r="AB45" i="3"/>
  <c r="AB46" i="3"/>
  <c r="AB44" i="3"/>
  <c r="AB54" i="3"/>
  <c r="AB50" i="3"/>
  <c r="C55" i="3"/>
  <c r="AB51" i="3"/>
  <c r="AB52" i="3"/>
  <c r="AB48" i="3"/>
  <c r="AB55" i="3" l="1"/>
  <c r="K64" i="3"/>
  <c r="K62" i="3"/>
  <c r="K61" i="3"/>
  <c r="K66" i="3"/>
  <c r="K65" i="3"/>
  <c r="K68" i="3" l="1"/>
  <c r="C66" i="3"/>
  <c r="C63" i="3"/>
  <c r="C62" i="3"/>
  <c r="C68" i="3" l="1"/>
  <c r="B133" i="3"/>
  <c r="K21" i="3" l="1"/>
  <c r="K9" i="3"/>
  <c r="K15" i="3"/>
  <c r="K20" i="3"/>
  <c r="K29" i="3"/>
  <c r="K27" i="3"/>
  <c r="K22" i="3"/>
  <c r="K16" i="3"/>
  <c r="K28" i="3"/>
  <c r="K24" i="3"/>
  <c r="K11" i="3"/>
  <c r="K18" i="3"/>
  <c r="K25" i="3"/>
  <c r="K6" i="3"/>
  <c r="K30" i="3" l="1"/>
  <c r="F133" i="3" l="1"/>
  <c r="C108" i="3"/>
  <c r="G128" i="3"/>
  <c r="AA133" i="3" l="1"/>
</calcChain>
</file>

<file path=xl/sharedStrings.xml><?xml version="1.0" encoding="utf-8"?>
<sst xmlns="http://schemas.openxmlformats.org/spreadsheetml/2006/main" count="327" uniqueCount="135">
  <si>
    <t>VOLUME OF FISH TRADED / BROKER</t>
  </si>
  <si>
    <t>NAME OF BROKER</t>
  </si>
  <si>
    <t>BL</t>
  </si>
  <si>
    <t>DL</t>
  </si>
  <si>
    <t>D &amp; D</t>
  </si>
  <si>
    <t>JMP ( FORMER G &amp; G)</t>
  </si>
  <si>
    <t>LJL ( FORMER HABIBI )</t>
  </si>
  <si>
    <t>JRM</t>
  </si>
  <si>
    <t>LCM</t>
  </si>
  <si>
    <t>PM ( FR )</t>
  </si>
  <si>
    <t>MJR</t>
  </si>
  <si>
    <t>ELY/DAISY ( FORMER NLS )</t>
  </si>
  <si>
    <t>OPM</t>
  </si>
  <si>
    <t>RAT</t>
  </si>
  <si>
    <t xml:space="preserve">ROMELA </t>
  </si>
  <si>
    <t>ST.DOMINIC</t>
  </si>
  <si>
    <t>SMN</t>
  </si>
  <si>
    <t>STAR LALA</t>
  </si>
  <si>
    <t>TD</t>
  </si>
  <si>
    <t>WNNW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</si>
  <si>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</si>
  <si>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</si>
  <si>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</si>
  <si>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</si>
  <si>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</si>
  <si>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</si>
  <si>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</si>
  <si>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</si>
  <si>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SEPTEMBER</t>
  </si>
  <si>
    <t>OCTOBER</t>
  </si>
  <si>
    <t>NOVEMBER</t>
  </si>
  <si>
    <t>DECENBER</t>
  </si>
  <si>
    <t>CY:2010</t>
  </si>
  <si>
    <t>FISHING GROUND</t>
  </si>
  <si>
    <t>MARINDUQUE</t>
  </si>
  <si>
    <t>BURIAS</t>
  </si>
  <si>
    <t>ROMBLON</t>
  </si>
  <si>
    <t>AUGUST</t>
  </si>
  <si>
    <t>DECEMBER</t>
  </si>
  <si>
    <t>ORIGIN</t>
  </si>
  <si>
    <t xml:space="preserve">JUNE </t>
  </si>
  <si>
    <t>CALAUAG</t>
  </si>
  <si>
    <t>GENERAL LUNA</t>
  </si>
  <si>
    <t>GUMACA</t>
  </si>
  <si>
    <t>INFANTA</t>
  </si>
  <si>
    <t>MACALELON</t>
  </si>
  <si>
    <t>MAUBAN</t>
  </si>
  <si>
    <t>MULANAY</t>
  </si>
  <si>
    <t>PADRE BURGOS</t>
  </si>
  <si>
    <t>PAGBILAO</t>
  </si>
  <si>
    <t>PITOGO</t>
  </si>
  <si>
    <t>SAN ANDRES</t>
  </si>
  <si>
    <t>TAGKAWAYAN</t>
  </si>
  <si>
    <t>STA.ROSA</t>
  </si>
  <si>
    <t xml:space="preserve">SOURCE OF FISH UNLOADED BY FISHING GROUND </t>
  </si>
  <si>
    <t>ATIMONAN</t>
  </si>
  <si>
    <t>TALISAY</t>
  </si>
  <si>
    <t>PARACALE</t>
  </si>
  <si>
    <t>PASACAO</t>
  </si>
  <si>
    <t>STA.ELENA</t>
  </si>
  <si>
    <t xml:space="preserve">BULACAN </t>
  </si>
  <si>
    <t>T  O  T  A  L</t>
  </si>
  <si>
    <t>SAN NARCISO</t>
  </si>
  <si>
    <t>PANGANIBAN</t>
  </si>
  <si>
    <t>LAGUNA</t>
  </si>
  <si>
    <t>ZAMBALES</t>
  </si>
  <si>
    <t>RAGAY</t>
  </si>
  <si>
    <t xml:space="preserve">METRO MANILA </t>
  </si>
  <si>
    <t>NAVOTAS</t>
  </si>
  <si>
    <t>PALAWAN</t>
  </si>
  <si>
    <t>MINDANAO</t>
  </si>
  <si>
    <t>CATANUAN</t>
  </si>
  <si>
    <t>SUBTOTAL</t>
  </si>
  <si>
    <t>Volume</t>
  </si>
  <si>
    <t>QUEZON</t>
  </si>
  <si>
    <t>BATANGAS</t>
  </si>
  <si>
    <t>BICOL</t>
  </si>
  <si>
    <t>BULACAN</t>
  </si>
  <si>
    <t>MINDORO</t>
  </si>
  <si>
    <t>%</t>
  </si>
  <si>
    <t>AGDANGAN</t>
  </si>
  <si>
    <t>MASBATE</t>
  </si>
  <si>
    <t>PALAWAN SEA</t>
  </si>
  <si>
    <t>ROMBLON SEA</t>
  </si>
  <si>
    <t>MARINDUQUE ISLAND</t>
  </si>
  <si>
    <t>BULAN</t>
  </si>
  <si>
    <t>HAGONOY</t>
  </si>
  <si>
    <t>RIZAL</t>
  </si>
  <si>
    <t>BURIAS BAY</t>
  </si>
  <si>
    <t>LAUREL</t>
  </si>
  <si>
    <t>STA. CRUZ</t>
  </si>
  <si>
    <t>LIPA</t>
  </si>
  <si>
    <t>UNISAN</t>
  </si>
  <si>
    <t>CAVITE</t>
  </si>
  <si>
    <r>
      <t>SAN FRANCISCO (</t>
    </r>
    <r>
      <rPr>
        <b/>
        <i/>
        <sz val="8"/>
        <color theme="1"/>
        <rFont val="Arial"/>
        <family val="2"/>
      </rPr>
      <t>Aurora</t>
    </r>
    <r>
      <rPr>
        <b/>
        <sz val="8"/>
        <color theme="1"/>
        <rFont val="Arial"/>
        <family val="2"/>
      </rPr>
      <t>)</t>
    </r>
  </si>
  <si>
    <t>SAN JUAN</t>
  </si>
  <si>
    <t>SOUTHERN TAGALOG</t>
  </si>
  <si>
    <t>TAYABAS BAY</t>
  </si>
  <si>
    <t xml:space="preserve"> </t>
  </si>
  <si>
    <t>LEMERY</t>
  </si>
  <si>
    <t>MERCEDEZ</t>
  </si>
  <si>
    <t xml:space="preserve">ROMBLON </t>
  </si>
  <si>
    <t>IBA</t>
  </si>
  <si>
    <t>BUENAVISTA</t>
  </si>
  <si>
    <t>ALBAY</t>
  </si>
  <si>
    <t>BATANGAS BAY</t>
  </si>
  <si>
    <t>BATANGAS CITY (Capital)</t>
  </si>
  <si>
    <t>LIAN</t>
  </si>
  <si>
    <t>CAMALIGAN</t>
  </si>
  <si>
    <t>TAYABAS</t>
  </si>
  <si>
    <t>CAVITE CITY</t>
  </si>
  <si>
    <t>REAL</t>
  </si>
  <si>
    <t>MINDORO STRAIT</t>
  </si>
  <si>
    <t>VARIOUS MUNICIPALITIES</t>
  </si>
  <si>
    <t>NORTHERN LUZON</t>
  </si>
  <si>
    <t>MAMBURAO/CALAPAN</t>
  </si>
  <si>
    <t>CALATAGAN</t>
  </si>
  <si>
    <t>TAAL</t>
  </si>
  <si>
    <t>GENERAL SANTOS</t>
  </si>
  <si>
    <t>NUEVA ECIJA</t>
  </si>
  <si>
    <t>GUINYANGAN</t>
  </si>
  <si>
    <t>FISH UNLOADING (in KGS) BY ORIGIN CY - 2019.</t>
  </si>
  <si>
    <t>Continuation of Fish Unloading by Origin 2019.</t>
  </si>
  <si>
    <t>BATAAN/ISABELA/N.VISCAYA</t>
  </si>
  <si>
    <t>DAET</t>
  </si>
  <si>
    <t>ANGONO</t>
  </si>
  <si>
    <t>SURIGAO /AGUSAN</t>
  </si>
  <si>
    <t>IBAAN</t>
  </si>
  <si>
    <t>MABINI</t>
  </si>
  <si>
    <t>GENERAL NAKAR</t>
  </si>
  <si>
    <t>LUCENA CITY</t>
  </si>
  <si>
    <t>CAVINTI</t>
  </si>
  <si>
    <t>BAUAN</t>
  </si>
  <si>
    <t>SAN PEDRO</t>
  </si>
  <si>
    <t>in Tubs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</si>
</sst>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(* #,##0.00_);_(* \(#,##0.00\);_(* &quot;-&quot;??_);_(@_)"/>
    <numFmt numFmtId="164" formatCode="0.0"/>
    <numFmt numFmtId="165" formatCode="#,##0.00;[Red]#,##0.00"/>
    <numFmt numFmtId="166" formatCode="#,##0.000"/>
    <numFmt numFmtId="167" formatCode="#,##0;[Red]#,##0"/>
    <numFmt numFmtId="168" formatCode="_(* #,##0_);_(* \(#,##0\);_(* &quot;-&quot;??_);_(@_)"/>
    <numFmt numFmtId="169" formatCode="0.00;[Red]0.00"/>
    <numFmt numFmtId="170" formatCode="0;[Red]0"/>
    <numFmt numFmtId="171" formatCode="#,##0.000;[Red]#,##0.000"/>
    <numFmt numFmtId="172" formatCode="_(* #,##0.000_);_(* \(#,##0.000\);_(* &quot;-&quot;??_);_(@_)"/>
    <numFmt numFmtId="173" formatCode="0.000;[Red]0.000"/>
    <numFmt numFmtId="174" formatCode="0.000"/>
    <numFmt numFmtId="175" formatCode="#,##0.0"/>
    <numFmt numFmtId="176" formatCode="#,##0.0000;[Red]#,##0.0000"/>
  </numFmts>
  <fonts count="3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b/>
      <sz val="8"/>
      <color theme="6" tint="0.79998168889431442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sz val="16"/>
      <color rgb="FF00B050"/>
      <name val="Arial"/>
      <family val="2"/>
    </font>
    <font>
      <b/>
      <sz val="10"/>
      <color rgb="FF002060"/>
      <name val="Arial"/>
      <family val="2"/>
    </font>
    <font>
      <b/>
      <sz val="10"/>
      <color rgb="FFFF0000"/>
      <name val="Arial"/>
      <family val="2"/>
    </font>
    <font>
      <b/>
      <sz val="12"/>
      <color rgb="FFFF000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rgb="FFFF0000"/>
      <name val="Arial"/>
      <family val="2"/>
    </font>
    <font>
      <sz val="20"/>
      <color theme="1"/>
      <name val="Calibri"/>
      <family val="2"/>
      <scheme val="minor"/>
    </font>
    <font>
      <b/>
      <sz val="12"/>
      <color rgb="FF7030A0"/>
      <name val="Arial"/>
      <family val="2"/>
    </font>
    <font>
      <b/>
      <sz val="12"/>
      <color rgb="FF61349C"/>
      <name val="Arial"/>
      <family val="2"/>
    </font>
    <font>
      <b/>
      <sz val="16"/>
      <color rgb="FF61349C"/>
      <name val="Arial"/>
      <family val="2"/>
    </font>
    <font>
      <b/>
      <sz val="16"/>
      <color rgb="FFFF0000"/>
      <name val="Arial"/>
      <family val="2"/>
    </font>
    <font>
      <b/>
      <sz val="9"/>
      <color rgb="FFFF0000"/>
      <name val="Arial"/>
      <family val="2"/>
    </font>
    <font>
      <sz val="12"/>
      <color theme="1"/>
      <name val="Calibri"/>
      <family val="2"/>
      <scheme val="minor"/>
    </font>
    <font>
      <b/>
      <i/>
      <sz val="8"/>
      <color theme="1"/>
      <name val="Arial"/>
      <family val="2"/>
    </font>
    <font>
      <b/>
      <sz val="11"/>
      <color rgb="FF61349C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i/>
      <sz val="8"/>
      <name val="Arial"/>
      <family val="2"/>
    </font>
    <font>
      <b/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CCAE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0"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17" fillId="0" borderId="0" applyFont="0" applyFill="0" applyBorder="0" applyAlignment="0" applyProtection="0"/>
  </cellStyleXfs>
  <cellXfs count="368">
    <xf numFmtId="0" fontId="0" fillId="0" borderId="0" xfId="0"/>
    <xf numFmtId="0" fontId="4" fillId="2" borderId="1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2" fillId="2" borderId="1" xfId="3" applyFont="1" applyFill="1" applyBorder="1" applyAlignment="1">
      <alignment horizontal="left"/>
    </xf>
    <xf numFmtId="0" fontId="2" fillId="2" borderId="1" xfId="6" applyFont="1" applyFill="1" applyBorder="1" applyAlignment="1">
      <alignment horizontal="left"/>
    </xf>
    <xf numFmtId="0" fontId="2" fillId="2" borderId="1" xfId="4" applyFont="1" applyFill="1" applyBorder="1" applyAlignment="1">
      <alignment horizontal="left"/>
    </xf>
    <xf numFmtId="0" fontId="2" fillId="2" borderId="1" xfId="5" applyFont="1" applyFill="1" applyBorder="1" applyAlignment="1">
      <alignment horizontal="left"/>
    </xf>
    <xf numFmtId="0" fontId="2" fillId="2" borderId="1" xfId="7" applyFont="1" applyFill="1" applyBorder="1" applyAlignment="1">
      <alignment horizontal="left"/>
    </xf>
    <xf numFmtId="0" fontId="2" fillId="2" borderId="1" xfId="8" applyFont="1" applyFill="1" applyBorder="1" applyAlignment="1">
      <alignment horizontal="left"/>
    </xf>
    <xf numFmtId="0" fontId="2" fillId="2" borderId="1" xfId="9" applyFont="1" applyFill="1" applyBorder="1" applyAlignment="1">
      <alignment horizontal="left"/>
    </xf>
    <xf numFmtId="0" fontId="2" fillId="2" borderId="1" xfId="10" applyFont="1" applyFill="1" applyBorder="1" applyAlignment="1">
      <alignment horizontal="left"/>
    </xf>
    <xf numFmtId="0" fontId="2" fillId="2" borderId="1" xfId="11" applyFont="1" applyFill="1" applyBorder="1" applyAlignment="1">
      <alignment horizontal="left"/>
    </xf>
    <xf numFmtId="0" fontId="2" fillId="2" borderId="1" xfId="12" applyFont="1" applyFill="1" applyBorder="1" applyAlignment="1">
      <alignment horizontal="left"/>
    </xf>
    <xf numFmtId="0" fontId="2" fillId="2" borderId="1" xfId="13" applyFont="1" applyFill="1" applyBorder="1" applyAlignment="1">
      <alignment horizontal="left"/>
    </xf>
    <xf numFmtId="0" fontId="2" fillId="2" borderId="1" xfId="14" applyFont="1" applyFill="1" applyBorder="1" applyAlignment="1">
      <alignment horizontal="left"/>
    </xf>
    <xf numFmtId="0" fontId="3" fillId="2" borderId="1" xfId="2" applyFont="1" applyFill="1" applyBorder="1" applyAlignment="1">
      <alignment horizontal="left"/>
    </xf>
    <xf numFmtId="0" fontId="5" fillId="2" borderId="1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0" fontId="7" fillId="2" borderId="1" xfId="1" applyFont="1" applyFill="1" applyBorder="1" applyAlignment="1">
      <alignment horizontal="center"/>
    </xf>
    <xf numFmtId="0" fontId="8" fillId="2" borderId="1" xfId="1" applyFont="1" applyFill="1" applyBorder="1" applyAlignment="1">
      <alignment horizontal="center"/>
    </xf>
    <xf numFmtId="0" fontId="7" fillId="2" borderId="1" xfId="2" applyFont="1" applyFill="1" applyBorder="1" applyAlignment="1">
      <alignment horizontal="left"/>
    </xf>
    <xf numFmtId="0" fontId="8" fillId="2" borderId="1" xfId="3" applyFont="1" applyFill="1" applyBorder="1" applyAlignment="1">
      <alignment horizontal="left"/>
    </xf>
    <xf numFmtId="0" fontId="8" fillId="2" borderId="1" xfId="6" applyFont="1" applyFill="1" applyBorder="1" applyAlignment="1">
      <alignment horizontal="left"/>
    </xf>
    <xf numFmtId="0" fontId="8" fillId="2" borderId="1" xfId="4" applyFont="1" applyFill="1" applyBorder="1" applyAlignment="1">
      <alignment horizontal="left"/>
    </xf>
    <xf numFmtId="0" fontId="8" fillId="2" borderId="1" xfId="5" applyFont="1" applyFill="1" applyBorder="1" applyAlignment="1">
      <alignment horizontal="left"/>
    </xf>
    <xf numFmtId="0" fontId="8" fillId="2" borderId="1" xfId="7" applyFont="1" applyFill="1" applyBorder="1" applyAlignment="1">
      <alignment horizontal="left"/>
    </xf>
    <xf numFmtId="0" fontId="8" fillId="2" borderId="1" xfId="8" applyFont="1" applyFill="1" applyBorder="1" applyAlignment="1">
      <alignment horizontal="left"/>
    </xf>
    <xf numFmtId="0" fontId="8" fillId="2" borderId="1" xfId="9" applyFont="1" applyFill="1" applyBorder="1" applyAlignment="1">
      <alignment horizontal="left"/>
    </xf>
    <xf numFmtId="0" fontId="8" fillId="2" borderId="1" xfId="10" applyFont="1" applyFill="1" applyBorder="1" applyAlignment="1">
      <alignment horizontal="left"/>
    </xf>
    <xf numFmtId="0" fontId="8" fillId="2" borderId="1" xfId="11" applyFont="1" applyFill="1" applyBorder="1" applyAlignment="1">
      <alignment horizontal="left"/>
    </xf>
    <xf numFmtId="0" fontId="8" fillId="2" borderId="1" xfId="12" applyFont="1" applyFill="1" applyBorder="1" applyAlignment="1">
      <alignment horizontal="left"/>
    </xf>
    <xf numFmtId="0" fontId="8" fillId="2" borderId="1" xfId="13" applyFont="1" applyFill="1" applyBorder="1" applyAlignment="1">
      <alignment horizontal="left"/>
    </xf>
    <xf numFmtId="0" fontId="8" fillId="2" borderId="1" xfId="14" applyFont="1" applyFill="1" applyBorder="1" applyAlignment="1">
      <alignment horizontal="left"/>
    </xf>
    <xf numFmtId="0" fontId="0" fillId="0" borderId="0" xfId="0" applyAlignment="1">
      <alignment horizontal="left"/>
    </xf>
    <xf numFmtId="0" fontId="10" fillId="2" borderId="1" xfId="1" applyFont="1" applyFill="1" applyBorder="1" applyAlignment="1">
      <alignment horizontal="center"/>
    </xf>
    <xf numFmtId="0" fontId="10" fillId="2" borderId="1" xfId="14" applyFont="1" applyFill="1" applyBorder="1" applyAlignment="1">
      <alignment horizontal="left"/>
    </xf>
    <xf numFmtId="0" fontId="10" fillId="2" borderId="1" xfId="2" applyFont="1" applyFill="1" applyBorder="1" applyAlignment="1">
      <alignment horizontal="left"/>
    </xf>
    <xf numFmtId="0" fontId="11" fillId="0" borderId="0" xfId="0" applyFont="1"/>
    <xf numFmtId="3" fontId="5" fillId="2" borderId="1" xfId="3" applyNumberFormat="1" applyFont="1" applyFill="1" applyBorder="1" applyAlignment="1">
      <alignment horizontal="left"/>
    </xf>
    <xf numFmtId="0" fontId="5" fillId="2" borderId="1" xfId="3" applyFont="1" applyFill="1" applyBorder="1" applyAlignment="1">
      <alignment horizontal="left"/>
    </xf>
    <xf numFmtId="0" fontId="3" fillId="2" borderId="1" xfId="6" applyFont="1" applyFill="1" applyBorder="1" applyAlignment="1">
      <alignment horizontal="left"/>
    </xf>
    <xf numFmtId="3" fontId="3" fillId="2" borderId="1" xfId="6" applyNumberFormat="1" applyFont="1" applyFill="1" applyBorder="1" applyAlignment="1">
      <alignment horizontal="left"/>
    </xf>
    <xf numFmtId="0" fontId="3" fillId="2" borderId="1" xfId="4" applyFont="1" applyFill="1" applyBorder="1" applyAlignment="1">
      <alignment horizontal="left"/>
    </xf>
    <xf numFmtId="3" fontId="3" fillId="2" borderId="1" xfId="4" applyNumberFormat="1" applyFont="1" applyFill="1" applyBorder="1" applyAlignment="1">
      <alignment horizontal="left"/>
    </xf>
    <xf numFmtId="0" fontId="3" fillId="2" borderId="1" xfId="5" applyFont="1" applyFill="1" applyBorder="1" applyAlignment="1">
      <alignment horizontal="left"/>
    </xf>
    <xf numFmtId="3" fontId="3" fillId="2" borderId="1" xfId="5" applyNumberFormat="1" applyFont="1" applyFill="1" applyBorder="1" applyAlignment="1">
      <alignment horizontal="left"/>
    </xf>
    <xf numFmtId="0" fontId="3" fillId="2" borderId="1" xfId="7" applyFont="1" applyFill="1" applyBorder="1" applyAlignment="1">
      <alignment horizontal="left"/>
    </xf>
    <xf numFmtId="3" fontId="3" fillId="2" borderId="1" xfId="7" applyNumberFormat="1" applyFont="1" applyFill="1" applyBorder="1" applyAlignment="1">
      <alignment horizontal="left"/>
    </xf>
    <xf numFmtId="0" fontId="13" fillId="0" borderId="0" xfId="0" applyFont="1"/>
    <xf numFmtId="0" fontId="14" fillId="0" borderId="0" xfId="0" applyFont="1"/>
    <xf numFmtId="0" fontId="16" fillId="0" borderId="0" xfId="0" applyFont="1"/>
    <xf numFmtId="3" fontId="3" fillId="2" borderId="1" xfId="28" applyNumberFormat="1" applyFont="1" applyFill="1" applyBorder="1" applyAlignment="1">
      <alignment horizontal="right"/>
    </xf>
    <xf numFmtId="3" fontId="0" fillId="0" borderId="0" xfId="0" applyNumberFormat="1"/>
    <xf numFmtId="10" fontId="0" fillId="0" borderId="0" xfId="0" applyNumberFormat="1"/>
    <xf numFmtId="0" fontId="0" fillId="0" borderId="0" xfId="0" applyProtection="1">
      <protection locked="0"/>
    </xf>
    <xf numFmtId="3" fontId="3" fillId="2" borderId="1" xfId="29" applyNumberFormat="1" applyFont="1" applyFill="1" applyBorder="1" applyAlignment="1" applyProtection="1">
      <alignment horizontal="right"/>
      <protection locked="0"/>
    </xf>
    <xf numFmtId="3" fontId="3" fillId="2" borderId="1" xfId="16" applyNumberFormat="1" applyFont="1" applyFill="1" applyBorder="1" applyAlignment="1" applyProtection="1">
      <alignment horizontal="right"/>
      <protection locked="0"/>
    </xf>
    <xf numFmtId="3" fontId="0" fillId="0" borderId="0" xfId="0" applyNumberFormat="1" applyProtection="1">
      <protection locked="0"/>
    </xf>
    <xf numFmtId="0" fontId="13" fillId="0" borderId="0" xfId="0" applyFont="1" applyProtection="1">
      <protection locked="0"/>
    </xf>
    <xf numFmtId="0" fontId="13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/>
      <protection locked="0"/>
    </xf>
    <xf numFmtId="3" fontId="3" fillId="2" borderId="1" xfId="21" applyNumberFormat="1" applyFont="1" applyFill="1" applyBorder="1" applyAlignment="1" applyProtection="1">
      <alignment horizontal="right"/>
      <protection locked="0"/>
    </xf>
    <xf numFmtId="3" fontId="3" fillId="2" borderId="1" xfId="22" applyNumberFormat="1" applyFont="1" applyFill="1" applyBorder="1" applyAlignment="1" applyProtection="1">
      <alignment horizontal="right"/>
      <protection locked="0"/>
    </xf>
    <xf numFmtId="3" fontId="3" fillId="2" borderId="1" xfId="23" applyNumberFormat="1" applyFont="1" applyFill="1" applyBorder="1" applyAlignment="1" applyProtection="1">
      <alignment horizontal="right"/>
      <protection locked="0"/>
    </xf>
    <xf numFmtId="3" fontId="3" fillId="2" borderId="1" xfId="25" applyNumberFormat="1" applyFont="1" applyFill="1" applyBorder="1" applyAlignment="1" applyProtection="1">
      <alignment horizontal="right"/>
      <protection locked="0"/>
    </xf>
    <xf numFmtId="3" fontId="3" fillId="2" borderId="1" xfId="26" applyNumberFormat="1" applyFont="1" applyFill="1" applyBorder="1" applyAlignment="1" applyProtection="1">
      <alignment horizontal="right"/>
      <protection locked="0"/>
    </xf>
    <xf numFmtId="0" fontId="9" fillId="2" borderId="1" xfId="15" applyFont="1" applyFill="1" applyBorder="1" applyAlignment="1">
      <alignment horizontal="left"/>
    </xf>
    <xf numFmtId="3" fontId="19" fillId="2" borderId="1" xfId="29" applyNumberFormat="1" applyFont="1" applyFill="1" applyBorder="1" applyAlignment="1" applyProtection="1">
      <alignment horizontal="right"/>
    </xf>
    <xf numFmtId="0" fontId="12" fillId="0" borderId="0" xfId="0" applyFont="1"/>
    <xf numFmtId="3" fontId="19" fillId="2" borderId="1" xfId="16" applyNumberFormat="1" applyFont="1" applyFill="1" applyBorder="1" applyAlignment="1">
      <alignment horizontal="right"/>
    </xf>
    <xf numFmtId="3" fontId="3" fillId="2" borderId="1" xfId="16" applyNumberFormat="1" applyFont="1" applyFill="1" applyBorder="1" applyAlignment="1">
      <alignment horizontal="right"/>
    </xf>
    <xf numFmtId="0" fontId="3" fillId="0" borderId="1" xfId="15" applyFont="1" applyBorder="1" applyAlignment="1" applyProtection="1">
      <alignment horizontal="left"/>
      <protection locked="0"/>
    </xf>
    <xf numFmtId="0" fontId="5" fillId="2" borderId="1" xfId="15" applyFont="1" applyFill="1" applyBorder="1" applyAlignment="1" applyProtection="1">
      <alignment horizontal="left"/>
      <protection locked="0"/>
    </xf>
    <xf numFmtId="0" fontId="5" fillId="2" borderId="1" xfId="20" applyFont="1" applyFill="1" applyBorder="1" applyAlignment="1" applyProtection="1">
      <alignment horizontal="left"/>
      <protection locked="0"/>
    </xf>
    <xf numFmtId="0" fontId="3" fillId="2" borderId="1" xfId="20" applyFont="1" applyFill="1" applyBorder="1" applyAlignment="1" applyProtection="1">
      <alignment horizontal="left"/>
      <protection locked="0"/>
    </xf>
    <xf numFmtId="0" fontId="3" fillId="2" borderId="1" xfId="17" applyFont="1" applyFill="1" applyBorder="1" applyAlignment="1" applyProtection="1">
      <alignment horizontal="left"/>
      <protection locked="0"/>
    </xf>
    <xf numFmtId="0" fontId="3" fillId="2" borderId="1" xfId="16" applyFont="1" applyFill="1" applyBorder="1" applyAlignment="1" applyProtection="1">
      <alignment horizontal="left"/>
      <protection locked="0"/>
    </xf>
    <xf numFmtId="0" fontId="3" fillId="2" borderId="1" xfId="16" applyFont="1" applyFill="1" applyBorder="1" applyProtection="1">
      <protection locked="0"/>
    </xf>
    <xf numFmtId="0" fontId="9" fillId="2" borderId="6" xfId="15" applyFont="1" applyFill="1" applyBorder="1" applyAlignment="1">
      <alignment horizontal="left"/>
    </xf>
    <xf numFmtId="10" fontId="19" fillId="2" borderId="6" xfId="29" applyNumberFormat="1" applyFont="1" applyFill="1" applyBorder="1" applyAlignment="1" applyProtection="1">
      <alignment horizontal="right"/>
    </xf>
    <xf numFmtId="10" fontId="19" fillId="2" borderId="0" xfId="29" applyNumberFormat="1" applyFont="1" applyFill="1" applyBorder="1" applyAlignment="1" applyProtection="1">
      <alignment horizontal="right"/>
    </xf>
    <xf numFmtId="0" fontId="9" fillId="2" borderId="0" xfId="15" applyFont="1" applyFill="1" applyAlignment="1">
      <alignment horizontal="left"/>
    </xf>
    <xf numFmtId="3" fontId="19" fillId="2" borderId="0" xfId="16" applyNumberFormat="1" applyFont="1" applyFill="1" applyAlignment="1">
      <alignment horizontal="right"/>
    </xf>
    <xf numFmtId="3" fontId="19" fillId="2" borderId="7" xfId="16" applyNumberFormat="1" applyFont="1" applyFill="1" applyBorder="1" applyAlignment="1">
      <alignment horizontal="right"/>
    </xf>
    <xf numFmtId="2" fontId="3" fillId="2" borderId="1" xfId="16" applyNumberFormat="1" applyFont="1" applyFill="1" applyBorder="1" applyAlignment="1">
      <alignment horizontal="right"/>
    </xf>
    <xf numFmtId="3" fontId="19" fillId="2" borderId="6" xfId="29" applyNumberFormat="1" applyFont="1" applyFill="1" applyBorder="1" applyAlignment="1" applyProtection="1">
      <alignment horizontal="right"/>
    </xf>
    <xf numFmtId="3" fontId="19" fillId="2" borderId="0" xfId="29" applyNumberFormat="1" applyFont="1" applyFill="1" applyBorder="1" applyAlignment="1" applyProtection="1">
      <alignment horizontal="right"/>
    </xf>
    <xf numFmtId="3" fontId="12" fillId="0" borderId="0" xfId="0" applyNumberFormat="1" applyFont="1"/>
    <xf numFmtId="2" fontId="3" fillId="2" borderId="1" xfId="29" applyNumberFormat="1" applyFont="1" applyFill="1" applyBorder="1" applyAlignment="1">
      <alignment horizontal="right"/>
    </xf>
    <xf numFmtId="43" fontId="3" fillId="2" borderId="1" xfId="29" applyFont="1" applyFill="1" applyBorder="1" applyAlignment="1">
      <alignment horizontal="right"/>
    </xf>
    <xf numFmtId="2" fontId="19" fillId="2" borderId="1" xfId="29" applyNumberFormat="1" applyFont="1" applyFill="1" applyBorder="1" applyAlignment="1" applyProtection="1">
      <alignment horizontal="right"/>
    </xf>
    <xf numFmtId="2" fontId="19" fillId="2" borderId="1" xfId="16" applyNumberFormat="1" applyFont="1" applyFill="1" applyBorder="1" applyAlignment="1">
      <alignment horizontal="right"/>
    </xf>
    <xf numFmtId="2" fontId="19" fillId="2" borderId="0" xfId="16" applyNumberFormat="1" applyFont="1" applyFill="1" applyAlignment="1">
      <alignment horizontal="right"/>
    </xf>
    <xf numFmtId="0" fontId="9" fillId="2" borderId="4" xfId="15" applyFont="1" applyFill="1" applyBorder="1" applyAlignment="1">
      <alignment horizontal="left"/>
    </xf>
    <xf numFmtId="3" fontId="19" fillId="2" borderId="4" xfId="16" applyNumberFormat="1" applyFont="1" applyFill="1" applyBorder="1" applyAlignment="1">
      <alignment horizontal="right"/>
    </xf>
    <xf numFmtId="2" fontId="19" fillId="2" borderId="4" xfId="16" applyNumberFormat="1" applyFont="1" applyFill="1" applyBorder="1" applyAlignment="1">
      <alignment horizontal="right"/>
    </xf>
    <xf numFmtId="2" fontId="0" fillId="0" borderId="0" xfId="0" applyNumberFormat="1"/>
    <xf numFmtId="4" fontId="19" fillId="2" borderId="1" xfId="29" applyNumberFormat="1" applyFont="1" applyFill="1" applyBorder="1" applyAlignment="1" applyProtection="1">
      <alignment horizontal="right"/>
    </xf>
    <xf numFmtId="4" fontId="3" fillId="2" borderId="1" xfId="16" applyNumberFormat="1" applyFont="1" applyFill="1" applyBorder="1" applyAlignment="1" applyProtection="1">
      <alignment horizontal="right"/>
      <protection locked="0"/>
    </xf>
    <xf numFmtId="1" fontId="0" fillId="0" borderId="0" xfId="0" applyNumberFormat="1"/>
    <xf numFmtId="2" fontId="19" fillId="2" borderId="6" xfId="29" applyNumberFormat="1" applyFont="1" applyFill="1" applyBorder="1" applyAlignment="1" applyProtection="1">
      <alignment horizontal="right"/>
    </xf>
    <xf numFmtId="2" fontId="19" fillId="2" borderId="0" xfId="29" applyNumberFormat="1" applyFont="1" applyFill="1" applyBorder="1" applyAlignment="1" applyProtection="1">
      <alignment horizontal="right"/>
    </xf>
    <xf numFmtId="0" fontId="24" fillId="3" borderId="1" xfId="17" applyFont="1" applyFill="1" applyBorder="1" applyAlignment="1">
      <alignment horizontal="left"/>
    </xf>
    <xf numFmtId="3" fontId="19" fillId="3" borderId="1" xfId="16" applyNumberFormat="1" applyFont="1" applyFill="1" applyBorder="1" applyAlignment="1">
      <alignment horizontal="right"/>
    </xf>
    <xf numFmtId="10" fontId="19" fillId="3" borderId="1" xfId="16" applyNumberFormat="1" applyFont="1" applyFill="1" applyBorder="1" applyAlignment="1">
      <alignment horizontal="right"/>
    </xf>
    <xf numFmtId="2" fontId="19" fillId="3" borderId="1" xfId="16" applyNumberFormat="1" applyFont="1" applyFill="1" applyBorder="1" applyAlignment="1">
      <alignment horizontal="right"/>
    </xf>
    <xf numFmtId="3" fontId="25" fillId="3" borderId="1" xfId="16" applyNumberFormat="1" applyFont="1" applyFill="1" applyBorder="1" applyAlignment="1">
      <alignment horizontal="center"/>
    </xf>
    <xf numFmtId="3" fontId="25" fillId="3" borderId="1" xfId="28" applyNumberFormat="1" applyFont="1" applyFill="1" applyBorder="1" applyAlignment="1">
      <alignment horizontal="center"/>
    </xf>
    <xf numFmtId="3" fontId="3" fillId="2" borderId="1" xfId="27" applyNumberFormat="1" applyFont="1" applyFill="1" applyBorder="1" applyAlignment="1" applyProtection="1">
      <alignment horizontal="right"/>
      <protection locked="0"/>
    </xf>
    <xf numFmtId="0" fontId="20" fillId="0" borderId="0" xfId="0" applyFont="1" applyAlignment="1" applyProtection="1">
      <alignment vertical="center"/>
      <protection locked="0"/>
    </xf>
    <xf numFmtId="10" fontId="20" fillId="0" borderId="0" xfId="0" applyNumberFormat="1" applyFont="1" applyAlignment="1">
      <alignment vertical="center"/>
    </xf>
    <xf numFmtId="0" fontId="14" fillId="0" borderId="0" xfId="0" applyFont="1" applyAlignment="1" applyProtection="1">
      <alignment horizontal="left" vertical="center"/>
      <protection locked="0"/>
    </xf>
    <xf numFmtId="10" fontId="0" fillId="0" borderId="0" xfId="0" applyNumberFormat="1" applyAlignment="1">
      <alignment vertical="center"/>
    </xf>
    <xf numFmtId="0" fontId="13" fillId="0" borderId="0" xfId="0" applyFont="1" applyAlignment="1" applyProtection="1">
      <alignment horizontal="left" vertical="center"/>
      <protection locked="0"/>
    </xf>
    <xf numFmtId="10" fontId="26" fillId="0" borderId="0" xfId="0" applyNumberFormat="1" applyFont="1"/>
    <xf numFmtId="0" fontId="22" fillId="4" borderId="1" xfId="15" applyFont="1" applyFill="1" applyBorder="1" applyAlignment="1">
      <alignment horizontal="left"/>
    </xf>
    <xf numFmtId="3" fontId="3" fillId="4" borderId="1" xfId="16" applyNumberFormat="1" applyFont="1" applyFill="1" applyBorder="1" applyAlignment="1" applyProtection="1">
      <alignment horizontal="right"/>
      <protection locked="0"/>
    </xf>
    <xf numFmtId="10" fontId="3" fillId="4" borderId="1" xfId="16" applyNumberFormat="1" applyFont="1" applyFill="1" applyBorder="1" applyAlignment="1">
      <alignment horizontal="right"/>
    </xf>
    <xf numFmtId="3" fontId="3" fillId="4" borderId="1" xfId="17" applyNumberFormat="1" applyFont="1" applyFill="1" applyBorder="1" applyAlignment="1" applyProtection="1">
      <alignment horizontal="right"/>
      <protection locked="0"/>
    </xf>
    <xf numFmtId="3" fontId="3" fillId="4" borderId="1" xfId="18" applyNumberFormat="1" applyFont="1" applyFill="1" applyBorder="1" applyAlignment="1" applyProtection="1">
      <alignment horizontal="right"/>
      <protection locked="0"/>
    </xf>
    <xf numFmtId="3" fontId="3" fillId="4" borderId="1" xfId="19" applyNumberFormat="1" applyFont="1" applyFill="1" applyBorder="1" applyAlignment="1" applyProtection="1">
      <alignment horizontal="right"/>
      <protection locked="0"/>
    </xf>
    <xf numFmtId="3" fontId="3" fillId="4" borderId="1" xfId="20" applyNumberFormat="1" applyFont="1" applyFill="1" applyBorder="1" applyAlignment="1" applyProtection="1">
      <alignment horizontal="right"/>
      <protection locked="0"/>
    </xf>
    <xf numFmtId="3" fontId="3" fillId="4" borderId="1" xfId="21" applyNumberFormat="1" applyFont="1" applyFill="1" applyBorder="1" applyAlignment="1" applyProtection="1">
      <alignment horizontal="right"/>
      <protection locked="0"/>
    </xf>
    <xf numFmtId="3" fontId="3" fillId="4" borderId="1" xfId="22" applyNumberFormat="1" applyFont="1" applyFill="1" applyBorder="1" applyAlignment="1" applyProtection="1">
      <alignment horizontal="right"/>
      <protection locked="0"/>
    </xf>
    <xf numFmtId="3" fontId="3" fillId="4" borderId="1" xfId="23" applyNumberFormat="1" applyFont="1" applyFill="1" applyBorder="1" applyAlignment="1" applyProtection="1">
      <alignment horizontal="right"/>
      <protection locked="0"/>
    </xf>
    <xf numFmtId="3" fontId="3" fillId="4" borderId="1" xfId="24" applyNumberFormat="1" applyFont="1" applyFill="1" applyBorder="1" applyAlignment="1" applyProtection="1">
      <alignment horizontal="right"/>
      <protection locked="0"/>
    </xf>
    <xf numFmtId="3" fontId="3" fillId="4" borderId="1" xfId="25" applyNumberFormat="1" applyFont="1" applyFill="1" applyBorder="1" applyAlignment="1" applyProtection="1">
      <alignment horizontal="right"/>
      <protection locked="0"/>
    </xf>
    <xf numFmtId="3" fontId="3" fillId="4" borderId="1" xfId="26" applyNumberFormat="1" applyFont="1" applyFill="1" applyBorder="1" applyAlignment="1" applyProtection="1">
      <alignment horizontal="right"/>
      <protection locked="0"/>
    </xf>
    <xf numFmtId="3" fontId="3" fillId="4" borderId="1" xfId="27" applyNumberFormat="1" applyFont="1" applyFill="1" applyBorder="1" applyAlignment="1" applyProtection="1">
      <alignment horizontal="right"/>
      <protection locked="0"/>
    </xf>
    <xf numFmtId="3" fontId="3" fillId="4" borderId="1" xfId="28" applyNumberFormat="1" applyFont="1" applyFill="1" applyBorder="1" applyAlignment="1">
      <alignment horizontal="right"/>
    </xf>
    <xf numFmtId="0" fontId="21" fillId="4" borderId="1" xfId="15" applyFont="1" applyFill="1" applyBorder="1" applyAlignment="1">
      <alignment horizontal="left" vertical="center"/>
    </xf>
    <xf numFmtId="3" fontId="3" fillId="4" borderId="1" xfId="16" applyNumberFormat="1" applyFont="1" applyFill="1" applyBorder="1" applyAlignment="1" applyProtection="1">
      <alignment horizontal="right" vertical="center"/>
      <protection locked="0"/>
    </xf>
    <xf numFmtId="10" fontId="3" fillId="4" borderId="1" xfId="16" applyNumberFormat="1" applyFont="1" applyFill="1" applyBorder="1" applyAlignment="1">
      <alignment horizontal="right" vertical="center"/>
    </xf>
    <xf numFmtId="3" fontId="3" fillId="4" borderId="1" xfId="17" applyNumberFormat="1" applyFont="1" applyFill="1" applyBorder="1" applyAlignment="1" applyProtection="1">
      <alignment horizontal="right" vertical="center"/>
      <protection locked="0"/>
    </xf>
    <xf numFmtId="3" fontId="3" fillId="4" borderId="1" xfId="18" applyNumberFormat="1" applyFont="1" applyFill="1" applyBorder="1" applyAlignment="1" applyProtection="1">
      <alignment horizontal="right" vertical="center"/>
      <protection locked="0"/>
    </xf>
    <xf numFmtId="3" fontId="3" fillId="4" borderId="1" xfId="19" applyNumberFormat="1" applyFont="1" applyFill="1" applyBorder="1" applyAlignment="1" applyProtection="1">
      <alignment horizontal="right" vertical="center"/>
      <protection locked="0"/>
    </xf>
    <xf numFmtId="3" fontId="3" fillId="4" borderId="1" xfId="20" applyNumberFormat="1" applyFont="1" applyFill="1" applyBorder="1" applyAlignment="1" applyProtection="1">
      <alignment horizontal="right" vertical="center"/>
      <protection locked="0"/>
    </xf>
    <xf numFmtId="3" fontId="3" fillId="4" borderId="1" xfId="21" applyNumberFormat="1" applyFont="1" applyFill="1" applyBorder="1" applyAlignment="1" applyProtection="1">
      <alignment horizontal="right" vertical="center"/>
      <protection locked="0"/>
    </xf>
    <xf numFmtId="0" fontId="22" fillId="4" borderId="1" xfId="15" applyFont="1" applyFill="1" applyBorder="1" applyAlignment="1">
      <alignment horizontal="left" vertical="center"/>
    </xf>
    <xf numFmtId="0" fontId="18" fillId="5" borderId="1" xfId="16" applyFont="1" applyFill="1" applyBorder="1" applyAlignment="1" applyProtection="1">
      <alignment horizontal="center"/>
      <protection locked="0"/>
    </xf>
    <xf numFmtId="10" fontId="18" fillId="6" borderId="1" xfId="16" applyNumberFormat="1" applyFont="1" applyFill="1" applyBorder="1" applyAlignment="1">
      <alignment horizontal="center"/>
    </xf>
    <xf numFmtId="0" fontId="18" fillId="5" borderId="1" xfId="16" applyFont="1" applyFill="1" applyBorder="1" applyAlignment="1">
      <alignment horizontal="center"/>
    </xf>
    <xf numFmtId="0" fontId="22" fillId="4" borderId="1" xfId="15" applyFont="1" applyFill="1" applyBorder="1" applyAlignment="1">
      <alignment horizontal="left" vertical="top"/>
    </xf>
    <xf numFmtId="165" fontId="3" fillId="2" borderId="1" xfId="29" applyNumberFormat="1" applyFont="1" applyFill="1" applyBorder="1" applyAlignment="1">
      <alignment horizontal="right"/>
    </xf>
    <xf numFmtId="166" fontId="3" fillId="4" borderId="1" xfId="16" applyNumberFormat="1" applyFont="1" applyFill="1" applyBorder="1" applyAlignment="1" applyProtection="1">
      <alignment horizontal="right" vertical="center"/>
      <protection locked="0"/>
    </xf>
    <xf numFmtId="167" fontId="3" fillId="2" borderId="1" xfId="29" applyNumberFormat="1" applyFont="1" applyFill="1" applyBorder="1" applyAlignment="1" applyProtection="1">
      <alignment horizontal="right"/>
      <protection locked="0"/>
    </xf>
    <xf numFmtId="167" fontId="3" fillId="2" borderId="1" xfId="29" applyNumberFormat="1" applyFont="1" applyFill="1" applyBorder="1" applyAlignment="1" applyProtection="1">
      <alignment horizontal="right" wrapText="1"/>
      <protection locked="0"/>
    </xf>
    <xf numFmtId="166" fontId="19" fillId="2" borderId="0" xfId="29" applyNumberFormat="1" applyFont="1" applyFill="1" applyBorder="1" applyAlignment="1" applyProtection="1">
      <alignment horizontal="right"/>
    </xf>
    <xf numFmtId="167" fontId="12" fillId="0" borderId="0" xfId="0" applyNumberFormat="1" applyFont="1"/>
    <xf numFmtId="4" fontId="19" fillId="2" borderId="6" xfId="29" applyNumberFormat="1" applyFont="1" applyFill="1" applyBorder="1" applyAlignment="1" applyProtection="1">
      <alignment horizontal="right"/>
    </xf>
    <xf numFmtId="167" fontId="19" fillId="2" borderId="1" xfId="29" applyNumberFormat="1" applyFont="1" applyFill="1" applyBorder="1" applyAlignment="1" applyProtection="1">
      <alignment horizontal="right"/>
    </xf>
    <xf numFmtId="0" fontId="28" fillId="4" borderId="1" xfId="15" applyFont="1" applyFill="1" applyBorder="1" applyAlignment="1">
      <alignment horizontal="left"/>
    </xf>
    <xf numFmtId="167" fontId="3" fillId="2" borderId="1" xfId="29" applyNumberFormat="1" applyFont="1" applyFill="1" applyBorder="1" applyAlignment="1">
      <alignment horizontal="right"/>
    </xf>
    <xf numFmtId="166" fontId="19" fillId="2" borderId="6" xfId="29" applyNumberFormat="1" applyFont="1" applyFill="1" applyBorder="1" applyAlignment="1" applyProtection="1">
      <alignment horizontal="right"/>
    </xf>
    <xf numFmtId="168" fontId="0" fillId="0" borderId="0" xfId="29" applyNumberFormat="1" applyFont="1" applyBorder="1" applyProtection="1">
      <protection locked="0"/>
    </xf>
    <xf numFmtId="167" fontId="3" fillId="2" borderId="8" xfId="29" applyNumberFormat="1" applyFont="1" applyFill="1" applyBorder="1" applyAlignment="1">
      <alignment horizontal="right"/>
    </xf>
    <xf numFmtId="167" fontId="3" fillId="2" borderId="1" xfId="0" applyNumberFormat="1" applyFont="1" applyFill="1" applyBorder="1" applyAlignment="1">
      <alignment horizontal="right"/>
    </xf>
    <xf numFmtId="167" fontId="0" fillId="0" borderId="0" xfId="29" applyNumberFormat="1" applyFont="1" applyBorder="1" applyProtection="1">
      <protection locked="0"/>
    </xf>
    <xf numFmtId="3" fontId="3" fillId="0" borderId="1" xfId="16" applyNumberFormat="1" applyFont="1" applyBorder="1" applyAlignment="1" applyProtection="1">
      <alignment horizontal="right"/>
      <protection locked="0"/>
    </xf>
    <xf numFmtId="10" fontId="3" fillId="0" borderId="1" xfId="16" applyNumberFormat="1" applyFont="1" applyBorder="1" applyAlignment="1">
      <alignment horizontal="right"/>
    </xf>
    <xf numFmtId="3" fontId="3" fillId="0" borderId="1" xfId="17" applyNumberFormat="1" applyFont="1" applyBorder="1" applyAlignment="1" applyProtection="1">
      <alignment horizontal="right"/>
      <protection locked="0"/>
    </xf>
    <xf numFmtId="3" fontId="3" fillId="0" borderId="1" xfId="18" applyNumberFormat="1" applyFont="1" applyBorder="1" applyAlignment="1" applyProtection="1">
      <alignment horizontal="right"/>
      <protection locked="0"/>
    </xf>
    <xf numFmtId="3" fontId="3" fillId="0" borderId="1" xfId="19" applyNumberFormat="1" applyFont="1" applyBorder="1" applyAlignment="1" applyProtection="1">
      <alignment horizontal="right"/>
      <protection locked="0"/>
    </xf>
    <xf numFmtId="3" fontId="3" fillId="0" borderId="1" xfId="20" applyNumberFormat="1" applyFont="1" applyBorder="1" applyAlignment="1" applyProtection="1">
      <alignment horizontal="right"/>
      <protection locked="0"/>
    </xf>
    <xf numFmtId="3" fontId="3" fillId="0" borderId="1" xfId="21" applyNumberFormat="1" applyFont="1" applyBorder="1" applyAlignment="1" applyProtection="1">
      <alignment horizontal="right"/>
      <protection locked="0"/>
    </xf>
    <xf numFmtId="3" fontId="3" fillId="0" borderId="1" xfId="22" applyNumberFormat="1" applyFont="1" applyBorder="1" applyAlignment="1" applyProtection="1">
      <alignment horizontal="right"/>
      <protection locked="0"/>
    </xf>
    <xf numFmtId="3" fontId="3" fillId="0" borderId="1" xfId="23" applyNumberFormat="1" applyFont="1" applyBorder="1" applyAlignment="1" applyProtection="1">
      <alignment horizontal="right"/>
      <protection locked="0"/>
    </xf>
    <xf numFmtId="3" fontId="3" fillId="0" borderId="1" xfId="24" applyNumberFormat="1" applyFont="1" applyBorder="1" applyAlignment="1" applyProtection="1">
      <alignment horizontal="right"/>
      <protection locked="0"/>
    </xf>
    <xf numFmtId="3" fontId="3" fillId="0" borderId="1" xfId="25" applyNumberFormat="1" applyFont="1" applyBorder="1" applyAlignment="1" applyProtection="1">
      <alignment horizontal="right"/>
      <protection locked="0"/>
    </xf>
    <xf numFmtId="3" fontId="3" fillId="0" borderId="1" xfId="26" applyNumberFormat="1" applyFont="1" applyBorder="1" applyAlignment="1" applyProtection="1">
      <alignment horizontal="right"/>
      <protection locked="0"/>
    </xf>
    <xf numFmtId="3" fontId="3" fillId="0" borderId="1" xfId="27" applyNumberFormat="1" applyFont="1" applyBorder="1" applyAlignment="1" applyProtection="1">
      <alignment horizontal="right"/>
      <protection locked="0"/>
    </xf>
    <xf numFmtId="166" fontId="3" fillId="4" borderId="1" xfId="21" applyNumberFormat="1" applyFont="1" applyFill="1" applyBorder="1" applyAlignment="1" applyProtection="1">
      <alignment horizontal="right"/>
      <protection locked="0"/>
    </xf>
    <xf numFmtId="166" fontId="3" fillId="4" borderId="1" xfId="23" applyNumberFormat="1" applyFont="1" applyFill="1" applyBorder="1" applyAlignment="1" applyProtection="1">
      <alignment horizontal="right"/>
      <protection locked="0"/>
    </xf>
    <xf numFmtId="167" fontId="30" fillId="0" borderId="0" xfId="0" applyNumberFormat="1" applyFont="1"/>
    <xf numFmtId="169" fontId="0" fillId="0" borderId="0" xfId="0" applyNumberFormat="1"/>
    <xf numFmtId="167" fontId="29" fillId="0" borderId="0" xfId="29" applyNumberFormat="1" applyFont="1" applyBorder="1"/>
    <xf numFmtId="168" fontId="0" fillId="0" borderId="0" xfId="0" applyNumberFormat="1"/>
    <xf numFmtId="170" fontId="0" fillId="0" borderId="0" xfId="0" applyNumberFormat="1"/>
    <xf numFmtId="165" fontId="19" fillId="2" borderId="1" xfId="29" applyNumberFormat="1" applyFont="1" applyFill="1" applyBorder="1" applyAlignment="1" applyProtection="1">
      <alignment horizontal="right"/>
    </xf>
    <xf numFmtId="167" fontId="25" fillId="3" borderId="1" xfId="16" applyNumberFormat="1" applyFont="1" applyFill="1" applyBorder="1" applyAlignment="1">
      <alignment horizontal="center"/>
    </xf>
    <xf numFmtId="168" fontId="12" fillId="0" borderId="0" xfId="0" applyNumberFormat="1" applyFont="1"/>
    <xf numFmtId="167" fontId="0" fillId="0" borderId="0" xfId="0" applyNumberFormat="1"/>
    <xf numFmtId="169" fontId="3" fillId="0" borderId="1" xfId="16" applyNumberFormat="1" applyFont="1" applyBorder="1" applyAlignment="1">
      <alignment horizontal="right"/>
    </xf>
    <xf numFmtId="169" fontId="3" fillId="2" borderId="1" xfId="29" applyNumberFormat="1" applyFont="1" applyFill="1" applyBorder="1" applyAlignment="1">
      <alignment horizontal="right"/>
    </xf>
    <xf numFmtId="169" fontId="19" fillId="2" borderId="1" xfId="16" applyNumberFormat="1" applyFont="1" applyFill="1" applyBorder="1" applyAlignment="1">
      <alignment horizontal="right"/>
    </xf>
    <xf numFmtId="164" fontId="3" fillId="2" borderId="1" xfId="29" applyNumberFormat="1" applyFont="1" applyFill="1" applyBorder="1" applyAlignment="1">
      <alignment horizontal="right"/>
    </xf>
    <xf numFmtId="169" fontId="19" fillId="2" borderId="1" xfId="29" applyNumberFormat="1" applyFont="1" applyFill="1" applyBorder="1" applyAlignment="1" applyProtection="1">
      <alignment horizontal="right"/>
    </xf>
    <xf numFmtId="4" fontId="19" fillId="2" borderId="1" xfId="16" applyNumberFormat="1" applyFont="1" applyFill="1" applyBorder="1" applyAlignment="1">
      <alignment horizontal="right"/>
    </xf>
    <xf numFmtId="0" fontId="32" fillId="0" borderId="0" xfId="0" applyFont="1" applyAlignment="1">
      <alignment horizontal="left" vertical="center"/>
    </xf>
    <xf numFmtId="0" fontId="33" fillId="2" borderId="0" xfId="15" applyFont="1" applyFill="1" applyAlignment="1">
      <alignment horizontal="left"/>
    </xf>
    <xf numFmtId="10" fontId="3" fillId="2" borderId="1" xfId="16" applyNumberFormat="1" applyFont="1" applyFill="1" applyBorder="1" applyAlignment="1">
      <alignment horizontal="right"/>
    </xf>
    <xf numFmtId="3" fontId="3" fillId="2" borderId="1" xfId="17" applyNumberFormat="1" applyFont="1" applyFill="1" applyBorder="1" applyAlignment="1" applyProtection="1">
      <alignment horizontal="right"/>
      <protection locked="0"/>
    </xf>
    <xf numFmtId="3" fontId="3" fillId="2" borderId="1" xfId="18" applyNumberFormat="1" applyFont="1" applyFill="1" applyBorder="1" applyAlignment="1" applyProtection="1">
      <alignment horizontal="right"/>
      <protection locked="0"/>
    </xf>
    <xf numFmtId="3" fontId="3" fillId="2" borderId="1" xfId="19" applyNumberFormat="1" applyFont="1" applyFill="1" applyBorder="1" applyAlignment="1" applyProtection="1">
      <alignment horizontal="right"/>
      <protection locked="0"/>
    </xf>
    <xf numFmtId="3" fontId="3" fillId="2" borderId="1" xfId="20" applyNumberFormat="1" applyFont="1" applyFill="1" applyBorder="1" applyAlignment="1" applyProtection="1">
      <alignment horizontal="right"/>
      <protection locked="0"/>
    </xf>
    <xf numFmtId="3" fontId="3" fillId="2" borderId="1" xfId="24" applyNumberFormat="1" applyFont="1" applyFill="1" applyBorder="1" applyAlignment="1" applyProtection="1">
      <alignment horizontal="right"/>
      <protection locked="0"/>
    </xf>
    <xf numFmtId="169" fontId="3" fillId="2" borderId="1" xfId="16" applyNumberFormat="1" applyFont="1" applyFill="1" applyBorder="1" applyAlignment="1">
      <alignment horizontal="right"/>
    </xf>
    <xf numFmtId="169" fontId="19" fillId="2" borderId="4" xfId="16" applyNumberFormat="1" applyFont="1" applyFill="1" applyBorder="1" applyAlignment="1">
      <alignment horizontal="right"/>
    </xf>
    <xf numFmtId="0" fontId="18" fillId="2" borderId="1" xfId="15" applyFont="1" applyFill="1" applyBorder="1" applyAlignment="1">
      <alignment horizontal="left"/>
    </xf>
    <xf numFmtId="0" fontId="3" fillId="2" borderId="1" xfId="15" applyFont="1" applyFill="1" applyBorder="1" applyAlignment="1">
      <alignment horizontal="left"/>
    </xf>
    <xf numFmtId="0" fontId="0" fillId="0" borderId="0" xfId="0" applyAlignment="1">
      <alignment horizontal="right"/>
    </xf>
    <xf numFmtId="172" fontId="0" fillId="0" borderId="0" xfId="29" applyNumberFormat="1" applyFont="1" applyAlignment="1">
      <alignment horizontal="right"/>
    </xf>
    <xf numFmtId="0" fontId="12" fillId="0" borderId="0" xfId="0" applyFont="1" applyAlignment="1">
      <alignment horizontal="right"/>
    </xf>
    <xf numFmtId="0" fontId="12" fillId="0" borderId="0" xfId="0" applyFont="1" applyProtection="1">
      <protection locked="0"/>
    </xf>
    <xf numFmtId="169" fontId="29" fillId="0" borderId="0" xfId="0" applyNumberFormat="1" applyFont="1"/>
    <xf numFmtId="173" fontId="29" fillId="0" borderId="0" xfId="0" applyNumberFormat="1" applyFont="1"/>
    <xf numFmtId="4" fontId="19" fillId="2" borderId="0" xfId="16" applyNumberFormat="1" applyFont="1" applyFill="1" applyAlignment="1">
      <alignment horizontal="right"/>
    </xf>
    <xf numFmtId="173" fontId="0" fillId="0" borderId="0" xfId="0" applyNumberFormat="1"/>
    <xf numFmtId="167" fontId="0" fillId="0" borderId="0" xfId="0" applyNumberFormat="1" applyProtection="1">
      <protection locked="0"/>
    </xf>
    <xf numFmtId="4" fontId="19" fillId="2" borderId="0" xfId="29" applyNumberFormat="1" applyFont="1" applyFill="1" applyBorder="1" applyAlignment="1" applyProtection="1">
      <alignment horizontal="right"/>
    </xf>
    <xf numFmtId="4" fontId="0" fillId="0" borderId="0" xfId="0" applyNumberFormat="1" applyProtection="1">
      <protection locked="0"/>
    </xf>
    <xf numFmtId="167" fontId="0" fillId="0" borderId="0" xfId="29" applyNumberFormat="1" applyFont="1" applyBorder="1" applyProtection="1"/>
    <xf numFmtId="167" fontId="0" fillId="0" borderId="0" xfId="29" applyNumberFormat="1" applyFont="1" applyBorder="1" applyAlignment="1" applyProtection="1">
      <alignment horizontal="right"/>
    </xf>
    <xf numFmtId="167" fontId="34" fillId="0" borderId="0" xfId="29" applyNumberFormat="1" applyFont="1" applyBorder="1" applyProtection="1"/>
    <xf numFmtId="167" fontId="35" fillId="0" borderId="0" xfId="29" applyNumberFormat="1" applyFont="1" applyBorder="1" applyProtection="1"/>
    <xf numFmtId="167" fontId="13" fillId="0" borderId="0" xfId="29" applyNumberFormat="1" applyFont="1" applyBorder="1" applyProtection="1"/>
    <xf numFmtId="167" fontId="0" fillId="0" borderId="0" xfId="29" applyNumberFormat="1" applyFont="1" applyProtection="1">
      <protection locked="0"/>
    </xf>
    <xf numFmtId="169" fontId="19" fillId="2" borderId="0" xfId="29" applyNumberFormat="1" applyFont="1" applyFill="1" applyBorder="1" applyAlignment="1" applyProtection="1">
      <alignment horizontal="right"/>
    </xf>
    <xf numFmtId="173" fontId="19" fillId="2" borderId="0" xfId="29" applyNumberFormat="1" applyFont="1" applyFill="1" applyBorder="1" applyAlignment="1" applyProtection="1">
      <alignment horizontal="right"/>
    </xf>
    <xf numFmtId="170" fontId="19" fillId="2" borderId="6" xfId="29" applyNumberFormat="1" applyFont="1" applyFill="1" applyBorder="1" applyAlignment="1" applyProtection="1">
      <alignment horizontal="right"/>
    </xf>
    <xf numFmtId="167" fontId="30" fillId="0" borderId="0" xfId="29" applyNumberFormat="1" applyFont="1" applyBorder="1"/>
    <xf numFmtId="168" fontId="19" fillId="2" borderId="0" xfId="29" applyNumberFormat="1" applyFont="1" applyFill="1" applyBorder="1" applyAlignment="1" applyProtection="1">
      <alignment horizontal="right"/>
    </xf>
    <xf numFmtId="3" fontId="9" fillId="2" borderId="0" xfId="29" applyNumberFormat="1" applyFont="1" applyFill="1" applyBorder="1" applyAlignment="1" applyProtection="1">
      <alignment horizontal="right"/>
    </xf>
    <xf numFmtId="3" fontId="36" fillId="0" borderId="0" xfId="0" applyNumberFormat="1" applyFont="1" applyProtection="1">
      <protection locked="0"/>
    </xf>
    <xf numFmtId="167" fontId="19" fillId="2" borderId="6" xfId="29" applyNumberFormat="1" applyFont="1" applyFill="1" applyBorder="1" applyAlignment="1" applyProtection="1">
      <alignment horizontal="right"/>
    </xf>
    <xf numFmtId="169" fontId="19" fillId="2" borderId="6" xfId="29" applyNumberFormat="1" applyFont="1" applyFill="1" applyBorder="1" applyAlignment="1" applyProtection="1">
      <alignment horizontal="right"/>
    </xf>
    <xf numFmtId="170" fontId="19" fillId="2" borderId="0" xfId="29" applyNumberFormat="1" applyFont="1" applyFill="1" applyBorder="1" applyAlignment="1" applyProtection="1">
      <alignment horizontal="right"/>
    </xf>
    <xf numFmtId="0" fontId="3" fillId="2" borderId="9" xfId="16" applyFont="1" applyFill="1" applyBorder="1" applyAlignment="1" applyProtection="1">
      <alignment horizontal="left"/>
      <protection locked="0"/>
    </xf>
    <xf numFmtId="10" fontId="0" fillId="0" borderId="9" xfId="0" applyNumberFormat="1" applyBorder="1"/>
    <xf numFmtId="0" fontId="0" fillId="0" borderId="9" xfId="0" applyBorder="1" applyProtection="1">
      <protection locked="0"/>
    </xf>
    <xf numFmtId="175" fontId="3" fillId="4" borderId="1" xfId="19" applyNumberFormat="1" applyFont="1" applyFill="1" applyBorder="1" applyAlignment="1" applyProtection="1">
      <alignment horizontal="right"/>
      <protection locked="0"/>
    </xf>
    <xf numFmtId="4" fontId="3" fillId="4" borderId="1" xfId="19" applyNumberFormat="1" applyFont="1" applyFill="1" applyBorder="1" applyAlignment="1" applyProtection="1">
      <alignment horizontal="right"/>
      <protection locked="0"/>
    </xf>
    <xf numFmtId="166" fontId="3" fillId="4" borderId="1" xfId="19" applyNumberFormat="1" applyFont="1" applyFill="1" applyBorder="1" applyAlignment="1" applyProtection="1">
      <alignment horizontal="right"/>
      <protection locked="0"/>
    </xf>
    <xf numFmtId="168" fontId="3" fillId="4" borderId="1" xfId="29" applyNumberFormat="1" applyFont="1" applyFill="1" applyBorder="1" applyAlignment="1">
      <alignment horizontal="right"/>
    </xf>
    <xf numFmtId="166" fontId="3" fillId="4" borderId="1" xfId="20" applyNumberFormat="1" applyFont="1" applyFill="1" applyBorder="1" applyAlignment="1" applyProtection="1">
      <alignment horizontal="right"/>
      <protection locked="0"/>
    </xf>
    <xf numFmtId="172" fontId="19" fillId="2" borderId="0" xfId="29" applyNumberFormat="1" applyFont="1" applyFill="1" applyBorder="1" applyAlignment="1" applyProtection="1">
      <alignment horizontal="right"/>
    </xf>
    <xf numFmtId="174" fontId="12" fillId="0" borderId="0" xfId="0" applyNumberFormat="1" applyFont="1"/>
    <xf numFmtId="170" fontId="3" fillId="4" borderId="1" xfId="16" applyNumberFormat="1" applyFont="1" applyFill="1" applyBorder="1" applyAlignment="1">
      <alignment horizontal="right"/>
    </xf>
    <xf numFmtId="170" fontId="3" fillId="2" borderId="1" xfId="16" applyNumberFormat="1" applyFont="1" applyFill="1" applyBorder="1" applyAlignment="1" applyProtection="1">
      <alignment horizontal="right"/>
      <protection locked="0"/>
    </xf>
    <xf numFmtId="168" fontId="3" fillId="4" borderId="1" xfId="29" applyNumberFormat="1" applyFont="1" applyFill="1" applyBorder="1" applyAlignment="1">
      <alignment horizontal="right" vertical="center"/>
    </xf>
    <xf numFmtId="175" fontId="19" fillId="2" borderId="0" xfId="16" applyNumberFormat="1" applyFont="1" applyFill="1" applyAlignment="1">
      <alignment horizontal="right"/>
    </xf>
    <xf numFmtId="167" fontId="3" fillId="2" borderId="1" xfId="20" applyNumberFormat="1" applyFont="1" applyFill="1" applyBorder="1" applyAlignment="1" applyProtection="1">
      <alignment horizontal="right"/>
      <protection locked="0"/>
    </xf>
    <xf numFmtId="167" fontId="19" fillId="2" borderId="1" xfId="16" applyNumberFormat="1" applyFont="1" applyFill="1" applyBorder="1" applyAlignment="1">
      <alignment horizontal="right"/>
    </xf>
    <xf numFmtId="169" fontId="0" fillId="0" borderId="9" xfId="0" applyNumberFormat="1" applyBorder="1"/>
    <xf numFmtId="167" fontId="3" fillId="2" borderId="1" xfId="16" applyNumberFormat="1" applyFont="1" applyFill="1" applyBorder="1" applyAlignment="1" applyProtection="1">
      <alignment horizontal="right"/>
      <protection locked="0"/>
    </xf>
    <xf numFmtId="167" fontId="3" fillId="4" borderId="1" xfId="20" applyNumberFormat="1" applyFont="1" applyFill="1" applyBorder="1" applyAlignment="1" applyProtection="1">
      <alignment horizontal="right"/>
      <protection locked="0"/>
    </xf>
    <xf numFmtId="167" fontId="3" fillId="4" borderId="1" xfId="16" applyNumberFormat="1" applyFont="1" applyFill="1" applyBorder="1" applyAlignment="1">
      <alignment horizontal="right"/>
    </xf>
    <xf numFmtId="171" fontId="0" fillId="0" borderId="0" xfId="0" applyNumberFormat="1" applyProtection="1">
      <protection locked="0"/>
    </xf>
    <xf numFmtId="0" fontId="0" fillId="0" borderId="1" xfId="0" applyBorder="1" applyProtection="1">
      <protection locked="0"/>
    </xf>
    <xf numFmtId="10" fontId="0" fillId="0" borderId="1" xfId="0" applyNumberFormat="1" applyBorder="1"/>
    <xf numFmtId="170" fontId="3" fillId="0" borderId="1" xfId="16" applyNumberFormat="1" applyFont="1" applyBorder="1" applyAlignment="1">
      <alignment horizontal="right"/>
    </xf>
    <xf numFmtId="0" fontId="0" fillId="0" borderId="0" xfId="0" applyAlignment="1" applyProtection="1">
      <alignment horizontal="right"/>
      <protection locked="0"/>
    </xf>
    <xf numFmtId="0" fontId="12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Protection="1">
      <protection locked="0"/>
    </xf>
    <xf numFmtId="166" fontId="3" fillId="4" borderId="1" xfId="22" applyNumberFormat="1" applyFont="1" applyFill="1" applyBorder="1" applyAlignment="1" applyProtection="1">
      <alignment horizontal="right"/>
      <protection locked="0"/>
    </xf>
    <xf numFmtId="167" fontId="31" fillId="0" borderId="0" xfId="0" applyNumberFormat="1" applyFont="1" applyProtection="1">
      <protection locked="0"/>
    </xf>
    <xf numFmtId="168" fontId="0" fillId="0" borderId="0" xfId="29" applyNumberFormat="1" applyFont="1" applyBorder="1" applyProtection="1"/>
    <xf numFmtId="168" fontId="0" fillId="0" borderId="0" xfId="29" applyNumberFormat="1" applyFont="1"/>
    <xf numFmtId="3" fontId="0" fillId="0" borderId="0" xfId="0" applyNumberFormat="1" applyAlignment="1" applyProtection="1">
      <alignment horizontal="right"/>
      <protection locked="0"/>
    </xf>
    <xf numFmtId="168" fontId="17" fillId="0" borderId="0" xfId="29" applyNumberFormat="1" applyFont="1"/>
    <xf numFmtId="167" fontId="17" fillId="0" borderId="0" xfId="29" applyNumberFormat="1" applyFont="1"/>
    <xf numFmtId="167" fontId="0" fillId="0" borderId="0" xfId="29" applyNumberFormat="1" applyFont="1"/>
    <xf numFmtId="168" fontId="0" fillId="0" borderId="0" xfId="29" applyNumberFormat="1" applyFont="1" applyProtection="1">
      <protection locked="0"/>
    </xf>
    <xf numFmtId="168" fontId="0" fillId="0" borderId="0" xfId="0" applyNumberFormat="1" applyProtection="1">
      <protection locked="0"/>
    </xf>
    <xf numFmtId="174" fontId="0" fillId="0" borderId="0" xfId="0" applyNumberFormat="1"/>
    <xf numFmtId="171" fontId="12" fillId="0" borderId="0" xfId="0" applyNumberFormat="1" applyFont="1"/>
    <xf numFmtId="167" fontId="12" fillId="0" borderId="0" xfId="0" applyNumberFormat="1" applyFont="1" applyAlignment="1">
      <alignment horizontal="center"/>
    </xf>
    <xf numFmtId="171" fontId="30" fillId="0" borderId="0" xfId="0" applyNumberFormat="1" applyFont="1" applyProtection="1">
      <protection locked="0"/>
    </xf>
    <xf numFmtId="10" fontId="0" fillId="0" borderId="0" xfId="0" applyNumberFormat="1" applyAlignment="1">
      <alignment horizontal="right"/>
    </xf>
    <xf numFmtId="167" fontId="3" fillId="4" borderId="1" xfId="17" applyNumberFormat="1" applyFont="1" applyFill="1" applyBorder="1" applyAlignment="1" applyProtection="1">
      <alignment horizontal="right" vertical="center"/>
      <protection locked="0"/>
    </xf>
    <xf numFmtId="0" fontId="12" fillId="0" borderId="1" xfId="0" applyFont="1" applyBorder="1"/>
    <xf numFmtId="4" fontId="3" fillId="0" borderId="1" xfId="21" applyNumberFormat="1" applyFont="1" applyBorder="1" applyAlignment="1" applyProtection="1">
      <alignment horizontal="right"/>
      <protection locked="0"/>
    </xf>
    <xf numFmtId="176" fontId="12" fillId="0" borderId="0" xfId="0" applyNumberFormat="1" applyFont="1"/>
    <xf numFmtId="3" fontId="19" fillId="2" borderId="1" xfId="28" applyNumberFormat="1" applyFont="1" applyFill="1" applyBorder="1" applyAlignment="1">
      <alignment horizontal="right"/>
    </xf>
    <xf numFmtId="0" fontId="22" fillId="4" borderId="5" xfId="15" applyFont="1" applyFill="1" applyBorder="1" applyAlignment="1">
      <alignment horizontal="left"/>
    </xf>
    <xf numFmtId="3" fontId="3" fillId="4" borderId="5" xfId="16" applyNumberFormat="1" applyFont="1" applyFill="1" applyBorder="1" applyAlignment="1" applyProtection="1">
      <alignment horizontal="right"/>
      <protection locked="0"/>
    </xf>
    <xf numFmtId="10" fontId="3" fillId="4" borderId="5" xfId="16" applyNumberFormat="1" applyFont="1" applyFill="1" applyBorder="1" applyAlignment="1">
      <alignment horizontal="right"/>
    </xf>
    <xf numFmtId="3" fontId="3" fillId="4" borderId="5" xfId="17" applyNumberFormat="1" applyFont="1" applyFill="1" applyBorder="1" applyAlignment="1" applyProtection="1">
      <alignment horizontal="right"/>
      <protection locked="0"/>
    </xf>
    <xf numFmtId="3" fontId="3" fillId="4" borderId="5" xfId="18" applyNumberFormat="1" applyFont="1" applyFill="1" applyBorder="1" applyAlignment="1" applyProtection="1">
      <alignment horizontal="right"/>
      <protection locked="0"/>
    </xf>
    <xf numFmtId="3" fontId="3" fillId="4" borderId="5" xfId="19" applyNumberFormat="1" applyFont="1" applyFill="1" applyBorder="1" applyAlignment="1" applyProtection="1">
      <alignment horizontal="right"/>
      <protection locked="0"/>
    </xf>
    <xf numFmtId="3" fontId="3" fillId="4" borderId="5" xfId="20" applyNumberFormat="1" applyFont="1" applyFill="1" applyBorder="1" applyAlignment="1" applyProtection="1">
      <alignment horizontal="right"/>
      <protection locked="0"/>
    </xf>
    <xf numFmtId="168" fontId="3" fillId="4" borderId="5" xfId="29" applyNumberFormat="1" applyFont="1" applyFill="1" applyBorder="1" applyAlignment="1">
      <alignment horizontal="right"/>
    </xf>
    <xf numFmtId="3" fontId="3" fillId="4" borderId="5" xfId="21" applyNumberFormat="1" applyFont="1" applyFill="1" applyBorder="1" applyAlignment="1" applyProtection="1">
      <alignment horizontal="right"/>
      <protection locked="0"/>
    </xf>
    <xf numFmtId="3" fontId="3" fillId="4" borderId="5" xfId="22" applyNumberFormat="1" applyFont="1" applyFill="1" applyBorder="1" applyAlignment="1" applyProtection="1">
      <alignment horizontal="right"/>
      <protection locked="0"/>
    </xf>
    <xf numFmtId="3" fontId="3" fillId="4" borderId="5" xfId="23" applyNumberFormat="1" applyFont="1" applyFill="1" applyBorder="1" applyAlignment="1" applyProtection="1">
      <alignment horizontal="right"/>
      <protection locked="0"/>
    </xf>
    <xf numFmtId="3" fontId="3" fillId="4" borderId="5" xfId="24" applyNumberFormat="1" applyFont="1" applyFill="1" applyBorder="1" applyAlignment="1" applyProtection="1">
      <alignment horizontal="right"/>
      <protection locked="0"/>
    </xf>
    <xf numFmtId="3" fontId="3" fillId="4" borderId="5" xfId="25" applyNumberFormat="1" applyFont="1" applyFill="1" applyBorder="1" applyAlignment="1" applyProtection="1">
      <alignment horizontal="right"/>
      <protection locked="0"/>
    </xf>
    <xf numFmtId="3" fontId="3" fillId="4" borderId="5" xfId="26" applyNumberFormat="1" applyFont="1" applyFill="1" applyBorder="1" applyAlignment="1" applyProtection="1">
      <alignment horizontal="right"/>
      <protection locked="0"/>
    </xf>
    <xf numFmtId="3" fontId="3" fillId="4" borderId="5" xfId="27" applyNumberFormat="1" applyFont="1" applyFill="1" applyBorder="1" applyAlignment="1" applyProtection="1">
      <alignment horizontal="right"/>
      <protection locked="0"/>
    </xf>
    <xf numFmtId="3" fontId="3" fillId="4" borderId="5" xfId="28" applyNumberFormat="1" applyFont="1" applyFill="1" applyBorder="1" applyAlignment="1">
      <alignment horizontal="right"/>
    </xf>
    <xf numFmtId="3" fontId="19" fillId="2" borderId="6" xfId="16" applyNumberFormat="1" applyFont="1" applyFill="1" applyBorder="1" applyAlignment="1">
      <alignment horizontal="right"/>
    </xf>
    <xf numFmtId="2" fontId="19" fillId="2" borderId="6" xfId="16" applyNumberFormat="1" applyFont="1" applyFill="1" applyBorder="1" applyAlignment="1">
      <alignment horizontal="right"/>
    </xf>
    <xf numFmtId="167" fontId="19" fillId="2" borderId="6" xfId="16" applyNumberFormat="1" applyFont="1" applyFill="1" applyBorder="1" applyAlignment="1">
      <alignment horizontal="right"/>
    </xf>
    <xf numFmtId="169" fontId="19" fillId="2" borderId="6" xfId="16" applyNumberFormat="1" applyFont="1" applyFill="1" applyBorder="1" applyAlignment="1">
      <alignment horizontal="right"/>
    </xf>
    <xf numFmtId="3" fontId="19" fillId="2" borderId="6" xfId="28" applyNumberFormat="1" applyFont="1" applyFill="1" applyBorder="1" applyAlignment="1">
      <alignment horizontal="right"/>
    </xf>
    <xf numFmtId="167" fontId="19" fillId="2" borderId="0" xfId="16" applyNumberFormat="1" applyFont="1" applyFill="1" applyAlignment="1">
      <alignment horizontal="right"/>
    </xf>
    <xf numFmtId="169" fontId="19" fillId="2" borderId="0" xfId="16" applyNumberFormat="1" applyFont="1" applyFill="1" applyAlignment="1">
      <alignment horizontal="right"/>
    </xf>
    <xf numFmtId="3" fontId="19" fillId="2" borderId="0" xfId="28" applyNumberFormat="1" applyFont="1" applyFill="1" applyAlignment="1">
      <alignment horizontal="right"/>
    </xf>
    <xf numFmtId="10" fontId="0" fillId="2" borderId="9" xfId="0" applyNumberFormat="1" applyFill="1" applyBorder="1"/>
    <xf numFmtId="10" fontId="0" fillId="2" borderId="0" xfId="0" applyNumberFormat="1" applyFill="1"/>
    <xf numFmtId="0" fontId="12" fillId="2" borderId="0" xfId="0" applyFont="1" applyFill="1"/>
    <xf numFmtId="168" fontId="0" fillId="2" borderId="0" xfId="29" applyNumberFormat="1" applyFont="1" applyFill="1" applyBorder="1" applyProtection="1"/>
    <xf numFmtId="0" fontId="8" fillId="2" borderId="0" xfId="22" applyFont="1" applyFill="1" applyAlignment="1" applyProtection="1">
      <alignment horizontal="center"/>
      <protection locked="0"/>
    </xf>
    <xf numFmtId="168" fontId="0" fillId="2" borderId="0" xfId="29" applyNumberFormat="1" applyFont="1" applyFill="1" applyBorder="1"/>
    <xf numFmtId="168" fontId="17" fillId="2" borderId="0" xfId="29" applyNumberFormat="1" applyFont="1" applyFill="1" applyBorder="1"/>
    <xf numFmtId="167" fontId="17" fillId="2" borderId="0" xfId="29" applyNumberFormat="1" applyFont="1" applyFill="1" applyBorder="1"/>
    <xf numFmtId="167" fontId="0" fillId="2" borderId="0" xfId="29" applyNumberFormat="1" applyFont="1" applyFill="1" applyBorder="1"/>
    <xf numFmtId="173" fontId="29" fillId="2" borderId="0" xfId="0" applyNumberFormat="1" applyFont="1" applyFill="1"/>
    <xf numFmtId="169" fontId="29" fillId="2" borderId="0" xfId="0" applyNumberFormat="1" applyFont="1" applyFill="1"/>
    <xf numFmtId="0" fontId="0" fillId="2" borderId="0" xfId="0" applyFill="1"/>
    <xf numFmtId="10" fontId="18" fillId="2" borderId="9" xfId="16" applyNumberFormat="1" applyFont="1" applyFill="1" applyBorder="1" applyAlignment="1">
      <alignment horizontal="center"/>
    </xf>
    <xf numFmtId="10" fontId="3" fillId="2" borderId="9" xfId="16" applyNumberFormat="1" applyFont="1" applyFill="1" applyBorder="1" applyAlignment="1">
      <alignment horizontal="right"/>
    </xf>
    <xf numFmtId="165" fontId="3" fillId="2" borderId="9" xfId="29" applyNumberFormat="1" applyFont="1" applyFill="1" applyBorder="1" applyAlignment="1">
      <alignment horizontal="right"/>
    </xf>
    <xf numFmtId="165" fontId="19" fillId="2" borderId="9" xfId="29" applyNumberFormat="1" applyFont="1" applyFill="1" applyBorder="1" applyAlignment="1" applyProtection="1">
      <alignment horizontal="right"/>
    </xf>
    <xf numFmtId="169" fontId="3" fillId="2" borderId="9" xfId="29" applyNumberFormat="1" applyFont="1" applyFill="1" applyBorder="1" applyAlignment="1">
      <alignment horizontal="right"/>
    </xf>
    <xf numFmtId="169" fontId="19" fillId="2" borderId="9" xfId="29" applyNumberFormat="1" applyFont="1" applyFill="1" applyBorder="1" applyAlignment="1" applyProtection="1">
      <alignment horizontal="right"/>
    </xf>
    <xf numFmtId="4" fontId="3" fillId="2" borderId="9" xfId="16" applyNumberFormat="1" applyFont="1" applyFill="1" applyBorder="1" applyAlignment="1" applyProtection="1">
      <alignment horizontal="right"/>
      <protection locked="0"/>
    </xf>
    <xf numFmtId="2" fontId="3" fillId="2" borderId="9" xfId="29" applyNumberFormat="1" applyFont="1" applyFill="1" applyBorder="1" applyAlignment="1">
      <alignment horizontal="right"/>
    </xf>
    <xf numFmtId="2" fontId="19" fillId="2" borderId="9" xfId="16" applyNumberFormat="1" applyFont="1" applyFill="1" applyBorder="1" applyAlignment="1">
      <alignment horizontal="right"/>
    </xf>
    <xf numFmtId="2" fontId="3" fillId="2" borderId="9" xfId="16" applyNumberFormat="1" applyFont="1" applyFill="1" applyBorder="1" applyAlignment="1">
      <alignment horizontal="right"/>
    </xf>
    <xf numFmtId="169" fontId="3" fillId="2" borderId="9" xfId="16" applyNumberFormat="1" applyFont="1" applyFill="1" applyBorder="1" applyAlignment="1">
      <alignment horizontal="right"/>
    </xf>
    <xf numFmtId="43" fontId="3" fillId="2" borderId="9" xfId="29" applyFont="1" applyFill="1" applyBorder="1" applyAlignment="1">
      <alignment horizontal="right"/>
    </xf>
    <xf numFmtId="164" fontId="3" fillId="2" borderId="9" xfId="29" applyNumberFormat="1" applyFont="1" applyFill="1" applyBorder="1" applyAlignment="1">
      <alignment horizontal="right"/>
    </xf>
    <xf numFmtId="10" fontId="19" fillId="2" borderId="9" xfId="16" applyNumberFormat="1" applyFont="1" applyFill="1" applyBorder="1" applyAlignment="1">
      <alignment horizontal="right"/>
    </xf>
    <xf numFmtId="0" fontId="8" fillId="2" borderId="0" xfId="22" applyFont="1" applyFill="1" applyAlignment="1" applyProtection="1">
      <alignment horizontal="center" vertical="top"/>
      <protection locked="0"/>
    </xf>
    <xf numFmtId="174" fontId="37" fillId="0" borderId="0" xfId="0" applyNumberFormat="1" applyFont="1" applyAlignment="1">
      <alignment horizontal="right"/>
    </xf>
    <xf numFmtId="168" fontId="37" fillId="0" borderId="0" xfId="29" applyNumberFormat="1" applyFont="1" applyBorder="1" applyProtection="1">
      <protection locked="0"/>
    </xf>
    <xf numFmtId="10" fontId="37" fillId="0" borderId="0" xfId="0" applyNumberFormat="1" applyFont="1"/>
    <xf numFmtId="167" fontId="37" fillId="0" borderId="0" xfId="29" applyNumberFormat="1" applyFont="1" applyBorder="1" applyProtection="1">
      <protection locked="0"/>
    </xf>
    <xf numFmtId="2" fontId="37" fillId="0" borderId="0" xfId="0" applyNumberFormat="1" applyFont="1"/>
    <xf numFmtId="3" fontId="37" fillId="0" borderId="0" xfId="0" applyNumberFormat="1" applyFont="1" applyProtection="1">
      <protection locked="0"/>
    </xf>
    <xf numFmtId="0" fontId="37" fillId="0" borderId="0" xfId="0" applyFont="1" applyProtection="1">
      <protection locked="0"/>
    </xf>
    <xf numFmtId="10" fontId="37" fillId="2" borderId="0" xfId="0" applyNumberFormat="1" applyFont="1" applyFill="1"/>
    <xf numFmtId="168" fontId="38" fillId="0" borderId="0" xfId="29" applyNumberFormat="1" applyFont="1" applyBorder="1" applyProtection="1">
      <protection locked="0"/>
    </xf>
    <xf numFmtId="1" fontId="37" fillId="0" borderId="0" xfId="0" applyNumberFormat="1" applyFont="1"/>
    <xf numFmtId="168" fontId="37" fillId="0" borderId="0" xfId="0" applyNumberFormat="1" applyFont="1"/>
    <xf numFmtId="0" fontId="8" fillId="7" borderId="2" xfId="27" applyFont="1" applyFill="1" applyBorder="1" applyAlignment="1" applyProtection="1">
      <alignment horizontal="center"/>
      <protection locked="0"/>
    </xf>
    <xf numFmtId="0" fontId="8" fillId="7" borderId="3" xfId="27" applyFont="1" applyFill="1" applyBorder="1" applyAlignment="1" applyProtection="1">
      <alignment horizontal="center"/>
      <protection locked="0"/>
    </xf>
    <xf numFmtId="0" fontId="10" fillId="7" borderId="2" xfId="28" applyFont="1" applyFill="1" applyBorder="1" applyAlignment="1">
      <alignment horizontal="center"/>
    </xf>
    <xf numFmtId="0" fontId="10" fillId="7" borderId="3" xfId="28" applyFont="1" applyFill="1" applyBorder="1" applyAlignment="1">
      <alignment horizontal="center"/>
    </xf>
    <xf numFmtId="0" fontId="23" fillId="2" borderId="4" xfId="15" applyFont="1" applyFill="1" applyBorder="1" applyAlignment="1">
      <alignment horizontal="center" vertical="center"/>
    </xf>
    <xf numFmtId="0" fontId="23" fillId="2" borderId="5" xfId="15" applyFont="1" applyFill="1" applyBorder="1" applyAlignment="1">
      <alignment horizontal="center" vertical="center"/>
    </xf>
    <xf numFmtId="0" fontId="8" fillId="7" borderId="2" xfId="16" applyFont="1" applyFill="1" applyBorder="1" applyAlignment="1" applyProtection="1">
      <alignment horizontal="center"/>
      <protection locked="0"/>
    </xf>
    <xf numFmtId="0" fontId="8" fillId="7" borderId="3" xfId="16" applyFont="1" applyFill="1" applyBorder="1" applyAlignment="1" applyProtection="1">
      <alignment horizontal="center"/>
      <protection locked="0"/>
    </xf>
    <xf numFmtId="0" fontId="8" fillId="7" borderId="2" xfId="17" applyFont="1" applyFill="1" applyBorder="1" applyAlignment="1" applyProtection="1">
      <alignment horizontal="center"/>
      <protection locked="0"/>
    </xf>
    <xf numFmtId="0" fontId="8" fillId="7" borderId="3" xfId="17" applyFont="1" applyFill="1" applyBorder="1" applyAlignment="1" applyProtection="1">
      <alignment horizontal="center"/>
      <protection locked="0"/>
    </xf>
    <xf numFmtId="0" fontId="8" fillId="7" borderId="2" xfId="18" applyFont="1" applyFill="1" applyBorder="1" applyAlignment="1" applyProtection="1">
      <alignment horizontal="center"/>
      <protection locked="0"/>
    </xf>
    <xf numFmtId="0" fontId="8" fillId="7" borderId="3" xfId="18" applyFont="1" applyFill="1" applyBorder="1" applyAlignment="1" applyProtection="1">
      <alignment horizontal="center"/>
      <protection locked="0"/>
    </xf>
    <xf numFmtId="0" fontId="8" fillId="7" borderId="2" xfId="19" applyFont="1" applyFill="1" applyBorder="1" applyAlignment="1" applyProtection="1">
      <alignment horizontal="center"/>
      <protection locked="0"/>
    </xf>
    <xf numFmtId="0" fontId="8" fillId="7" borderId="3" xfId="19" applyFont="1" applyFill="1" applyBorder="1" applyAlignment="1" applyProtection="1">
      <alignment horizontal="center"/>
      <protection locked="0"/>
    </xf>
    <xf numFmtId="0" fontId="8" fillId="7" borderId="2" xfId="20" applyFont="1" applyFill="1" applyBorder="1" applyAlignment="1" applyProtection="1">
      <alignment horizontal="center"/>
      <protection locked="0"/>
    </xf>
    <xf numFmtId="0" fontId="8" fillId="7" borderId="3" xfId="20" applyFont="1" applyFill="1" applyBorder="1" applyAlignment="1" applyProtection="1">
      <alignment horizontal="center"/>
      <protection locked="0"/>
    </xf>
    <xf numFmtId="0" fontId="8" fillId="7" borderId="2" xfId="21" applyFont="1" applyFill="1" applyBorder="1" applyAlignment="1" applyProtection="1">
      <alignment horizontal="center" wrapText="1"/>
      <protection locked="0"/>
    </xf>
    <xf numFmtId="0" fontId="0" fillId="7" borderId="3" xfId="0" applyFill="1" applyBorder="1" applyAlignment="1">
      <alignment horizontal="center" wrapText="1"/>
    </xf>
    <xf numFmtId="0" fontId="8" fillId="7" borderId="2" xfId="22" applyFont="1" applyFill="1" applyBorder="1" applyAlignment="1" applyProtection="1">
      <alignment horizontal="center"/>
      <protection locked="0"/>
    </xf>
    <xf numFmtId="0" fontId="8" fillId="7" borderId="3" xfId="22" applyFont="1" applyFill="1" applyBorder="1" applyAlignment="1" applyProtection="1">
      <alignment horizontal="center"/>
      <protection locked="0"/>
    </xf>
    <xf numFmtId="0" fontId="8" fillId="7" borderId="2" xfId="23" applyFont="1" applyFill="1" applyBorder="1" applyAlignment="1" applyProtection="1">
      <alignment horizontal="center"/>
      <protection locked="0"/>
    </xf>
    <xf numFmtId="0" fontId="8" fillId="7" borderId="3" xfId="23" applyFont="1" applyFill="1" applyBorder="1" applyAlignment="1" applyProtection="1">
      <alignment horizontal="center"/>
      <protection locked="0"/>
    </xf>
    <xf numFmtId="0" fontId="8" fillId="7" borderId="2" xfId="24" applyFont="1" applyFill="1" applyBorder="1" applyAlignment="1" applyProtection="1">
      <alignment horizontal="center"/>
      <protection locked="0"/>
    </xf>
    <xf numFmtId="0" fontId="8" fillId="7" borderId="3" xfId="24" applyFont="1" applyFill="1" applyBorder="1" applyAlignment="1" applyProtection="1">
      <alignment horizontal="center"/>
      <protection locked="0"/>
    </xf>
    <xf numFmtId="0" fontId="8" fillId="7" borderId="2" xfId="25" applyFont="1" applyFill="1" applyBorder="1" applyAlignment="1" applyProtection="1">
      <alignment horizontal="center"/>
      <protection locked="0"/>
    </xf>
    <xf numFmtId="0" fontId="8" fillId="7" borderId="3" xfId="25" applyFont="1" applyFill="1" applyBorder="1" applyAlignment="1" applyProtection="1">
      <alignment horizontal="center"/>
      <protection locked="0"/>
    </xf>
    <xf numFmtId="0" fontId="8" fillId="7" borderId="2" xfId="26" applyFont="1" applyFill="1" applyBorder="1" applyAlignment="1" applyProtection="1">
      <alignment horizontal="center"/>
      <protection locked="0"/>
    </xf>
    <xf numFmtId="0" fontId="8" fillId="7" borderId="3" xfId="26" applyFont="1" applyFill="1" applyBorder="1" applyAlignment="1" applyProtection="1">
      <alignment horizontal="center"/>
      <protection locked="0"/>
    </xf>
    <xf numFmtId="0" fontId="10" fillId="7" borderId="2" xfId="28" applyFont="1" applyFill="1" applyBorder="1" applyAlignment="1">
      <alignment horizontal="center" vertical="center"/>
    </xf>
    <xf numFmtId="0" fontId="10" fillId="7" borderId="3" xfId="28" applyFont="1" applyFill="1" applyBorder="1" applyAlignment="1">
      <alignment horizontal="center" vertical="center"/>
    </xf>
  </cellXfs>
  <cellStyles count="30">
    <cellStyle name="Comma" xfId="29" builtinId="3"/>
    <cellStyle name="Normal" xfId="0" builtinId="0"/>
    <cellStyle name="Normal 12" xfId="1" xr:uid="{00000000-0005-0000-0000-000002000000}"/>
    <cellStyle name="Normal 14" xfId="2" xr:uid="{00000000-0005-0000-0000-000003000000}"/>
    <cellStyle name="Normal 15" xfId="3" xr:uid="{00000000-0005-0000-0000-000004000000}"/>
    <cellStyle name="Normal 17" xfId="4" xr:uid="{00000000-0005-0000-0000-000005000000}"/>
    <cellStyle name="Normal 18" xfId="5" xr:uid="{00000000-0005-0000-0000-000006000000}"/>
    <cellStyle name="Normal 27" xfId="6" xr:uid="{00000000-0005-0000-0000-000007000000}"/>
    <cellStyle name="Normal 28" xfId="7" xr:uid="{00000000-0005-0000-0000-000008000000}"/>
    <cellStyle name="Normal 29" xfId="8" xr:uid="{00000000-0005-0000-0000-000009000000}"/>
    <cellStyle name="Normal 30" xfId="9" xr:uid="{00000000-0005-0000-0000-00000A000000}"/>
    <cellStyle name="Normal 31" xfId="10" xr:uid="{00000000-0005-0000-0000-00000B000000}"/>
    <cellStyle name="Normal 32" xfId="11" xr:uid="{00000000-0005-0000-0000-00000C000000}"/>
    <cellStyle name="Normal 33" xfId="12" xr:uid="{00000000-0005-0000-0000-00000D000000}"/>
    <cellStyle name="Normal 34" xfId="13" xr:uid="{00000000-0005-0000-0000-00000E000000}"/>
    <cellStyle name="Normal 35" xfId="14" xr:uid="{00000000-0005-0000-0000-00000F000000}"/>
    <cellStyle name="Normal 38" xfId="15" xr:uid="{00000000-0005-0000-0000-000010000000}"/>
    <cellStyle name="Normal 39" xfId="16" xr:uid="{00000000-0005-0000-0000-000011000000}"/>
    <cellStyle name="Normal 40" xfId="17" xr:uid="{00000000-0005-0000-0000-000012000000}"/>
    <cellStyle name="Normal 41" xfId="18" xr:uid="{00000000-0005-0000-0000-000013000000}"/>
    <cellStyle name="Normal 42" xfId="19" xr:uid="{00000000-0005-0000-0000-000014000000}"/>
    <cellStyle name="Normal 43" xfId="20" xr:uid="{00000000-0005-0000-0000-000015000000}"/>
    <cellStyle name="Normal 44" xfId="21" xr:uid="{00000000-0005-0000-0000-000016000000}"/>
    <cellStyle name="Normal 45" xfId="22" xr:uid="{00000000-0005-0000-0000-000017000000}"/>
    <cellStyle name="Normal 46" xfId="23" xr:uid="{00000000-0005-0000-0000-000018000000}"/>
    <cellStyle name="Normal 47" xfId="24" xr:uid="{00000000-0005-0000-0000-000019000000}"/>
    <cellStyle name="Normal 48" xfId="25" xr:uid="{00000000-0005-0000-0000-00001A000000}"/>
    <cellStyle name="Normal 49" xfId="26" xr:uid="{00000000-0005-0000-0000-00001B000000}"/>
    <cellStyle name="Normal 50" xfId="27" xr:uid="{00000000-0005-0000-0000-00001C000000}"/>
    <cellStyle name="Normal 51" xfId="28" xr:uid="{00000000-0005-0000-0000-00001D000000}"/>
  </cellStyles>
  <dxfs count="0"/>
  <tableStyles count="0" defaultTableStyle="TableStyleMedium9" defaultPivotStyle="PivotStyleLight16"/>
  <colors>
    <mruColors>
      <color rgb="FF000000"/>
      <color rgb="FF30DDF4"/>
      <color rgb="FF0CCAE4"/>
      <color rgb="FFFFFF66"/>
      <color rgb="FF66FF33"/>
      <color rgb="FF61349C"/>
      <color rgb="FFFFFF99"/>
      <color rgb="FF6249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9"/>
  <sheetViews>
    <sheetView workbookViewId="0">
      <selection activeCell="C28" sqref="C28"/>
    </sheetView>
  </sheetViews>
  <sheetFormatPr defaultRowHeight="15" x14ac:dyDescent="0.25"/>
  <cols>
    <col min="1" max="1" width="4.28515625" customWidth="1"/>
    <col min="2" max="2" width="30.140625" customWidth="1"/>
    <col min="3" max="3" width="12.42578125" customWidth="1"/>
    <col min="4" max="4" width="14.5703125" customWidth="1"/>
    <col min="5" max="5" width="13.28515625" customWidth="1"/>
    <col min="6" max="6" width="15" customWidth="1"/>
    <col min="7" max="7" width="13.7109375" customWidth="1"/>
    <col min="8" max="8" width="12.140625" customWidth="1"/>
    <col min="9" max="9" width="11.7109375" customWidth="1"/>
    <col min="10" max="10" width="11.42578125" customWidth="1"/>
    <col min="11" max="11" width="12" customWidth="1"/>
    <col min="12" max="12" width="11.28515625" customWidth="1"/>
    <col min="13" max="13" width="12.42578125" customWidth="1"/>
    <col min="14" max="14" width="12.85546875" customWidth="1"/>
    <col min="15" max="15" width="14" customWidth="1"/>
  </cols>
  <sheetData>
    <row r="1" spans="2:15" x14ac:dyDescent="0.25">
      <c r="C1" s="38"/>
    </row>
    <row r="2" spans="2:15" ht="26.25" x14ac:dyDescent="0.4">
      <c r="C2" s="38"/>
      <c r="E2" s="50" t="s">
        <v>0</v>
      </c>
      <c r="F2" s="49"/>
      <c r="G2" s="49"/>
      <c r="H2" s="49"/>
      <c r="I2" s="49"/>
    </row>
    <row r="3" spans="2:15" x14ac:dyDescent="0.25">
      <c r="E3" s="49"/>
      <c r="F3" s="49"/>
      <c r="G3" s="49"/>
      <c r="H3" s="49"/>
      <c r="I3" s="49"/>
    </row>
    <row r="5" spans="2:15" ht="20.25" x14ac:dyDescent="0.3">
      <c r="B5" s="19" t="s">
        <v>1</v>
      </c>
      <c r="C5" s="20" t="s">
        <v>21</v>
      </c>
      <c r="D5" s="20" t="s">
        <v>22</v>
      </c>
      <c r="E5" s="20" t="s">
        <v>23</v>
      </c>
      <c r="F5" s="20" t="s">
        <v>24</v>
      </c>
      <c r="G5" s="20" t="s">
        <v>25</v>
      </c>
      <c r="H5" s="20" t="s">
        <v>26</v>
      </c>
      <c r="I5" s="20" t="s">
        <v>27</v>
      </c>
      <c r="J5" s="20" t="s">
        <v>37</v>
      </c>
      <c r="K5" s="20" t="s">
        <v>28</v>
      </c>
      <c r="L5" s="20" t="s">
        <v>29</v>
      </c>
      <c r="M5" s="20" t="s">
        <v>30</v>
      </c>
      <c r="N5" s="20" t="s">
        <v>31</v>
      </c>
      <c r="O5" s="35" t="s">
        <v>20</v>
      </c>
    </row>
    <row r="6" spans="2:15" x14ac:dyDescent="0.25">
      <c r="B6" s="17" t="s">
        <v>2</v>
      </c>
      <c r="C6" s="2">
        <v>121</v>
      </c>
      <c r="D6" s="3">
        <v>132</v>
      </c>
      <c r="E6" s="3">
        <v>74</v>
      </c>
      <c r="F6" s="3">
        <v>69</v>
      </c>
      <c r="G6" s="3">
        <v>15</v>
      </c>
      <c r="H6" s="1"/>
      <c r="I6" s="1"/>
      <c r="J6" s="1"/>
      <c r="K6" s="1"/>
      <c r="L6" s="1"/>
      <c r="M6" s="1"/>
      <c r="N6" s="1"/>
      <c r="O6" s="1"/>
    </row>
    <row r="7" spans="2:15" x14ac:dyDescent="0.25">
      <c r="B7" s="18" t="s">
        <v>3</v>
      </c>
      <c r="C7" s="2">
        <v>238</v>
      </c>
      <c r="D7" s="3">
        <v>377</v>
      </c>
      <c r="E7" s="3">
        <v>218</v>
      </c>
      <c r="F7" s="3">
        <v>167</v>
      </c>
      <c r="G7" s="3">
        <v>148</v>
      </c>
      <c r="H7" s="1"/>
      <c r="I7" s="1"/>
      <c r="J7" s="1"/>
      <c r="K7" s="1"/>
      <c r="L7" s="1"/>
      <c r="M7" s="1"/>
      <c r="N7" s="1"/>
      <c r="O7" s="1"/>
    </row>
    <row r="8" spans="2:15" x14ac:dyDescent="0.25">
      <c r="B8" s="18" t="s">
        <v>4</v>
      </c>
      <c r="C8" s="2">
        <v>7</v>
      </c>
      <c r="D8" s="3">
        <v>8</v>
      </c>
      <c r="E8" s="3">
        <v>4</v>
      </c>
      <c r="F8" s="3">
        <v>7</v>
      </c>
      <c r="G8" s="3">
        <v>12</v>
      </c>
      <c r="H8" s="1"/>
      <c r="I8" s="1"/>
      <c r="J8" s="1"/>
      <c r="K8" s="1"/>
      <c r="L8" s="1"/>
      <c r="M8" s="1"/>
      <c r="N8" s="1"/>
      <c r="O8" s="1"/>
    </row>
    <row r="9" spans="2:15" x14ac:dyDescent="0.25">
      <c r="B9" s="18" t="s">
        <v>5</v>
      </c>
      <c r="C9" s="2">
        <v>9</v>
      </c>
      <c r="D9" s="3">
        <v>12</v>
      </c>
      <c r="E9" s="3">
        <v>9</v>
      </c>
      <c r="F9" s="3">
        <v>10</v>
      </c>
      <c r="G9" s="3">
        <v>19</v>
      </c>
      <c r="H9" s="1"/>
      <c r="I9" s="1"/>
      <c r="J9" s="1"/>
      <c r="K9" s="1"/>
      <c r="L9" s="1"/>
      <c r="M9" s="1"/>
      <c r="N9" s="1"/>
      <c r="O9" s="1"/>
    </row>
    <row r="10" spans="2:15" x14ac:dyDescent="0.25">
      <c r="B10" s="18" t="s">
        <v>6</v>
      </c>
      <c r="C10" s="2">
        <v>67</v>
      </c>
      <c r="D10" s="3">
        <v>54</v>
      </c>
      <c r="E10" s="3">
        <v>81</v>
      </c>
      <c r="F10" s="3">
        <v>91</v>
      </c>
      <c r="G10" s="3">
        <v>64</v>
      </c>
      <c r="H10" s="1"/>
      <c r="I10" s="1"/>
      <c r="J10" s="1"/>
      <c r="K10" s="1"/>
      <c r="L10" s="1"/>
      <c r="M10" s="1"/>
      <c r="N10" s="1"/>
      <c r="O10" s="1"/>
    </row>
    <row r="11" spans="2:15" x14ac:dyDescent="0.25">
      <c r="B11" s="18" t="s">
        <v>7</v>
      </c>
      <c r="C11" s="2">
        <v>10</v>
      </c>
      <c r="D11" s="3">
        <v>3</v>
      </c>
      <c r="E11" s="3">
        <v>1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 x14ac:dyDescent="0.25">
      <c r="B12" s="18" t="s">
        <v>8</v>
      </c>
      <c r="C12" s="2">
        <v>1</v>
      </c>
      <c r="D12" s="3">
        <v>2</v>
      </c>
      <c r="E12" s="3">
        <v>2</v>
      </c>
      <c r="F12" s="3">
        <v>1</v>
      </c>
      <c r="G12" s="3">
        <v>1</v>
      </c>
      <c r="H12" s="1"/>
      <c r="I12" s="1"/>
      <c r="J12" s="1"/>
      <c r="K12" s="1"/>
      <c r="L12" s="1"/>
      <c r="M12" s="1"/>
      <c r="N12" s="1"/>
      <c r="O12" s="1"/>
    </row>
    <row r="13" spans="2:15" x14ac:dyDescent="0.25">
      <c r="B13" s="18" t="s">
        <v>9</v>
      </c>
      <c r="C13" s="2">
        <v>2</v>
      </c>
      <c r="D13" s="3">
        <v>8</v>
      </c>
      <c r="E13" s="3">
        <v>2</v>
      </c>
      <c r="F13" s="3">
        <v>3</v>
      </c>
      <c r="G13" s="3">
        <v>2</v>
      </c>
      <c r="H13" s="1"/>
      <c r="I13" s="1"/>
      <c r="J13" s="1"/>
      <c r="K13" s="1"/>
      <c r="L13" s="1"/>
      <c r="M13" s="1"/>
      <c r="N13" s="1"/>
      <c r="O13" s="1"/>
    </row>
    <row r="14" spans="2:15" x14ac:dyDescent="0.25">
      <c r="B14" s="18" t="s">
        <v>10</v>
      </c>
      <c r="C14" s="2">
        <v>471</v>
      </c>
      <c r="D14" s="3">
        <v>985</v>
      </c>
      <c r="E14" s="3">
        <v>785</v>
      </c>
      <c r="F14" s="3">
        <v>783</v>
      </c>
      <c r="G14" s="3">
        <v>637</v>
      </c>
      <c r="H14" s="1"/>
      <c r="I14" s="1"/>
      <c r="J14" s="1"/>
      <c r="K14" s="1"/>
      <c r="L14" s="1"/>
      <c r="M14" s="1"/>
      <c r="N14" s="1"/>
      <c r="O14" s="1"/>
    </row>
    <row r="15" spans="2:15" x14ac:dyDescent="0.25">
      <c r="B15" s="18" t="s">
        <v>11</v>
      </c>
      <c r="C15" s="2">
        <v>64</v>
      </c>
      <c r="D15" s="3">
        <v>123</v>
      </c>
      <c r="E15" s="3">
        <v>104</v>
      </c>
      <c r="F15" s="3">
        <v>94</v>
      </c>
      <c r="G15" s="3">
        <v>71</v>
      </c>
      <c r="H15" s="1"/>
      <c r="I15" s="1"/>
      <c r="J15" s="1"/>
      <c r="K15" s="1"/>
      <c r="L15" s="1"/>
      <c r="M15" s="1"/>
      <c r="N15" s="1"/>
      <c r="O15" s="1"/>
    </row>
    <row r="16" spans="2:15" x14ac:dyDescent="0.25">
      <c r="B16" s="18" t="s">
        <v>12</v>
      </c>
      <c r="C16" s="2">
        <v>158</v>
      </c>
      <c r="D16" s="3">
        <v>184</v>
      </c>
      <c r="E16" s="3">
        <v>206</v>
      </c>
      <c r="F16" s="3">
        <v>267</v>
      </c>
      <c r="G16" s="3">
        <v>227</v>
      </c>
      <c r="H16" s="1"/>
      <c r="I16" s="1"/>
      <c r="J16" s="1"/>
      <c r="K16" s="1"/>
      <c r="L16" s="1"/>
      <c r="M16" s="1"/>
      <c r="N16" s="1"/>
      <c r="O16" s="1"/>
    </row>
    <row r="17" spans="2:15" x14ac:dyDescent="0.25">
      <c r="B17" s="18" t="s">
        <v>13</v>
      </c>
      <c r="C17" s="2">
        <v>129</v>
      </c>
      <c r="D17" s="3">
        <v>112</v>
      </c>
      <c r="E17" s="3">
        <v>129</v>
      </c>
      <c r="F17" s="3">
        <v>126</v>
      </c>
      <c r="G17" s="3">
        <v>90</v>
      </c>
      <c r="H17" s="1"/>
      <c r="I17" s="1"/>
      <c r="J17" s="1"/>
      <c r="K17" s="1"/>
      <c r="L17" s="1"/>
      <c r="M17" s="1"/>
      <c r="N17" s="1"/>
      <c r="O17" s="1"/>
    </row>
    <row r="18" spans="2:15" x14ac:dyDescent="0.25">
      <c r="B18" s="18" t="s">
        <v>14</v>
      </c>
      <c r="C18" s="2">
        <v>76</v>
      </c>
      <c r="D18" s="3">
        <v>61</v>
      </c>
      <c r="E18" s="3">
        <v>50</v>
      </c>
      <c r="F18" s="3">
        <v>49</v>
      </c>
      <c r="G18" s="3">
        <v>80</v>
      </c>
      <c r="H18" s="1"/>
      <c r="I18" s="1"/>
      <c r="J18" s="1"/>
      <c r="K18" s="1"/>
      <c r="L18" s="1"/>
      <c r="M18" s="1"/>
      <c r="N18" s="1"/>
      <c r="O18" s="1"/>
    </row>
    <row r="19" spans="2:15" x14ac:dyDescent="0.25">
      <c r="B19" s="18" t="s">
        <v>15</v>
      </c>
      <c r="C19" s="2">
        <v>433</v>
      </c>
      <c r="D19" s="3">
        <v>761</v>
      </c>
      <c r="E19" s="3">
        <v>783</v>
      </c>
      <c r="F19" s="3">
        <v>649</v>
      </c>
      <c r="G19" s="3">
        <v>720</v>
      </c>
      <c r="H19" s="1"/>
      <c r="I19" s="1"/>
      <c r="J19" s="1"/>
      <c r="K19" s="1"/>
      <c r="L19" s="1"/>
      <c r="M19" s="1"/>
      <c r="N19" s="1"/>
      <c r="O19" s="1"/>
    </row>
    <row r="20" spans="2:15" x14ac:dyDescent="0.25">
      <c r="B20" s="18" t="s">
        <v>16</v>
      </c>
      <c r="C20" s="2">
        <v>59</v>
      </c>
      <c r="D20" s="3">
        <v>105</v>
      </c>
      <c r="E20" s="3">
        <v>116</v>
      </c>
      <c r="F20" s="3">
        <v>100</v>
      </c>
      <c r="G20" s="3">
        <v>86</v>
      </c>
      <c r="H20" s="1"/>
      <c r="I20" s="1"/>
      <c r="J20" s="1"/>
      <c r="K20" s="1"/>
      <c r="L20" s="1"/>
      <c r="M20" s="1"/>
      <c r="N20" s="1"/>
      <c r="O20" s="1"/>
    </row>
    <row r="21" spans="2:15" x14ac:dyDescent="0.25">
      <c r="B21" s="18" t="s">
        <v>17</v>
      </c>
      <c r="C21" s="2">
        <v>72</v>
      </c>
      <c r="D21" s="3">
        <v>47</v>
      </c>
      <c r="E21" s="3">
        <v>55</v>
      </c>
      <c r="F21" s="3">
        <v>62</v>
      </c>
      <c r="G21" s="3">
        <v>58</v>
      </c>
      <c r="H21" s="1"/>
      <c r="I21" s="1"/>
      <c r="J21" s="1"/>
      <c r="K21" s="1"/>
      <c r="L21" s="1"/>
      <c r="M21" s="1"/>
      <c r="N21" s="1"/>
      <c r="O21" s="1"/>
    </row>
    <row r="22" spans="2:15" x14ac:dyDescent="0.25">
      <c r="B22" s="18" t="s">
        <v>53</v>
      </c>
      <c r="C22" s="2">
        <v>50</v>
      </c>
      <c r="D22" s="3">
        <v>40</v>
      </c>
      <c r="E22" s="3">
        <v>74</v>
      </c>
      <c r="F22" s="3">
        <v>49</v>
      </c>
      <c r="G22" s="3">
        <v>62</v>
      </c>
      <c r="H22" s="1"/>
      <c r="I22" s="1"/>
      <c r="J22" s="1"/>
      <c r="K22" s="1"/>
      <c r="L22" s="1"/>
      <c r="M22" s="1"/>
      <c r="N22" s="1"/>
      <c r="O22" s="1"/>
    </row>
    <row r="23" spans="2:15" x14ac:dyDescent="0.25">
      <c r="B23" s="18" t="s">
        <v>18</v>
      </c>
      <c r="C23" s="2">
        <v>69</v>
      </c>
      <c r="D23" s="3">
        <v>137</v>
      </c>
      <c r="E23" s="3">
        <v>50</v>
      </c>
      <c r="F23" s="3">
        <v>46</v>
      </c>
      <c r="G23" s="3">
        <v>29</v>
      </c>
      <c r="H23" s="1"/>
      <c r="I23" s="1"/>
      <c r="J23" s="1"/>
      <c r="K23" s="1"/>
      <c r="L23" s="1"/>
      <c r="M23" s="1"/>
      <c r="N23" s="1"/>
      <c r="O23" s="1"/>
    </row>
    <row r="24" spans="2:15" x14ac:dyDescent="0.25">
      <c r="B24" s="18" t="s">
        <v>19</v>
      </c>
      <c r="C24" s="2">
        <v>27</v>
      </c>
      <c r="D24" s="3">
        <v>60</v>
      </c>
      <c r="E24" s="3">
        <v>52</v>
      </c>
      <c r="F24" s="3">
        <v>40</v>
      </c>
      <c r="G24" s="3">
        <v>46</v>
      </c>
      <c r="H24" s="1"/>
      <c r="I24" s="1"/>
      <c r="J24" s="1"/>
      <c r="K24" s="1"/>
      <c r="L24" s="1"/>
      <c r="M24" s="1"/>
      <c r="N24" s="1"/>
      <c r="O24" s="1"/>
    </row>
    <row r="25" spans="2:15" ht="15.75" x14ac:dyDescent="0.25">
      <c r="B25" s="35" t="s">
        <v>20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9" spans="2:15" x14ac:dyDescent="0.25">
      <c r="B29" s="3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O15"/>
  <sheetViews>
    <sheetView topLeftCell="A4" workbookViewId="0">
      <selection activeCell="F37" sqref="F37"/>
    </sheetView>
  </sheetViews>
  <sheetFormatPr defaultRowHeight="15" x14ac:dyDescent="0.25"/>
  <cols>
    <col min="2" max="2" width="27.5703125" customWidth="1"/>
    <col min="3" max="3" width="11.85546875" customWidth="1"/>
    <col min="4" max="4" width="13.5703125" customWidth="1"/>
    <col min="5" max="5" width="10.28515625" customWidth="1"/>
    <col min="6" max="6" width="11.42578125" customWidth="1"/>
    <col min="7" max="7" width="11" customWidth="1"/>
    <col min="8" max="8" width="12.5703125" customWidth="1"/>
    <col min="9" max="9" width="13" customWidth="1"/>
    <col min="10" max="10" width="11.42578125" customWidth="1"/>
    <col min="11" max="11" width="13.28515625" customWidth="1"/>
    <col min="12" max="12" width="12.140625" customWidth="1"/>
    <col min="13" max="13" width="11.85546875" customWidth="1"/>
    <col min="14" max="14" width="11.5703125" customWidth="1"/>
  </cols>
  <sheetData>
    <row r="4" spans="2:15" ht="26.25" x14ac:dyDescent="0.4">
      <c r="D4" s="49"/>
      <c r="E4" s="50" t="s">
        <v>54</v>
      </c>
      <c r="F4" s="49"/>
      <c r="G4" s="50"/>
      <c r="H4" s="49"/>
      <c r="I4" s="49"/>
      <c r="J4" s="49"/>
      <c r="K4" s="49"/>
    </row>
    <row r="5" spans="2:15" ht="15.75" x14ac:dyDescent="0.25">
      <c r="D5" s="49"/>
      <c r="E5" s="49"/>
      <c r="F5" s="51" t="s">
        <v>32</v>
      </c>
      <c r="G5" s="49"/>
      <c r="H5" s="49"/>
      <c r="I5" s="49"/>
      <c r="J5" s="49"/>
      <c r="K5" s="49"/>
    </row>
    <row r="10" spans="2:15" ht="20.25" x14ac:dyDescent="0.3">
      <c r="B10" s="21" t="s">
        <v>33</v>
      </c>
      <c r="C10" s="22" t="s">
        <v>21</v>
      </c>
      <c r="D10" s="23" t="s">
        <v>22</v>
      </c>
      <c r="E10" s="24" t="s">
        <v>23</v>
      </c>
      <c r="F10" s="25" t="s">
        <v>24</v>
      </c>
      <c r="G10" s="26" t="s">
        <v>25</v>
      </c>
      <c r="H10" s="27" t="s">
        <v>26</v>
      </c>
      <c r="I10" s="28" t="s">
        <v>27</v>
      </c>
      <c r="J10" s="29" t="s">
        <v>37</v>
      </c>
      <c r="K10" s="30" t="s">
        <v>28</v>
      </c>
      <c r="L10" s="31" t="s">
        <v>29</v>
      </c>
      <c r="M10" s="32" t="s">
        <v>30</v>
      </c>
      <c r="N10" s="33" t="s">
        <v>38</v>
      </c>
      <c r="O10" s="36" t="s">
        <v>20</v>
      </c>
    </row>
    <row r="11" spans="2:15" x14ac:dyDescent="0.25">
      <c r="B11" s="16" t="s">
        <v>34</v>
      </c>
      <c r="C11" s="39">
        <v>1294</v>
      </c>
      <c r="D11" s="42">
        <v>2413</v>
      </c>
      <c r="E11" s="44">
        <v>1605</v>
      </c>
      <c r="F11" s="46">
        <v>1517</v>
      </c>
      <c r="G11" s="48">
        <v>1480</v>
      </c>
      <c r="H11" s="9"/>
      <c r="I11" s="10"/>
      <c r="J11" s="11"/>
      <c r="K11" s="12"/>
      <c r="L11" s="13"/>
      <c r="M11" s="14"/>
      <c r="N11" s="15"/>
      <c r="O11" s="15"/>
    </row>
    <row r="12" spans="2:15" x14ac:dyDescent="0.25">
      <c r="B12" s="16" t="s">
        <v>35</v>
      </c>
      <c r="C12" s="40">
        <v>115</v>
      </c>
      <c r="D12" s="41">
        <v>147</v>
      </c>
      <c r="E12" s="44">
        <v>375</v>
      </c>
      <c r="F12" s="45">
        <v>270</v>
      </c>
      <c r="G12" s="47">
        <v>80</v>
      </c>
      <c r="H12" s="9"/>
      <c r="I12" s="10"/>
      <c r="J12" s="11"/>
      <c r="K12" s="12"/>
      <c r="L12" s="13"/>
      <c r="M12" s="14"/>
      <c r="N12" s="15"/>
      <c r="O12" s="15"/>
    </row>
    <row r="13" spans="2:15" x14ac:dyDescent="0.25">
      <c r="B13" s="16" t="s">
        <v>69</v>
      </c>
      <c r="C13" s="40"/>
      <c r="D13" s="41"/>
      <c r="E13" s="43">
        <v>2</v>
      </c>
      <c r="F13" s="45"/>
      <c r="G13" s="8"/>
      <c r="H13" s="9"/>
      <c r="I13" s="10"/>
      <c r="J13" s="11"/>
      <c r="K13" s="12"/>
      <c r="L13" s="13"/>
      <c r="M13" s="14"/>
      <c r="N13" s="15"/>
      <c r="O13" s="15"/>
    </row>
    <row r="14" spans="2:15" x14ac:dyDescent="0.25">
      <c r="B14" s="16" t="s">
        <v>36</v>
      </c>
      <c r="C14" s="40">
        <v>17</v>
      </c>
      <c r="D14" s="41">
        <v>63</v>
      </c>
      <c r="E14" s="44">
        <v>26</v>
      </c>
      <c r="F14" s="45">
        <v>63</v>
      </c>
      <c r="G14" s="47">
        <v>54</v>
      </c>
      <c r="H14" s="9"/>
      <c r="I14" s="10"/>
      <c r="J14" s="11"/>
      <c r="K14" s="12"/>
      <c r="L14" s="13"/>
      <c r="M14" s="14"/>
      <c r="N14" s="15"/>
      <c r="O14" s="15"/>
    </row>
    <row r="15" spans="2:15" ht="15.75" x14ac:dyDescent="0.25">
      <c r="B15" s="37" t="s">
        <v>20</v>
      </c>
      <c r="C15" s="4"/>
      <c r="D15" s="5"/>
      <c r="E15" s="6"/>
      <c r="F15" s="7"/>
      <c r="G15" s="8"/>
      <c r="H15" s="9"/>
      <c r="I15" s="10"/>
      <c r="J15" s="11"/>
      <c r="K15" s="12"/>
      <c r="L15" s="13"/>
      <c r="M15" s="14"/>
      <c r="N15" s="15"/>
      <c r="O1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7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188" sqref="K188"/>
    </sheetView>
  </sheetViews>
  <sheetFormatPr defaultRowHeight="15" x14ac:dyDescent="0.25"/>
  <cols>
    <col min="1" max="1" width="24.85546875" customWidth="1"/>
    <col min="2" max="2" width="8.85546875" style="55" customWidth="1"/>
    <col min="3" max="3" width="8.85546875" style="54" customWidth="1"/>
    <col min="4" max="4" width="8.85546875" style="55" customWidth="1"/>
    <col min="5" max="5" width="8.85546875" style="54" customWidth="1"/>
    <col min="6" max="6" width="8.85546875" style="55" customWidth="1"/>
    <col min="7" max="7" width="8.85546875" style="54" customWidth="1"/>
    <col min="8" max="8" width="8.85546875" style="55" customWidth="1"/>
    <col min="9" max="9" width="8.85546875" style="54" customWidth="1"/>
    <col min="10" max="10" width="8.85546875" style="55" customWidth="1"/>
    <col min="11" max="11" width="8.85546875" style="54" customWidth="1"/>
    <col min="12" max="14" width="8.85546875" style="55" customWidth="1"/>
    <col min="15" max="15" width="8.85546875" style="54" customWidth="1"/>
    <col min="16" max="16" width="8.85546875" style="301" customWidth="1"/>
    <col min="17" max="17" width="8.85546875" style="55" customWidth="1"/>
    <col min="18" max="18" width="8.85546875" style="54" customWidth="1"/>
    <col min="19" max="19" width="8.85546875" style="55" customWidth="1"/>
    <col min="20" max="20" width="8.85546875" style="54" customWidth="1"/>
    <col min="21" max="21" width="8.85546875" style="55" customWidth="1"/>
    <col min="22" max="22" width="8.85546875" style="54" customWidth="1"/>
    <col min="23" max="23" width="8.85546875" style="55" customWidth="1"/>
    <col min="24" max="24" width="8.85546875" style="54" customWidth="1"/>
    <col min="25" max="25" width="8.85546875" style="55" customWidth="1"/>
    <col min="26" max="26" width="8.85546875" style="54" customWidth="1"/>
    <col min="27" max="27" width="9.5703125" customWidth="1"/>
    <col min="28" max="28" width="8.85546875" style="54" customWidth="1"/>
    <col min="30" max="30" width="12.5703125" bestFit="1" customWidth="1"/>
  </cols>
  <sheetData>
    <row r="1" spans="1:28" ht="16.5" customHeight="1" x14ac:dyDescent="0.25">
      <c r="A1" s="189" t="s">
        <v>121</v>
      </c>
      <c r="B1" s="110"/>
      <c r="C1" s="111"/>
      <c r="D1" s="112"/>
      <c r="E1" s="113"/>
      <c r="F1" s="114"/>
      <c r="G1" s="115"/>
      <c r="H1" s="61"/>
      <c r="J1" s="60"/>
      <c r="L1" s="60"/>
      <c r="M1" s="60"/>
      <c r="N1" s="59"/>
      <c r="Q1" s="59"/>
      <c r="S1" s="59"/>
    </row>
    <row r="2" spans="1:28" ht="9.75" customHeight="1" x14ac:dyDescent="0.25">
      <c r="D2" s="59"/>
      <c r="F2" s="59"/>
      <c r="H2" s="59"/>
      <c r="J2" s="59"/>
      <c r="L2" s="59"/>
      <c r="M2" s="59"/>
      <c r="N2" s="59"/>
      <c r="Q2" s="59"/>
      <c r="S2" s="59"/>
    </row>
    <row r="3" spans="1:28" ht="15" customHeight="1" x14ac:dyDescent="0.25">
      <c r="A3" s="342" t="s">
        <v>39</v>
      </c>
      <c r="B3" s="344" t="s">
        <v>21</v>
      </c>
      <c r="C3" s="345"/>
      <c r="D3" s="346" t="s">
        <v>22</v>
      </c>
      <c r="E3" s="347"/>
      <c r="F3" s="348" t="s">
        <v>23</v>
      </c>
      <c r="G3" s="349"/>
      <c r="H3" s="350" t="s">
        <v>24</v>
      </c>
      <c r="I3" s="351"/>
      <c r="J3" s="352" t="s">
        <v>25</v>
      </c>
      <c r="K3" s="353"/>
      <c r="L3" s="354" t="s">
        <v>40</v>
      </c>
      <c r="M3" s="355"/>
      <c r="N3" s="356" t="s">
        <v>27</v>
      </c>
      <c r="O3" s="357"/>
      <c r="P3" s="304"/>
      <c r="Q3" s="358" t="s">
        <v>37</v>
      </c>
      <c r="R3" s="359"/>
      <c r="S3" s="360" t="s">
        <v>28</v>
      </c>
      <c r="T3" s="361"/>
      <c r="U3" s="362" t="s">
        <v>29</v>
      </c>
      <c r="V3" s="363"/>
      <c r="W3" s="364" t="s">
        <v>30</v>
      </c>
      <c r="X3" s="365"/>
      <c r="Y3" s="338" t="s">
        <v>38</v>
      </c>
      <c r="Z3" s="339"/>
      <c r="AA3" s="366" t="s">
        <v>20</v>
      </c>
      <c r="AB3" s="367"/>
    </row>
    <row r="4" spans="1:28" ht="13.5" customHeight="1" x14ac:dyDescent="0.25">
      <c r="A4" s="343"/>
      <c r="B4" s="140" t="s">
        <v>73</v>
      </c>
      <c r="C4" s="141" t="s">
        <v>79</v>
      </c>
      <c r="D4" s="140" t="s">
        <v>73</v>
      </c>
      <c r="E4" s="141" t="s">
        <v>79</v>
      </c>
      <c r="F4" s="140" t="s">
        <v>73</v>
      </c>
      <c r="G4" s="141" t="s">
        <v>79</v>
      </c>
      <c r="H4" s="140" t="s">
        <v>73</v>
      </c>
      <c r="I4" s="141" t="s">
        <v>79</v>
      </c>
      <c r="J4" s="140" t="s">
        <v>73</v>
      </c>
      <c r="K4" s="141" t="s">
        <v>79</v>
      </c>
      <c r="L4" s="140" t="s">
        <v>73</v>
      </c>
      <c r="M4" s="141" t="s">
        <v>79</v>
      </c>
      <c r="N4" s="140" t="s">
        <v>73</v>
      </c>
      <c r="O4" s="141" t="s">
        <v>79</v>
      </c>
      <c r="P4" s="312"/>
      <c r="Q4" s="140" t="s">
        <v>73</v>
      </c>
      <c r="R4" s="141" t="s">
        <v>79</v>
      </c>
      <c r="S4" s="140" t="s">
        <v>73</v>
      </c>
      <c r="T4" s="141" t="s">
        <v>79</v>
      </c>
      <c r="U4" s="140" t="s">
        <v>73</v>
      </c>
      <c r="V4" s="141" t="s">
        <v>79</v>
      </c>
      <c r="W4" s="140" t="s">
        <v>73</v>
      </c>
      <c r="X4" s="141" t="s">
        <v>79</v>
      </c>
      <c r="Y4" s="140" t="s">
        <v>73</v>
      </c>
      <c r="Z4" s="141" t="s">
        <v>79</v>
      </c>
      <c r="AA4" s="142" t="s">
        <v>73</v>
      </c>
      <c r="AB4" s="141" t="s">
        <v>79</v>
      </c>
    </row>
    <row r="5" spans="1:28" ht="15" customHeight="1" x14ac:dyDescent="0.25">
      <c r="A5" s="143" t="s">
        <v>74</v>
      </c>
      <c r="B5" s="117"/>
      <c r="C5" s="118"/>
      <c r="D5" s="119"/>
      <c r="E5" s="118"/>
      <c r="F5" s="120"/>
      <c r="G5" s="118"/>
      <c r="H5" s="121"/>
      <c r="I5" s="118"/>
      <c r="J5" s="122"/>
      <c r="K5" s="118"/>
      <c r="L5" s="123"/>
      <c r="M5" s="123"/>
      <c r="N5" s="124"/>
      <c r="O5" s="118"/>
      <c r="P5" s="313"/>
      <c r="Q5" s="125"/>
      <c r="R5" s="118"/>
      <c r="S5" s="126"/>
      <c r="T5" s="118"/>
      <c r="U5" s="127"/>
      <c r="V5" s="118"/>
      <c r="W5" s="128"/>
      <c r="X5" s="118"/>
      <c r="Y5" s="129"/>
      <c r="Z5" s="118"/>
      <c r="AA5" s="130"/>
      <c r="AB5" s="118"/>
    </row>
    <row r="6" spans="1:28" ht="15" customHeight="1" x14ac:dyDescent="0.25">
      <c r="A6" s="72" t="s">
        <v>80</v>
      </c>
      <c r="B6" s="146">
        <v>585</v>
      </c>
      <c r="C6" s="184">
        <f>B6/B30*100</f>
        <v>0.30106530801296894</v>
      </c>
      <c r="D6" s="56">
        <v>360</v>
      </c>
      <c r="E6" s="144">
        <f>D6/D30*100</f>
        <v>0.16642396505096732</v>
      </c>
      <c r="F6" s="153"/>
      <c r="G6" s="184">
        <f>F6/F30*100</f>
        <v>0</v>
      </c>
      <c r="H6" s="153"/>
      <c r="I6" s="89">
        <f>H6/H30*100</f>
        <v>0</v>
      </c>
      <c r="J6" s="56">
        <v>180</v>
      </c>
      <c r="K6" s="144">
        <f>J6/J30*100</f>
        <v>0.15220700152207001</v>
      </c>
      <c r="L6" s="56">
        <v>3690</v>
      </c>
      <c r="M6" s="184">
        <f>L6/L30*100</f>
        <v>2.5308641975308643</v>
      </c>
      <c r="N6" s="63">
        <v>3735</v>
      </c>
      <c r="O6" s="144">
        <f>N6/N30*100</f>
        <v>1.2483080162430442</v>
      </c>
      <c r="P6" s="314"/>
      <c r="Q6" s="64">
        <v>3555</v>
      </c>
      <c r="R6" s="144">
        <f>Q6/Q30*100</f>
        <v>1.0584137191854235</v>
      </c>
      <c r="S6" s="146">
        <v>3105</v>
      </c>
      <c r="T6" s="144">
        <f>S6/S30*100</f>
        <v>1.0799812177179526</v>
      </c>
      <c r="U6" s="65">
        <v>2160</v>
      </c>
      <c r="V6" s="144">
        <f>U6/U30*100</f>
        <v>0.65023028989433762</v>
      </c>
      <c r="W6" s="66">
        <v>1170</v>
      </c>
      <c r="X6" s="144">
        <f>W6/W30*100</f>
        <v>0.40682209356908156</v>
      </c>
      <c r="Y6" s="109">
        <v>5265</v>
      </c>
      <c r="Z6" s="144">
        <f>Y6/Y30*100</f>
        <v>2.1428571428571428</v>
      </c>
      <c r="AA6" s="52">
        <f t="shared" ref="AA6:AA11" si="0">B6+D6+F6+H6+J6+L6+N6+Q6+S6+U6+W6+Y6</f>
        <v>23805</v>
      </c>
      <c r="AB6" s="89">
        <f>AA6/AA30*100</f>
        <v>0.85879411669210048</v>
      </c>
    </row>
    <row r="7" spans="1:28" ht="15" customHeight="1" x14ac:dyDescent="0.25">
      <c r="A7" s="73" t="s">
        <v>55</v>
      </c>
      <c r="B7" s="146">
        <v>2970</v>
      </c>
      <c r="C7" s="184">
        <f>B7/B30*100</f>
        <v>1.5284854099119962</v>
      </c>
      <c r="D7" s="56">
        <v>6750</v>
      </c>
      <c r="E7" s="144">
        <f>D7/D30*100</f>
        <v>3.1204493447056376</v>
      </c>
      <c r="F7" s="153">
        <v>16065</v>
      </c>
      <c r="G7" s="184">
        <f>F7/F30*100</f>
        <v>9.7540983606557372</v>
      </c>
      <c r="H7" s="146">
        <v>22770</v>
      </c>
      <c r="I7" s="144">
        <f>H7/H30*100</f>
        <v>15.763239875389409</v>
      </c>
      <c r="J7" s="56">
        <v>8280</v>
      </c>
      <c r="K7" s="144">
        <f>J7/J30*100</f>
        <v>7.0015220700152199</v>
      </c>
      <c r="L7" s="62">
        <v>2250</v>
      </c>
      <c r="M7" s="184">
        <f>L7/L30*100</f>
        <v>1.5432098765432098</v>
      </c>
      <c r="N7" s="63">
        <v>13275</v>
      </c>
      <c r="O7" s="144">
        <f>N7/N30*100</f>
        <v>4.4367574071288916</v>
      </c>
      <c r="P7" s="314"/>
      <c r="Q7" s="64">
        <v>9270</v>
      </c>
      <c r="R7" s="144">
        <f>Q7/Q30*100</f>
        <v>2.759914255091104</v>
      </c>
      <c r="S7" s="146">
        <v>9855</v>
      </c>
      <c r="T7" s="144">
        <f>S7/S30*100</f>
        <v>3.4277664736265456</v>
      </c>
      <c r="U7" s="65">
        <v>13725</v>
      </c>
      <c r="V7" s="144">
        <f>U7/U30*100</f>
        <v>4.1316716337036032</v>
      </c>
      <c r="W7" s="66">
        <v>8595</v>
      </c>
      <c r="X7" s="144">
        <f>W7/W30*100</f>
        <v>2.9885776873728682</v>
      </c>
      <c r="Y7" s="109">
        <v>18810</v>
      </c>
      <c r="Z7" s="144">
        <f>Y7/Y30*100</f>
        <v>7.655677655677656</v>
      </c>
      <c r="AA7" s="52">
        <f t="shared" si="0"/>
        <v>132615</v>
      </c>
      <c r="AB7" s="89">
        <f>AA7/AA30*100</f>
        <v>4.784246241761096</v>
      </c>
    </row>
    <row r="8" spans="1:28" ht="15" customHeight="1" x14ac:dyDescent="0.25">
      <c r="A8" s="73" t="s">
        <v>103</v>
      </c>
      <c r="B8" s="146"/>
      <c r="C8" s="184"/>
      <c r="D8" s="56"/>
      <c r="E8" s="144"/>
      <c r="F8" s="153"/>
      <c r="G8" s="184"/>
      <c r="H8" s="146">
        <v>2970</v>
      </c>
      <c r="I8" s="144">
        <f>H8/H30*100</f>
        <v>2.0560747663551404</v>
      </c>
      <c r="J8" s="56"/>
      <c r="K8" s="144"/>
      <c r="L8" s="62"/>
      <c r="M8" s="184"/>
      <c r="N8" s="63"/>
      <c r="O8" s="144"/>
      <c r="P8" s="314"/>
      <c r="Q8" s="64"/>
      <c r="R8" s="144">
        <f>Q8/Q30*100</f>
        <v>0</v>
      </c>
      <c r="S8" s="146"/>
      <c r="T8" s="90"/>
      <c r="U8" s="65"/>
      <c r="V8" s="90"/>
      <c r="W8" s="66"/>
      <c r="X8" s="144"/>
      <c r="Y8" s="109">
        <v>810</v>
      </c>
      <c r="Z8" s="144">
        <f>Y8/Y30*100</f>
        <v>0.32967032967032966</v>
      </c>
      <c r="AA8" s="52">
        <f t="shared" si="0"/>
        <v>3780</v>
      </c>
      <c r="AB8" s="89">
        <f>AA8/AA30*100</f>
        <v>0.13636806389817852</v>
      </c>
    </row>
    <row r="9" spans="1:28" ht="15" customHeight="1" x14ac:dyDescent="0.25">
      <c r="A9" s="73" t="s">
        <v>41</v>
      </c>
      <c r="B9" s="147">
        <v>42210</v>
      </c>
      <c r="C9" s="184">
        <f>B9/B30*100</f>
        <v>21.723019916628068</v>
      </c>
      <c r="D9" s="56">
        <v>50760</v>
      </c>
      <c r="E9" s="144">
        <f>D9/D30*100</f>
        <v>23.465779072186393</v>
      </c>
      <c r="F9" s="153">
        <v>27045</v>
      </c>
      <c r="G9" s="184">
        <f>F9/F30*100</f>
        <v>16.420765027322403</v>
      </c>
      <c r="H9" s="153">
        <v>16380</v>
      </c>
      <c r="I9" s="144">
        <f>H9/H30*100</f>
        <v>11.339563862928349</v>
      </c>
      <c r="J9" s="56">
        <v>28035</v>
      </c>
      <c r="K9" s="144">
        <f>J9/J30*100</f>
        <v>23.706240487062406</v>
      </c>
      <c r="L9" s="62">
        <v>27900</v>
      </c>
      <c r="M9" s="184">
        <f>L9/L30*100</f>
        <v>19.1358024691358</v>
      </c>
      <c r="N9" s="63">
        <v>56610</v>
      </c>
      <c r="O9" s="144">
        <f>N9/N30*100</f>
        <v>18.920138366671679</v>
      </c>
      <c r="P9" s="314"/>
      <c r="Q9" s="64">
        <v>54675</v>
      </c>
      <c r="R9" s="144">
        <f>Q9/Q30*100</f>
        <v>16.278135048231512</v>
      </c>
      <c r="S9" s="146">
        <v>36360</v>
      </c>
      <c r="T9" s="144">
        <f>S9/S30*100</f>
        <v>12.646736578494286</v>
      </c>
      <c r="U9" s="64">
        <v>44955</v>
      </c>
      <c r="V9" s="144">
        <f>U9/U30*100</f>
        <v>13.532917908425901</v>
      </c>
      <c r="W9" s="64">
        <v>29070</v>
      </c>
      <c r="X9" s="144">
        <f>W9/W30*100</f>
        <v>10.107964324831794</v>
      </c>
      <c r="Y9" s="64">
        <v>36720</v>
      </c>
      <c r="Z9" s="144">
        <f>Y9/Y30*100</f>
        <v>14.945054945054945</v>
      </c>
      <c r="AA9" s="52">
        <f t="shared" si="0"/>
        <v>450720</v>
      </c>
      <c r="AB9" s="89">
        <f>AA9/AA30*100</f>
        <v>16.260268190525668</v>
      </c>
    </row>
    <row r="10" spans="1:28" ht="15" customHeight="1" x14ac:dyDescent="0.25">
      <c r="A10" s="73" t="s">
        <v>71</v>
      </c>
      <c r="B10" s="147"/>
      <c r="C10" s="184"/>
      <c r="D10" s="56">
        <v>945</v>
      </c>
      <c r="E10" s="144">
        <f>D10/D30*100</f>
        <v>0.43686290825878926</v>
      </c>
      <c r="F10" s="153">
        <v>900</v>
      </c>
      <c r="G10" s="184">
        <f>F10/F30*100</f>
        <v>0.54644808743169404</v>
      </c>
      <c r="H10" s="146"/>
      <c r="I10" s="90"/>
      <c r="J10" s="56">
        <v>720</v>
      </c>
      <c r="K10" s="144">
        <f>J10/J30*100</f>
        <v>0.60882800608828003</v>
      </c>
      <c r="L10" s="62"/>
      <c r="M10" s="184">
        <f>L10/L30*100</f>
        <v>0</v>
      </c>
      <c r="N10" s="63"/>
      <c r="O10" s="144"/>
      <c r="P10" s="314"/>
      <c r="Q10" s="64"/>
      <c r="R10" s="144"/>
      <c r="S10" s="146"/>
      <c r="T10" s="90"/>
      <c r="U10" s="64">
        <v>1485</v>
      </c>
      <c r="V10" s="144">
        <f>U10/U30*100</f>
        <v>0.44703332430235709</v>
      </c>
      <c r="W10" s="64">
        <v>450</v>
      </c>
      <c r="X10" s="144">
        <f>W10/W30*100</f>
        <v>0.1564700359881083</v>
      </c>
      <c r="Y10" s="64"/>
      <c r="Z10" s="144"/>
      <c r="AA10" s="52">
        <f t="shared" si="0"/>
        <v>4500</v>
      </c>
      <c r="AB10" s="89">
        <f>AA10/AA30*100</f>
        <v>0.16234293321211729</v>
      </c>
    </row>
    <row r="11" spans="1:28" ht="15" customHeight="1" x14ac:dyDescent="0.25">
      <c r="A11" s="73" t="s">
        <v>42</v>
      </c>
      <c r="B11" s="146">
        <v>675</v>
      </c>
      <c r="C11" s="184">
        <f>B11/B30*100</f>
        <v>0.34738304770727191</v>
      </c>
      <c r="D11" s="56">
        <v>8235</v>
      </c>
      <c r="E11" s="144">
        <f>D11/D30*100</f>
        <v>3.8069482005408779</v>
      </c>
      <c r="F11" s="153">
        <v>5625</v>
      </c>
      <c r="G11" s="184">
        <f>F11/F30*100</f>
        <v>3.4153005464480879</v>
      </c>
      <c r="H11" s="153">
        <v>8325</v>
      </c>
      <c r="I11" s="144">
        <f>H11/H30*100</f>
        <v>5.7632398753894076</v>
      </c>
      <c r="J11" s="56">
        <v>2925</v>
      </c>
      <c r="K11" s="144">
        <f>J11/J30*100</f>
        <v>2.4733637747336377</v>
      </c>
      <c r="L11" s="62">
        <v>1125</v>
      </c>
      <c r="M11" s="184">
        <f>L11/L30*100</f>
        <v>0.77160493827160492</v>
      </c>
      <c r="N11" s="63">
        <v>5895</v>
      </c>
      <c r="O11" s="144">
        <f>N11/N30*100</f>
        <v>1.9702210858775757</v>
      </c>
      <c r="P11" s="314"/>
      <c r="Q11" s="64">
        <v>3960</v>
      </c>
      <c r="R11" s="144">
        <f>Q11/Q30*100</f>
        <v>1.1789924973204717</v>
      </c>
      <c r="S11" s="146">
        <v>7200</v>
      </c>
      <c r="T11" s="144">
        <f>S11/S30*100</f>
        <v>2.5043042729691658</v>
      </c>
      <c r="U11" s="64">
        <v>5580</v>
      </c>
      <c r="V11" s="144">
        <f>U11/U30*100</f>
        <v>1.6797615822270389</v>
      </c>
      <c r="W11" s="64">
        <v>1575</v>
      </c>
      <c r="X11" s="144">
        <f>W11/W30*100</f>
        <v>0.547645125958379</v>
      </c>
      <c r="Y11" s="64">
        <v>5175</v>
      </c>
      <c r="Z11" s="144">
        <f>Y11/Y30*100</f>
        <v>2.1062271062271063</v>
      </c>
      <c r="AA11" s="52">
        <f t="shared" si="0"/>
        <v>56295</v>
      </c>
      <c r="AB11" s="89">
        <f>AA11/AA30*100</f>
        <v>2.0309100944835872</v>
      </c>
    </row>
    <row r="12" spans="1:28" ht="15" customHeight="1" x14ac:dyDescent="0.25">
      <c r="A12" s="73" t="s">
        <v>129</v>
      </c>
      <c r="B12" s="146"/>
      <c r="C12" s="184"/>
      <c r="D12" s="56"/>
      <c r="E12" s="144"/>
      <c r="F12" s="153"/>
      <c r="G12" s="184"/>
      <c r="H12" s="153"/>
      <c r="I12" s="144"/>
      <c r="J12" s="56"/>
      <c r="K12" s="144"/>
      <c r="L12" s="62"/>
      <c r="M12" s="184"/>
      <c r="N12" s="63"/>
      <c r="O12" s="144"/>
      <c r="P12" s="314"/>
      <c r="Q12" s="64">
        <v>585</v>
      </c>
      <c r="R12" s="144">
        <f>Q12/Q30*100</f>
        <v>0.17416934619506969</v>
      </c>
      <c r="S12" s="146"/>
      <c r="T12" s="144"/>
      <c r="U12" s="64"/>
      <c r="V12" s="144"/>
      <c r="W12" s="64"/>
      <c r="X12" s="144"/>
      <c r="Y12" s="64"/>
      <c r="Z12" s="144"/>
      <c r="AA12" s="52">
        <f>Q12</f>
        <v>585</v>
      </c>
      <c r="AB12" s="89">
        <f>AA12/AA30*100</f>
        <v>2.1104581317575248E-2</v>
      </c>
    </row>
    <row r="13" spans="1:28" ht="15" customHeight="1" x14ac:dyDescent="0.25">
      <c r="A13" s="73" t="s">
        <v>43</v>
      </c>
      <c r="B13" s="146">
        <v>6975</v>
      </c>
      <c r="C13" s="184">
        <f>B13/B30*100</f>
        <v>3.589624826308476</v>
      </c>
      <c r="D13" s="56">
        <v>6300</v>
      </c>
      <c r="E13" s="144">
        <f>D13/D30*100</f>
        <v>2.9124193883919283</v>
      </c>
      <c r="F13" s="153"/>
      <c r="G13" s="184">
        <f>F13/F30*100</f>
        <v>0</v>
      </c>
      <c r="H13" s="153"/>
      <c r="I13" s="144">
        <f>H13/H30*100</f>
        <v>0</v>
      </c>
      <c r="J13" s="56"/>
      <c r="K13" s="144">
        <f>J13/J30*100</f>
        <v>0</v>
      </c>
      <c r="L13" s="62"/>
      <c r="M13" s="184"/>
      <c r="N13" s="63">
        <v>2970</v>
      </c>
      <c r="O13" s="144">
        <f>N13/N30*100</f>
        <v>0.99263047074748079</v>
      </c>
      <c r="P13" s="314"/>
      <c r="Q13" s="64">
        <v>2970</v>
      </c>
      <c r="R13" s="144">
        <f>Q13/Q30*100</f>
        <v>0.88424437299035374</v>
      </c>
      <c r="S13" s="146"/>
      <c r="T13" s="144">
        <f>S13/S30*100</f>
        <v>0</v>
      </c>
      <c r="U13" s="64">
        <v>5085</v>
      </c>
      <c r="V13" s="144">
        <f>U13/U30*100</f>
        <v>1.530750474126253</v>
      </c>
      <c r="W13" s="64">
        <v>8460</v>
      </c>
      <c r="X13" s="144">
        <f>W13/W30*100</f>
        <v>2.9416366765764357</v>
      </c>
      <c r="Y13" s="64">
        <v>6390</v>
      </c>
      <c r="Z13" s="144">
        <f>Y13/Y30*100</f>
        <v>2.6007326007326008</v>
      </c>
      <c r="AA13" s="52">
        <f>B13+D13+F13+H13+J13+L13+N13+Q13+S13+U13+W13+Y13</f>
        <v>39150</v>
      </c>
      <c r="AB13" s="89">
        <f>AA13/AA30*100</f>
        <v>1.4123835189454204</v>
      </c>
    </row>
    <row r="14" spans="1:28" ht="15" customHeight="1" x14ac:dyDescent="0.25">
      <c r="A14" s="73" t="s">
        <v>120</v>
      </c>
      <c r="B14" s="146"/>
      <c r="C14" s="184"/>
      <c r="D14" s="56"/>
      <c r="E14" s="144"/>
      <c r="F14" s="153"/>
      <c r="G14" s="184"/>
      <c r="H14" s="153"/>
      <c r="I14" s="144"/>
      <c r="J14" s="56"/>
      <c r="K14" s="144"/>
      <c r="L14" s="62"/>
      <c r="M14" s="184"/>
      <c r="N14" s="63">
        <v>1440</v>
      </c>
      <c r="O14" s="144">
        <f>N14/N30*100</f>
        <v>0.48127537975635432</v>
      </c>
      <c r="P14" s="314"/>
      <c r="Q14" s="64"/>
      <c r="R14" s="144"/>
      <c r="S14" s="146"/>
      <c r="T14" s="144"/>
      <c r="U14" s="64">
        <v>405</v>
      </c>
      <c r="V14" s="144">
        <f>U14/U30*100</f>
        <v>0.1219181793551883</v>
      </c>
      <c r="W14" s="64"/>
      <c r="X14" s="144"/>
      <c r="Y14" s="64"/>
      <c r="Z14" s="144">
        <f>Y14/Y30*100</f>
        <v>0</v>
      </c>
      <c r="AA14" s="52">
        <f>N14+U14</f>
        <v>1845</v>
      </c>
      <c r="AB14" s="89">
        <f>AA14/AA30*100</f>
        <v>6.6560602616968084E-2</v>
      </c>
    </row>
    <row r="15" spans="1:28" ht="15" customHeight="1" x14ac:dyDescent="0.25">
      <c r="A15" s="73" t="s">
        <v>44</v>
      </c>
      <c r="B15" s="146">
        <v>17100</v>
      </c>
      <c r="C15" s="184">
        <f>B15/B30*100</f>
        <v>8.8003705419175535</v>
      </c>
      <c r="D15" s="56">
        <v>14535</v>
      </c>
      <c r="E15" s="144">
        <f>D15/D30*100</f>
        <v>6.7193675889328066</v>
      </c>
      <c r="F15" s="153">
        <v>20430</v>
      </c>
      <c r="G15" s="184">
        <f>F15/F30*100</f>
        <v>12.404371584699453</v>
      </c>
      <c r="H15" s="153">
        <v>36495</v>
      </c>
      <c r="I15" s="144">
        <f>H15/H30*100</f>
        <v>25.26479750778816</v>
      </c>
      <c r="J15" s="56">
        <v>26775</v>
      </c>
      <c r="K15" s="144">
        <f>J15/J30*100</f>
        <v>22.640791476407916</v>
      </c>
      <c r="L15" s="62">
        <v>46800</v>
      </c>
      <c r="M15" s="184">
        <f>L15/L30*100</f>
        <v>32.098765432098766</v>
      </c>
      <c r="N15" s="63">
        <v>36675</v>
      </c>
      <c r="O15" s="144">
        <f>N15/N30*100</f>
        <v>12.257482328169649</v>
      </c>
      <c r="P15" s="314"/>
      <c r="Q15" s="64">
        <v>54900</v>
      </c>
      <c r="R15" s="144">
        <f>Q15/Q30*100</f>
        <v>16.345123258306536</v>
      </c>
      <c r="S15" s="146">
        <v>34065</v>
      </c>
      <c r="T15" s="144">
        <f>S15/S30*100</f>
        <v>11.848489591485366</v>
      </c>
      <c r="U15" s="64">
        <v>65520</v>
      </c>
      <c r="V15" s="144">
        <f>U15/U30*100</f>
        <v>19.723652126794907</v>
      </c>
      <c r="W15" s="64">
        <v>37035</v>
      </c>
      <c r="X15" s="144">
        <f>W15/W30*100</f>
        <v>12.877483961821312</v>
      </c>
      <c r="Y15" s="64">
        <v>3555</v>
      </c>
      <c r="Z15" s="144">
        <f>Y15/Y30*100</f>
        <v>1.4468864468864469</v>
      </c>
      <c r="AA15" s="52">
        <f t="shared" ref="AA15:AA29" si="1">B15+D15+F15+H15+J15+L15+N15+Q15+S15+U15+W15+Y15</f>
        <v>393885</v>
      </c>
      <c r="AB15" s="89">
        <f>AA15/AA30*100</f>
        <v>14.209876944056626</v>
      </c>
    </row>
    <row r="16" spans="1:28" ht="15" customHeight="1" x14ac:dyDescent="0.25">
      <c r="A16" s="73" t="s">
        <v>130</v>
      </c>
      <c r="B16" s="146">
        <v>1350</v>
      </c>
      <c r="C16" s="184">
        <f>B16/B30*100</f>
        <v>0.69476609541454382</v>
      </c>
      <c r="D16" s="56">
        <v>1125</v>
      </c>
      <c r="E16" s="144">
        <f>D16/D30*100</f>
        <v>0.52007489078427294</v>
      </c>
      <c r="F16" s="153">
        <v>1395</v>
      </c>
      <c r="G16" s="184">
        <f>F16/F30*100</f>
        <v>0.84699453551912562</v>
      </c>
      <c r="H16" s="153"/>
      <c r="I16" s="144">
        <f>H16/H30*100</f>
        <v>0</v>
      </c>
      <c r="J16" s="56">
        <v>1080</v>
      </c>
      <c r="K16" s="144">
        <f>J16/J30*100</f>
        <v>0.91324200913242004</v>
      </c>
      <c r="L16" s="62">
        <v>2115</v>
      </c>
      <c r="M16" s="184">
        <f>L16/L30*100</f>
        <v>1.4506172839506173</v>
      </c>
      <c r="N16" s="63">
        <v>5850</v>
      </c>
      <c r="O16" s="144">
        <f>N16/N30*100</f>
        <v>1.9551812302601896</v>
      </c>
      <c r="P16" s="314"/>
      <c r="Q16" s="64">
        <v>9315</v>
      </c>
      <c r="R16" s="144">
        <f>Q16/Q30*100</f>
        <v>2.7733118971061095</v>
      </c>
      <c r="S16" s="146">
        <f>5490+1125</f>
        <v>6615</v>
      </c>
      <c r="T16" s="144">
        <f>S16/S30*100</f>
        <v>2.3008295507904211</v>
      </c>
      <c r="U16" s="64">
        <v>4725</v>
      </c>
      <c r="V16" s="144">
        <f>U16/U30*100</f>
        <v>1.4223787591438635</v>
      </c>
      <c r="W16" s="64">
        <v>6570</v>
      </c>
      <c r="X16" s="144">
        <f>W16/W30*100</f>
        <v>2.2844625254263806</v>
      </c>
      <c r="Y16" s="64">
        <v>5445</v>
      </c>
      <c r="Z16" s="144">
        <f>Y16/Y30*100</f>
        <v>2.2161172161172162</v>
      </c>
      <c r="AA16" s="52">
        <f t="shared" si="1"/>
        <v>45585</v>
      </c>
      <c r="AB16" s="89">
        <f>AA16/AA30*100</f>
        <v>1.644533913438748</v>
      </c>
    </row>
    <row r="17" spans="1:30" ht="15" customHeight="1" x14ac:dyDescent="0.25">
      <c r="A17" s="73" t="s">
        <v>45</v>
      </c>
      <c r="B17" s="146">
        <v>675</v>
      </c>
      <c r="C17" s="184">
        <f>B17/B30*100</f>
        <v>0.34738304770727191</v>
      </c>
      <c r="D17" s="56">
        <v>1575</v>
      </c>
      <c r="E17" s="144">
        <f>D17/D30*100</f>
        <v>0.72810484709798207</v>
      </c>
      <c r="F17" s="56">
        <v>1575</v>
      </c>
      <c r="G17" s="184">
        <f>F17/F30*100</f>
        <v>0.95628415300546454</v>
      </c>
      <c r="H17" s="157">
        <v>2025</v>
      </c>
      <c r="I17" s="144">
        <f>H17/H30*100</f>
        <v>1.4018691588785046</v>
      </c>
      <c r="J17" s="56">
        <v>1800</v>
      </c>
      <c r="K17" s="144">
        <f>J17/J30*100</f>
        <v>1.5220700152207001</v>
      </c>
      <c r="L17" s="62"/>
      <c r="M17" s="184">
        <f>L17/L30*100</f>
        <v>0</v>
      </c>
      <c r="N17" s="63">
        <v>2250</v>
      </c>
      <c r="O17" s="144">
        <f>N17/N30*100</f>
        <v>0.75199278086930366</v>
      </c>
      <c r="P17" s="314"/>
      <c r="Q17" s="64">
        <v>1620</v>
      </c>
      <c r="R17" s="144">
        <f>Q17/Q30*100</f>
        <v>0.48231511254019299</v>
      </c>
      <c r="S17" s="146">
        <v>585</v>
      </c>
      <c r="T17" s="144">
        <f>S17/S30*100</f>
        <v>0.20347472217874474</v>
      </c>
      <c r="U17" s="64"/>
      <c r="V17" s="144">
        <f>U17/U30*100</f>
        <v>0</v>
      </c>
      <c r="W17" s="64"/>
      <c r="X17" s="144">
        <f>W17/W30*100</f>
        <v>0</v>
      </c>
      <c r="Y17" s="64"/>
      <c r="Z17" s="144"/>
      <c r="AA17" s="52">
        <f t="shared" si="1"/>
        <v>12105</v>
      </c>
      <c r="AB17" s="89">
        <f>AA17/AA30*100</f>
        <v>0.43670249034059549</v>
      </c>
    </row>
    <row r="18" spans="1:30" ht="15" customHeight="1" x14ac:dyDescent="0.25">
      <c r="A18" s="73" t="s">
        <v>46</v>
      </c>
      <c r="B18" s="146">
        <v>72585</v>
      </c>
      <c r="C18" s="184">
        <f>B18/B30*100</f>
        <v>37.355257063455305</v>
      </c>
      <c r="D18" s="56">
        <v>71415</v>
      </c>
      <c r="E18" s="144">
        <f>D18/D30*100</f>
        <v>33.014354066985646</v>
      </c>
      <c r="F18" s="56">
        <v>49635</v>
      </c>
      <c r="G18" s="184">
        <f>F18/F30*100</f>
        <v>30.136612021857921</v>
      </c>
      <c r="H18" s="153">
        <v>8865</v>
      </c>
      <c r="I18" s="144">
        <f>H18/H30*100</f>
        <v>6.1370716510903431</v>
      </c>
      <c r="J18" s="56">
        <v>12420</v>
      </c>
      <c r="K18" s="144">
        <f>J18/J30*100</f>
        <v>10.50228310502283</v>
      </c>
      <c r="L18" s="62">
        <v>23085</v>
      </c>
      <c r="M18" s="184">
        <f>L18/L30*100</f>
        <v>15.833333333333332</v>
      </c>
      <c r="N18" s="63">
        <v>114390</v>
      </c>
      <c r="O18" s="144">
        <f>N18/N30*100</f>
        <v>38.231312979395398</v>
      </c>
      <c r="P18" s="314"/>
      <c r="Q18" s="64">
        <v>129330</v>
      </c>
      <c r="R18" s="144">
        <f>Q18/Q30*100</f>
        <v>38.5048231511254</v>
      </c>
      <c r="S18" s="146">
        <v>140580</v>
      </c>
      <c r="T18" s="144">
        <f>S18/S30*100</f>
        <v>48.89654092972296</v>
      </c>
      <c r="U18" s="64">
        <v>127620</v>
      </c>
      <c r="V18" s="144">
        <f>U18/U30*100</f>
        <v>38.417772961257114</v>
      </c>
      <c r="W18" s="64">
        <v>153765</v>
      </c>
      <c r="X18" s="144">
        <f>W18/W30*100</f>
        <v>53.465811297136604</v>
      </c>
      <c r="Y18" s="64">
        <v>114345</v>
      </c>
      <c r="Z18" s="144">
        <f>Y18/Y30*100</f>
        <v>46.53846153846154</v>
      </c>
      <c r="AA18" s="52">
        <f t="shared" si="1"/>
        <v>1018035</v>
      </c>
      <c r="AB18" s="89">
        <f>AA18/AA30*100</f>
        <v>36.726841780577288</v>
      </c>
    </row>
    <row r="19" spans="1:30" ht="15" customHeight="1" x14ac:dyDescent="0.25">
      <c r="A19" s="73" t="s">
        <v>47</v>
      </c>
      <c r="B19" s="146"/>
      <c r="C19" s="184"/>
      <c r="D19" s="56">
        <v>900</v>
      </c>
      <c r="E19" s="144">
        <f>D19/D30*100</f>
        <v>0.41605991262741837</v>
      </c>
      <c r="F19" s="153"/>
      <c r="G19" s="184">
        <f>F19/F30*100</f>
        <v>0</v>
      </c>
      <c r="H19" s="153"/>
      <c r="I19" s="144">
        <f>H19/H30*100</f>
        <v>0</v>
      </c>
      <c r="J19" s="56"/>
      <c r="K19" s="144"/>
      <c r="L19" s="62"/>
      <c r="M19" s="184"/>
      <c r="N19" s="63"/>
      <c r="O19" s="144"/>
      <c r="P19" s="314"/>
      <c r="Q19" s="64">
        <v>270</v>
      </c>
      <c r="R19" s="144">
        <f>Q19/Q30*100</f>
        <v>8.0385852090032156E-2</v>
      </c>
      <c r="S19" s="146"/>
      <c r="T19" s="144"/>
      <c r="U19" s="64">
        <v>315</v>
      </c>
      <c r="V19" s="144">
        <f>U19/U30*100</f>
        <v>9.4825250609590905E-2</v>
      </c>
      <c r="W19" s="64"/>
      <c r="X19" s="144">
        <f>W19/W30*100</f>
        <v>0</v>
      </c>
      <c r="Y19" s="64">
        <v>315</v>
      </c>
      <c r="Z19" s="144">
        <f>Y19/Y30*100</f>
        <v>0.12820512820512819</v>
      </c>
      <c r="AA19" s="52">
        <f t="shared" si="1"/>
        <v>1800</v>
      </c>
      <c r="AB19" s="89">
        <f>AA19/AA30*100</f>
        <v>6.4937173284846911E-2</v>
      </c>
    </row>
    <row r="20" spans="1:30" ht="15" customHeight="1" x14ac:dyDescent="0.25">
      <c r="A20" s="73" t="s">
        <v>48</v>
      </c>
      <c r="B20" s="146">
        <v>2520</v>
      </c>
      <c r="C20" s="184">
        <f>B20/B30*100</f>
        <v>1.2968967114404817</v>
      </c>
      <c r="D20" s="56">
        <v>4950</v>
      </c>
      <c r="E20" s="144">
        <f>D20/D30*100</f>
        <v>2.2883295194508007</v>
      </c>
      <c r="F20" s="153">
        <v>1350</v>
      </c>
      <c r="G20" s="184">
        <f>F20/F30*100</f>
        <v>0.81967213114754101</v>
      </c>
      <c r="H20" s="153">
        <v>1215</v>
      </c>
      <c r="I20" s="144">
        <f>H20/H30*100</f>
        <v>0.84112149532710279</v>
      </c>
      <c r="J20" s="56">
        <v>4680</v>
      </c>
      <c r="K20" s="144">
        <f>J20/J30*100</f>
        <v>3.9573820395738202</v>
      </c>
      <c r="L20" s="62">
        <v>3465</v>
      </c>
      <c r="M20" s="184">
        <f>L20/L30*100</f>
        <v>2.3765432098765431</v>
      </c>
      <c r="N20" s="63">
        <v>10395</v>
      </c>
      <c r="O20" s="144">
        <f>N20/N30*100</f>
        <v>3.4742066476161826</v>
      </c>
      <c r="P20" s="314"/>
      <c r="Q20" s="64">
        <v>11385</v>
      </c>
      <c r="R20" s="144">
        <f>Q20/Q30*100</f>
        <v>3.3896034297963555</v>
      </c>
      <c r="S20" s="146">
        <v>10800</v>
      </c>
      <c r="T20" s="144">
        <f>S20/S30*100</f>
        <v>3.7564564094537483</v>
      </c>
      <c r="U20" s="64">
        <v>6570</v>
      </c>
      <c r="V20" s="144">
        <f>U20/U30*100</f>
        <v>1.97778379842861</v>
      </c>
      <c r="W20" s="64">
        <v>4320</v>
      </c>
      <c r="X20" s="144">
        <f>W20/W30*100</f>
        <v>1.5021123454858394</v>
      </c>
      <c r="Y20" s="64">
        <v>8460</v>
      </c>
      <c r="Z20" s="144">
        <f>Y20/Y30*100</f>
        <v>3.4432234432234434</v>
      </c>
      <c r="AA20" s="52">
        <f t="shared" si="1"/>
        <v>70110</v>
      </c>
      <c r="AB20" s="89">
        <f>AA20/AA30*100</f>
        <v>2.5293028994447875</v>
      </c>
    </row>
    <row r="21" spans="1:30" ht="15" customHeight="1" x14ac:dyDescent="0.25">
      <c r="A21" s="73" t="s">
        <v>49</v>
      </c>
      <c r="B21" s="146"/>
      <c r="C21" s="184">
        <f>B21/B30*100</f>
        <v>0</v>
      </c>
      <c r="D21" s="56"/>
      <c r="E21" s="144"/>
      <c r="F21" s="153">
        <v>180</v>
      </c>
      <c r="G21" s="184">
        <f>F21/F30*100</f>
        <v>0.10928961748633879</v>
      </c>
      <c r="H21" s="153">
        <v>1350</v>
      </c>
      <c r="I21" s="144">
        <f>H21/H30*100</f>
        <v>0.93457943925233633</v>
      </c>
      <c r="J21" s="56">
        <v>180</v>
      </c>
      <c r="K21" s="144">
        <f>J21/J30*100</f>
        <v>0.15220700152207001</v>
      </c>
      <c r="L21" s="62">
        <v>810</v>
      </c>
      <c r="M21" s="184">
        <f>L21/L30*100</f>
        <v>0.55555555555555558</v>
      </c>
      <c r="N21" s="63">
        <v>3510</v>
      </c>
      <c r="O21" s="144">
        <f>N21/N30*100</f>
        <v>1.1731087381561136</v>
      </c>
      <c r="P21" s="314"/>
      <c r="Q21" s="64">
        <v>8415</v>
      </c>
      <c r="R21" s="144">
        <f>Q21/Q30*100</f>
        <v>2.505359056806002</v>
      </c>
      <c r="S21" s="146">
        <v>8730</v>
      </c>
      <c r="T21" s="144">
        <f>S21/S30*100</f>
        <v>3.0364689309751136</v>
      </c>
      <c r="U21" s="64">
        <v>11160</v>
      </c>
      <c r="V21" s="144">
        <f>U21/U30*100</f>
        <v>3.3595231644540777</v>
      </c>
      <c r="W21" s="64">
        <v>4275</v>
      </c>
      <c r="X21" s="144">
        <f>W21/W30*100</f>
        <v>1.4864653418870286</v>
      </c>
      <c r="Y21" s="64">
        <v>4995</v>
      </c>
      <c r="Z21" s="144">
        <f>Y21/Y30*100</f>
        <v>2.0329670329670328</v>
      </c>
      <c r="AA21" s="52">
        <f t="shared" si="1"/>
        <v>43605</v>
      </c>
      <c r="AB21" s="89">
        <f>AA21/AA30*100</f>
        <v>1.5731030228254166</v>
      </c>
    </row>
    <row r="22" spans="1:30" ht="15" customHeight="1" x14ac:dyDescent="0.25">
      <c r="A22" s="73" t="s">
        <v>50</v>
      </c>
      <c r="B22" s="146">
        <v>1575</v>
      </c>
      <c r="C22" s="184">
        <f>B22/B30*100</f>
        <v>0.81056044465030108</v>
      </c>
      <c r="D22" s="56">
        <v>585</v>
      </c>
      <c r="E22" s="144">
        <f>D22/D30*100</f>
        <v>0.27043894320782191</v>
      </c>
      <c r="F22" s="56">
        <v>360</v>
      </c>
      <c r="G22" s="184">
        <f>F22/F30*100</f>
        <v>0.21857923497267759</v>
      </c>
      <c r="H22" s="146"/>
      <c r="I22" s="144">
        <f>H22/H30*100</f>
        <v>0</v>
      </c>
      <c r="J22" s="56"/>
      <c r="K22" s="144">
        <f>J22/J30*100</f>
        <v>0</v>
      </c>
      <c r="L22" s="62">
        <v>3150</v>
      </c>
      <c r="M22" s="184">
        <f>L22/L30*100</f>
        <v>2.1604938271604937</v>
      </c>
      <c r="N22" s="63">
        <v>7335</v>
      </c>
      <c r="O22" s="144">
        <f>N22/N30*100</f>
        <v>2.4514964656339298</v>
      </c>
      <c r="P22" s="314"/>
      <c r="Q22" s="64">
        <v>19215</v>
      </c>
      <c r="R22" s="144">
        <f>Q22/Q30*100</f>
        <v>5.720793140407288</v>
      </c>
      <c r="S22" s="146">
        <v>8955</v>
      </c>
      <c r="T22" s="144">
        <f>S22/S30*100</f>
        <v>3.1147284395054</v>
      </c>
      <c r="U22" s="64">
        <v>7920</v>
      </c>
      <c r="V22" s="144">
        <f>U22/U30*100</f>
        <v>2.384177729612571</v>
      </c>
      <c r="W22" s="64">
        <v>13005</v>
      </c>
      <c r="X22" s="144">
        <f>W22/W30*100</f>
        <v>4.5219840400563296</v>
      </c>
      <c r="Y22" s="64">
        <f>1620+8550</f>
        <v>10170</v>
      </c>
      <c r="Z22" s="144">
        <f>Y22/Y30*100</f>
        <v>4.1391941391941387</v>
      </c>
      <c r="AA22" s="52">
        <f t="shared" si="1"/>
        <v>72270</v>
      </c>
      <c r="AB22" s="89">
        <f>AA22/AA30*100</f>
        <v>2.6072275073866034</v>
      </c>
      <c r="AD22" s="100"/>
    </row>
    <row r="23" spans="1:30" ht="15" customHeight="1" x14ac:dyDescent="0.25">
      <c r="A23" s="73" t="s">
        <v>111</v>
      </c>
      <c r="B23" s="146"/>
      <c r="C23" s="184"/>
      <c r="D23" s="56"/>
      <c r="E23" s="144"/>
      <c r="F23" s="56">
        <v>270</v>
      </c>
      <c r="G23" s="184">
        <f>F23/F30*100</f>
        <v>0.16393442622950818</v>
      </c>
      <c r="H23" s="146"/>
      <c r="I23" s="144"/>
      <c r="J23" s="56"/>
      <c r="K23" s="90"/>
      <c r="L23" s="62"/>
      <c r="M23" s="184"/>
      <c r="N23" s="63"/>
      <c r="O23" s="144"/>
      <c r="P23" s="314"/>
      <c r="Q23" s="64"/>
      <c r="R23" s="144"/>
      <c r="S23" s="146">
        <v>450</v>
      </c>
      <c r="T23" s="144">
        <f>S23/S30*100</f>
        <v>0.15651901706057286</v>
      </c>
      <c r="U23" s="64"/>
      <c r="V23" s="144"/>
      <c r="W23" s="64"/>
      <c r="X23" s="144"/>
      <c r="Y23" s="64"/>
      <c r="Z23" s="144"/>
      <c r="AA23" s="52">
        <f t="shared" si="1"/>
        <v>720</v>
      </c>
      <c r="AB23" s="89">
        <f>AA23/AA30*100</f>
        <v>2.5974869313938765E-2</v>
      </c>
    </row>
    <row r="24" spans="1:30" ht="15" customHeight="1" x14ac:dyDescent="0.25">
      <c r="A24" s="73" t="s">
        <v>51</v>
      </c>
      <c r="B24" s="146">
        <v>5130</v>
      </c>
      <c r="C24" s="184">
        <f>B24/B30*100</f>
        <v>2.6401111625752662</v>
      </c>
      <c r="D24" s="56">
        <v>14895</v>
      </c>
      <c r="E24" s="144">
        <f>D24/D30*100</f>
        <v>6.8857915539837737</v>
      </c>
      <c r="F24" s="153">
        <v>15525</v>
      </c>
      <c r="G24" s="184">
        <f>F24/F30*100</f>
        <v>9.4262295081967213</v>
      </c>
      <c r="H24" s="153">
        <v>9810</v>
      </c>
      <c r="I24" s="144">
        <f>H24/H30*100</f>
        <v>6.7912772585669785</v>
      </c>
      <c r="J24" s="56">
        <v>7695</v>
      </c>
      <c r="K24" s="144">
        <f>J24/J30*100</f>
        <v>6.506849315068493</v>
      </c>
      <c r="L24" s="62">
        <v>5940</v>
      </c>
      <c r="M24" s="184">
        <f>L24/L30*100</f>
        <v>4.0740740740740744</v>
      </c>
      <c r="N24" s="63">
        <v>10260</v>
      </c>
      <c r="O24" s="144">
        <f>N24/N30*100</f>
        <v>3.4290870807640248</v>
      </c>
      <c r="P24" s="314"/>
      <c r="Q24" s="64">
        <v>4185</v>
      </c>
      <c r="R24" s="144">
        <f>Q24/Q30*100</f>
        <v>1.2459807073954985</v>
      </c>
      <c r="S24" s="146">
        <v>3060</v>
      </c>
      <c r="T24" s="144">
        <f>S24/S30*100</f>
        <v>1.0643293160118954</v>
      </c>
      <c r="U24" s="64">
        <v>8235</v>
      </c>
      <c r="V24" s="144">
        <f>U24/U30*100</f>
        <v>2.479002980222162</v>
      </c>
      <c r="W24" s="64">
        <v>6165</v>
      </c>
      <c r="X24" s="144">
        <f>W24/W30*100</f>
        <v>2.1436394930370835</v>
      </c>
      <c r="Y24" s="64">
        <v>1350</v>
      </c>
      <c r="Z24" s="144">
        <f>Y24/Y30*100</f>
        <v>0.5494505494505495</v>
      </c>
      <c r="AA24" s="52">
        <f t="shared" si="1"/>
        <v>92250</v>
      </c>
      <c r="AB24" s="89">
        <f>AA24/AA30*100</f>
        <v>3.3280301308484042</v>
      </c>
    </row>
    <row r="25" spans="1:30" ht="15" customHeight="1" x14ac:dyDescent="0.25">
      <c r="A25" s="73" t="s">
        <v>94</v>
      </c>
      <c r="B25" s="146">
        <v>7425</v>
      </c>
      <c r="C25" s="184">
        <f>B25/B30*100</f>
        <v>3.8212135247799908</v>
      </c>
      <c r="D25" s="56">
        <f>14805+900</f>
        <v>15705</v>
      </c>
      <c r="E25" s="144">
        <f>D25/D30*100</f>
        <v>7.2602454753484507</v>
      </c>
      <c r="F25" s="153">
        <v>12645</v>
      </c>
      <c r="G25" s="184">
        <f>F25/F30*100</f>
        <v>7.6775956284152995</v>
      </c>
      <c r="H25" s="153">
        <v>8505</v>
      </c>
      <c r="I25" s="144">
        <f>H25/H30*100</f>
        <v>5.8878504672897192</v>
      </c>
      <c r="J25" s="56">
        <v>10710</v>
      </c>
      <c r="K25" s="144">
        <f>J25/J30*100</f>
        <v>9.0563165905631653</v>
      </c>
      <c r="L25" s="62">
        <v>9135</v>
      </c>
      <c r="M25" s="184">
        <f>L25/L30*100</f>
        <v>6.2654320987654319</v>
      </c>
      <c r="N25" s="63">
        <v>3645</v>
      </c>
      <c r="O25" s="144">
        <f>N25/N30*100</f>
        <v>1.2182283050082721</v>
      </c>
      <c r="P25" s="314"/>
      <c r="Q25" s="64">
        <v>720</v>
      </c>
      <c r="R25" s="144">
        <f>Q25/Q30*100</f>
        <v>0.21436227224008575</v>
      </c>
      <c r="S25" s="146">
        <v>2790</v>
      </c>
      <c r="T25" s="144">
        <f>S25/S30*100</f>
        <v>0.97041790577555176</v>
      </c>
      <c r="U25" s="64">
        <v>7830</v>
      </c>
      <c r="V25" s="144">
        <f>U25/U30*100</f>
        <v>2.3570848008669736</v>
      </c>
      <c r="W25" s="64">
        <v>5535</v>
      </c>
      <c r="X25" s="144">
        <f>W25/W30*100</f>
        <v>1.924581442653732</v>
      </c>
      <c r="Y25" s="64">
        <v>16335</v>
      </c>
      <c r="Z25" s="144">
        <f>Y25/Y30*100</f>
        <v>6.6483516483516487</v>
      </c>
      <c r="AA25" s="52">
        <f t="shared" si="1"/>
        <v>100980</v>
      </c>
      <c r="AB25" s="89">
        <f>AA25/AA30*100</f>
        <v>3.6429754212799121</v>
      </c>
    </row>
    <row r="26" spans="1:30" ht="15" customHeight="1" x14ac:dyDescent="0.25">
      <c r="A26" s="73" t="s">
        <v>62</v>
      </c>
      <c r="B26" s="146"/>
      <c r="C26" s="184"/>
      <c r="D26" s="56">
        <v>405</v>
      </c>
      <c r="E26" s="144">
        <f>D26/D30*100</f>
        <v>0.18722696068233824</v>
      </c>
      <c r="F26" s="153"/>
      <c r="G26" s="184">
        <f>F26/F30*100</f>
        <v>0</v>
      </c>
      <c r="H26" s="146">
        <v>2250</v>
      </c>
      <c r="I26" s="144">
        <f>H26/H30*100</f>
        <v>1.557632398753894</v>
      </c>
      <c r="J26" s="56"/>
      <c r="K26" s="144"/>
      <c r="L26" s="62"/>
      <c r="M26" s="184"/>
      <c r="N26" s="63"/>
      <c r="O26" s="144"/>
      <c r="P26" s="314"/>
      <c r="Q26" s="64"/>
      <c r="R26" s="144">
        <f>Q26/Q30*100</f>
        <v>0</v>
      </c>
      <c r="S26" s="146"/>
      <c r="T26" s="144"/>
      <c r="U26" s="64"/>
      <c r="V26" s="144"/>
      <c r="W26" s="64"/>
      <c r="X26" s="144"/>
      <c r="Y26" s="64"/>
      <c r="Z26" s="144"/>
      <c r="AA26" s="52">
        <f t="shared" si="1"/>
        <v>2655</v>
      </c>
      <c r="AB26" s="89">
        <f>AA26/AA30*100</f>
        <v>9.5782330595149193E-2</v>
      </c>
    </row>
    <row r="27" spans="1:30" ht="15" customHeight="1" x14ac:dyDescent="0.25">
      <c r="A27" s="73" t="s">
        <v>52</v>
      </c>
      <c r="B27" s="146">
        <v>11250</v>
      </c>
      <c r="C27" s="184">
        <f>B27/B30*100</f>
        <v>5.7897174617878644</v>
      </c>
      <c r="D27" s="56">
        <v>6300</v>
      </c>
      <c r="E27" s="144">
        <f>D27/D30*100</f>
        <v>2.9124193883919283</v>
      </c>
      <c r="F27" s="153">
        <v>5625</v>
      </c>
      <c r="G27" s="184">
        <f>F27/F30*100</f>
        <v>3.4153005464480879</v>
      </c>
      <c r="H27" s="153">
        <v>8775</v>
      </c>
      <c r="I27" s="144">
        <f>H27/H30*100</f>
        <v>6.0747663551401869</v>
      </c>
      <c r="J27" s="56">
        <v>4725</v>
      </c>
      <c r="K27" s="144">
        <f>J27/J30*100</f>
        <v>3.9954337899543377</v>
      </c>
      <c r="L27" s="62">
        <v>16335</v>
      </c>
      <c r="M27" s="184">
        <f>L27/L30*100</f>
        <v>11.203703703703702</v>
      </c>
      <c r="N27" s="63">
        <v>13140</v>
      </c>
      <c r="O27" s="144">
        <f>N27/N30*100</f>
        <v>4.3916378402767329</v>
      </c>
      <c r="P27" s="314"/>
      <c r="Q27" s="64">
        <v>7695</v>
      </c>
      <c r="R27" s="144">
        <f>Q27/Q30*100</f>
        <v>2.2909967845659165</v>
      </c>
      <c r="S27" s="146">
        <v>8055</v>
      </c>
      <c r="T27" s="144">
        <f>S27/S30*100</f>
        <v>2.801690405384254</v>
      </c>
      <c r="U27" s="64">
        <v>15615</v>
      </c>
      <c r="V27" s="144">
        <f>U27/U30*100</f>
        <v>4.7006231373611485</v>
      </c>
      <c r="W27" s="64">
        <v>4725</v>
      </c>
      <c r="X27" s="144">
        <f>W27/W30*100</f>
        <v>1.642935377875137</v>
      </c>
      <c r="Y27" s="64">
        <v>5310</v>
      </c>
      <c r="Z27" s="144">
        <f>Y27/Y30*100</f>
        <v>2.161172161172161</v>
      </c>
      <c r="AA27" s="52">
        <f t="shared" si="1"/>
        <v>107550</v>
      </c>
      <c r="AB27" s="89">
        <f>AA27/AA30*100</f>
        <v>3.8799961037696029</v>
      </c>
    </row>
    <row r="28" spans="1:30" ht="15" customHeight="1" x14ac:dyDescent="0.25">
      <c r="A28" s="73" t="s">
        <v>109</v>
      </c>
      <c r="B28" s="146">
        <v>8865</v>
      </c>
      <c r="C28" s="184">
        <f>B28/B30*100</f>
        <v>4.562297359888837</v>
      </c>
      <c r="D28" s="56">
        <v>9855</v>
      </c>
      <c r="E28" s="144">
        <f>D28/D30*100</f>
        <v>4.5558560432702313</v>
      </c>
      <c r="F28" s="153">
        <v>4770</v>
      </c>
      <c r="G28" s="184">
        <f>F28/F30*100</f>
        <v>2.8961748633879782</v>
      </c>
      <c r="H28" s="153">
        <v>13140</v>
      </c>
      <c r="I28" s="144">
        <f>H28/H30*100</f>
        <v>9.0965732087227416</v>
      </c>
      <c r="J28" s="56">
        <v>1710</v>
      </c>
      <c r="K28" s="144">
        <f>J28/J30*100</f>
        <v>1.445966514459665</v>
      </c>
      <c r="L28" s="62"/>
      <c r="M28" s="184">
        <f>L28/L30*100</f>
        <v>0</v>
      </c>
      <c r="N28" s="63">
        <v>1755</v>
      </c>
      <c r="O28" s="144">
        <f>N28/N30*100</f>
        <v>0.5865543690780568</v>
      </c>
      <c r="P28" s="314"/>
      <c r="Q28" s="64">
        <v>6570</v>
      </c>
      <c r="R28" s="144">
        <f>Q28/Q30*100</f>
        <v>1.9560557341907825</v>
      </c>
      <c r="S28" s="146">
        <v>2250</v>
      </c>
      <c r="T28" s="144">
        <f>S28/S30*100</f>
        <v>0.78259508530286426</v>
      </c>
      <c r="U28" s="64">
        <v>450</v>
      </c>
      <c r="V28" s="144">
        <f>U28/U30*100</f>
        <v>0.135464643727987</v>
      </c>
      <c r="W28" s="64">
        <v>180</v>
      </c>
      <c r="X28" s="144">
        <f>W28/W30*100</f>
        <v>6.2588014395243308E-2</v>
      </c>
      <c r="Y28" s="64">
        <v>1350</v>
      </c>
      <c r="Z28" s="144">
        <f>Y28/Y30*100</f>
        <v>0.5494505494505495</v>
      </c>
      <c r="AA28" s="52">
        <f t="shared" si="1"/>
        <v>50895</v>
      </c>
      <c r="AB28" s="89">
        <f>AA28/AA30*100</f>
        <v>1.8360985746290464</v>
      </c>
    </row>
    <row r="29" spans="1:30" ht="15" customHeight="1" x14ac:dyDescent="0.25">
      <c r="A29" s="73" t="s">
        <v>92</v>
      </c>
      <c r="B29" s="146">
        <v>12420</v>
      </c>
      <c r="C29" s="184">
        <f>B29/B30*100</f>
        <v>6.3918480778138029</v>
      </c>
      <c r="D29" s="56">
        <v>720</v>
      </c>
      <c r="E29" s="144">
        <f>D29/D30*100</f>
        <v>0.33284793010193464</v>
      </c>
      <c r="F29" s="153">
        <v>1305</v>
      </c>
      <c r="G29" s="184">
        <f>F29/F30*100</f>
        <v>0.79234972677595628</v>
      </c>
      <c r="H29" s="156">
        <v>1575</v>
      </c>
      <c r="I29" s="144">
        <f>H29/H30*100</f>
        <v>1.0903426791277258</v>
      </c>
      <c r="J29" s="56">
        <v>6345</v>
      </c>
      <c r="K29" s="144">
        <f>J29/J30*100</f>
        <v>5.365296803652968</v>
      </c>
      <c r="L29" s="62"/>
      <c r="M29" s="184">
        <f>L29/L30*100</f>
        <v>0</v>
      </c>
      <c r="N29" s="63">
        <v>6075</v>
      </c>
      <c r="O29" s="144">
        <f>N29/N30*100</f>
        <v>2.03038050834712</v>
      </c>
      <c r="P29" s="314"/>
      <c r="Q29" s="64">
        <v>7245</v>
      </c>
      <c r="R29" s="144">
        <f>Q29/Q30*100</f>
        <v>2.157020364415863</v>
      </c>
      <c r="S29" s="146">
        <v>4050</v>
      </c>
      <c r="T29" s="144">
        <f>S29/S30*100</f>
        <v>1.4086711535451557</v>
      </c>
      <c r="U29" s="64">
        <v>2835</v>
      </c>
      <c r="V29" s="144">
        <f>U29/U30*100</f>
        <v>0.85342725548631804</v>
      </c>
      <c r="W29" s="64">
        <v>2700</v>
      </c>
      <c r="X29" s="144">
        <f>W29/W30*100</f>
        <v>0.93882021592864973</v>
      </c>
      <c r="Y29" s="64">
        <v>900</v>
      </c>
      <c r="Z29" s="144">
        <f>Y29/Y30*100</f>
        <v>0.36630036630036628</v>
      </c>
      <c r="AA29" s="52">
        <f t="shared" si="1"/>
        <v>46170</v>
      </c>
      <c r="AB29" s="89">
        <f>AA29/AA30*100</f>
        <v>1.6656384947563232</v>
      </c>
    </row>
    <row r="30" spans="1:30" s="69" customFormat="1" ht="15" customHeight="1" x14ac:dyDescent="0.25">
      <c r="A30" s="67" t="s">
        <v>72</v>
      </c>
      <c r="B30" s="151">
        <f>SUM(B6:B29)</f>
        <v>194310</v>
      </c>
      <c r="C30" s="179">
        <f>SUM(C6:C29)</f>
        <v>100</v>
      </c>
      <c r="D30" s="151">
        <f>SUM(D6:D29)</f>
        <v>216315</v>
      </c>
      <c r="E30" s="179">
        <f>SUM(E6:E29)</f>
        <v>99.999999999999986</v>
      </c>
      <c r="F30" s="151">
        <f>SUM(F7:F29)</f>
        <v>164700</v>
      </c>
      <c r="G30" s="179">
        <f>SUM(G7:G29)</f>
        <v>100.00000000000001</v>
      </c>
      <c r="H30" s="68">
        <f>SUM(H6:H29)</f>
        <v>144450</v>
      </c>
      <c r="I30" s="179">
        <f>SUM(I7:I29)</f>
        <v>100</v>
      </c>
      <c r="J30" s="68">
        <f>SUM(J6:J29)</f>
        <v>118260</v>
      </c>
      <c r="K30" s="179">
        <f>SUM(K6:K29)</f>
        <v>100</v>
      </c>
      <c r="L30" s="68">
        <f>SUM(L6:L29)</f>
        <v>145800</v>
      </c>
      <c r="M30" s="98">
        <f>SUM(M6:M29)</f>
        <v>100</v>
      </c>
      <c r="N30" s="68">
        <f t="shared" ref="N30:U30" si="2">SUM(N6:N29)</f>
        <v>299205</v>
      </c>
      <c r="O30" s="179">
        <f t="shared" si="2"/>
        <v>99.999999999999986</v>
      </c>
      <c r="P30" s="315"/>
      <c r="Q30" s="68">
        <f t="shared" si="2"/>
        <v>335880</v>
      </c>
      <c r="R30" s="179">
        <f t="shared" si="2"/>
        <v>99.999999999999986</v>
      </c>
      <c r="S30" s="68">
        <f t="shared" si="2"/>
        <v>287505</v>
      </c>
      <c r="T30" s="179">
        <f t="shared" si="2"/>
        <v>99.999999999999986</v>
      </c>
      <c r="U30" s="68">
        <f t="shared" si="2"/>
        <v>332190</v>
      </c>
      <c r="V30" s="179">
        <f>SUM(V7:V29)</f>
        <v>99.349769710105662</v>
      </c>
      <c r="W30" s="68">
        <f t="shared" ref="W30:AB30" si="3">SUM(W6:W29)</f>
        <v>287595</v>
      </c>
      <c r="X30" s="179">
        <f t="shared" si="3"/>
        <v>99.999999999999986</v>
      </c>
      <c r="Y30" s="68">
        <f t="shared" si="3"/>
        <v>245700</v>
      </c>
      <c r="Z30" s="179">
        <f t="shared" si="3"/>
        <v>100.00000000000003</v>
      </c>
      <c r="AA30" s="68">
        <f t="shared" si="3"/>
        <v>2771910</v>
      </c>
      <c r="AB30" s="179">
        <f t="shared" si="3"/>
        <v>100</v>
      </c>
      <c r="AC30" s="88"/>
      <c r="AD30" s="87"/>
    </row>
    <row r="31" spans="1:30" s="69" customFormat="1" ht="15" customHeight="1" x14ac:dyDescent="0.25">
      <c r="A31" s="79"/>
      <c r="B31" s="150"/>
      <c r="C31" s="80"/>
      <c r="D31" s="86"/>
      <c r="E31" s="220"/>
      <c r="F31" s="86"/>
      <c r="G31" s="80"/>
      <c r="H31" s="225"/>
      <c r="I31" s="226"/>
      <c r="J31" s="86"/>
      <c r="K31" s="80"/>
      <c r="L31" s="86"/>
      <c r="M31" s="86"/>
      <c r="N31" s="86"/>
      <c r="O31" s="80"/>
      <c r="P31" s="81"/>
      <c r="Q31" s="154"/>
      <c r="R31" s="80"/>
      <c r="S31" s="86"/>
      <c r="T31" s="80"/>
      <c r="U31" s="86"/>
      <c r="V31" s="80"/>
      <c r="W31" s="86"/>
      <c r="X31" s="80"/>
      <c r="Y31" s="86"/>
      <c r="Z31" s="80"/>
      <c r="AB31" s="80"/>
    </row>
    <row r="32" spans="1:30" s="69" customFormat="1" ht="15" customHeight="1" x14ac:dyDescent="0.25">
      <c r="A32" s="82"/>
      <c r="B32" s="148"/>
      <c r="C32" s="81"/>
      <c r="D32" s="210"/>
      <c r="E32" s="219"/>
      <c r="F32" s="222"/>
      <c r="H32" s="149"/>
      <c r="I32" s="219"/>
      <c r="J32" s="87"/>
      <c r="K32" s="222"/>
      <c r="M32" s="87"/>
      <c r="N32" s="87"/>
      <c r="O32" s="81"/>
      <c r="P32" s="81"/>
      <c r="Q32" s="87"/>
      <c r="R32" s="81"/>
      <c r="S32" s="87"/>
      <c r="T32" s="81"/>
      <c r="U32" s="148"/>
      <c r="V32" s="81"/>
      <c r="W32" s="87"/>
      <c r="X32" s="81"/>
      <c r="Y32" s="87"/>
      <c r="Z32" s="81"/>
      <c r="AA32" s="87"/>
      <c r="AB32" s="81"/>
    </row>
    <row r="33" spans="1:30" s="69" customFormat="1" ht="15" customHeight="1" x14ac:dyDescent="0.25">
      <c r="A33" s="82"/>
      <c r="B33" s="267"/>
      <c r="C33" s="81"/>
      <c r="D33" s="210"/>
      <c r="E33" s="218"/>
      <c r="F33" s="222"/>
      <c r="H33" s="87"/>
      <c r="I33" s="218"/>
      <c r="J33" s="87"/>
      <c r="K33" s="236"/>
      <c r="L33" s="237"/>
      <c r="M33" s="87"/>
      <c r="N33" s="87"/>
      <c r="O33" s="81"/>
      <c r="P33" s="81"/>
      <c r="Q33" s="87"/>
      <c r="R33" s="81"/>
      <c r="S33" s="87"/>
      <c r="T33" s="81"/>
      <c r="U33" s="87"/>
      <c r="V33" s="81"/>
      <c r="W33" s="87"/>
      <c r="X33" s="81"/>
      <c r="Y33" s="87"/>
      <c r="Z33" s="81"/>
      <c r="AA33" s="87"/>
      <c r="AB33" s="81"/>
    </row>
    <row r="34" spans="1:30" s="69" customFormat="1" ht="15" customHeight="1" x14ac:dyDescent="0.25">
      <c r="A34" s="82"/>
      <c r="B34" s="87"/>
      <c r="C34" s="81"/>
      <c r="D34" s="148"/>
      <c r="E34" s="218"/>
      <c r="F34" s="87"/>
      <c r="G34" s="81"/>
      <c r="H34" s="87"/>
      <c r="I34" s="227"/>
      <c r="J34" s="87"/>
      <c r="K34" s="218"/>
      <c r="L34" s="87"/>
      <c r="M34" s="87"/>
      <c r="N34" s="87"/>
      <c r="O34" s="81"/>
      <c r="P34" s="81"/>
      <c r="Q34" s="87"/>
      <c r="R34" s="81"/>
      <c r="S34" s="87"/>
      <c r="T34" s="81"/>
      <c r="U34" s="87"/>
      <c r="V34" s="81"/>
      <c r="W34" s="87"/>
      <c r="X34" s="81"/>
      <c r="Y34" s="87"/>
      <c r="Z34" s="81"/>
      <c r="AA34" s="87"/>
      <c r="AB34" s="81"/>
    </row>
    <row r="35" spans="1:30" s="69" customFormat="1" ht="15" customHeight="1" x14ac:dyDescent="0.25">
      <c r="A35" s="82"/>
      <c r="B35" s="87"/>
      <c r="C35" s="81"/>
      <c r="D35" s="148"/>
      <c r="E35" s="218"/>
      <c r="F35" s="87"/>
      <c r="G35" s="81"/>
      <c r="H35" s="87"/>
      <c r="I35" s="227"/>
      <c r="J35" s="87"/>
      <c r="K35" s="218"/>
      <c r="L35" s="87"/>
      <c r="M35" s="87"/>
      <c r="N35" s="87"/>
      <c r="O35" s="81"/>
      <c r="P35" s="81"/>
      <c r="Q35" s="87"/>
      <c r="R35" s="81"/>
      <c r="S35" s="87"/>
      <c r="T35" s="81"/>
      <c r="U35" s="87"/>
      <c r="V35" s="81"/>
      <c r="W35" s="87"/>
      <c r="X35" s="81"/>
      <c r="Y35" s="87"/>
      <c r="Z35" s="81"/>
      <c r="AA35" s="87"/>
      <c r="AB35" s="81"/>
    </row>
    <row r="36" spans="1:30" s="69" customFormat="1" ht="15" customHeight="1" x14ac:dyDescent="0.25">
      <c r="A36" s="82"/>
      <c r="B36" s="87"/>
      <c r="C36" s="81"/>
      <c r="D36" s="148"/>
      <c r="E36" s="218"/>
      <c r="F36" s="87"/>
      <c r="G36" s="81"/>
      <c r="H36" s="87"/>
      <c r="I36" s="227"/>
      <c r="J36" s="87"/>
      <c r="K36" s="218"/>
      <c r="L36" s="87"/>
      <c r="M36" s="87"/>
      <c r="N36" s="87"/>
      <c r="O36" s="81"/>
      <c r="P36" s="81"/>
      <c r="Q36" s="87"/>
      <c r="R36" s="81"/>
      <c r="S36" s="87"/>
      <c r="T36" s="81"/>
      <c r="U36" s="87"/>
      <c r="V36" s="81"/>
      <c r="W36" s="87"/>
      <c r="X36" s="81"/>
      <c r="Y36" s="87"/>
      <c r="Z36" s="81"/>
      <c r="AA36" s="87"/>
      <c r="AB36" s="81"/>
    </row>
    <row r="37" spans="1:30" s="69" customFormat="1" ht="15" customHeight="1" x14ac:dyDescent="0.25">
      <c r="A37" s="190" t="s">
        <v>122</v>
      </c>
      <c r="B37" s="87"/>
      <c r="C37" s="81"/>
      <c r="D37" s="148"/>
      <c r="E37" s="218"/>
      <c r="F37" s="87"/>
      <c r="G37" s="81"/>
      <c r="H37" s="87"/>
      <c r="I37" s="227"/>
      <c r="J37" s="87"/>
      <c r="K37" s="218"/>
      <c r="L37" s="87"/>
      <c r="M37" s="87"/>
      <c r="N37" s="87"/>
      <c r="O37" s="81"/>
      <c r="P37" s="81"/>
      <c r="Q37" s="87"/>
      <c r="R37" s="81"/>
      <c r="S37" s="87"/>
      <c r="T37" s="81"/>
      <c r="U37" s="87"/>
      <c r="V37" s="81"/>
      <c r="W37" s="87"/>
      <c r="X37" s="81"/>
      <c r="Y37" s="87"/>
      <c r="Z37" s="81"/>
      <c r="AA37" s="87"/>
      <c r="AB37" s="81"/>
    </row>
    <row r="38" spans="1:30" s="69" customFormat="1" ht="11.25" customHeight="1" x14ac:dyDescent="0.25">
      <c r="A38" s="82"/>
      <c r="B38" s="87"/>
      <c r="C38" s="81"/>
      <c r="D38" s="148"/>
      <c r="E38" s="218"/>
      <c r="F38" s="87"/>
      <c r="G38" s="81"/>
      <c r="H38" s="87"/>
      <c r="I38" s="227"/>
      <c r="J38" s="87"/>
      <c r="K38" s="218"/>
      <c r="L38" s="87"/>
      <c r="M38" s="87"/>
      <c r="N38" s="87"/>
      <c r="O38" s="81"/>
      <c r="P38" s="81"/>
      <c r="Q38" s="87"/>
      <c r="R38" s="81"/>
      <c r="S38" s="87"/>
      <c r="T38" s="81"/>
      <c r="U38" s="87"/>
      <c r="V38" s="81"/>
      <c r="W38" s="87"/>
      <c r="X38" s="81"/>
      <c r="Y38" s="87"/>
      <c r="Z38" s="81"/>
      <c r="AA38" s="87"/>
      <c r="AB38" s="81"/>
    </row>
    <row r="39" spans="1:30" s="69" customFormat="1" ht="15" customHeight="1" x14ac:dyDescent="0.25">
      <c r="A39" s="342" t="s">
        <v>39</v>
      </c>
      <c r="B39" s="344" t="s">
        <v>21</v>
      </c>
      <c r="C39" s="345"/>
      <c r="D39" s="346" t="s">
        <v>22</v>
      </c>
      <c r="E39" s="347"/>
      <c r="F39" s="348" t="s">
        <v>23</v>
      </c>
      <c r="G39" s="349"/>
      <c r="H39" s="350" t="s">
        <v>24</v>
      </c>
      <c r="I39" s="351"/>
      <c r="J39" s="352" t="s">
        <v>25</v>
      </c>
      <c r="K39" s="353"/>
      <c r="L39" s="354" t="s">
        <v>40</v>
      </c>
      <c r="M39" s="355"/>
      <c r="N39" s="356" t="s">
        <v>27</v>
      </c>
      <c r="O39" s="357"/>
      <c r="P39" s="304"/>
      <c r="Q39" s="358" t="s">
        <v>37</v>
      </c>
      <c r="R39" s="359"/>
      <c r="S39" s="360" t="s">
        <v>28</v>
      </c>
      <c r="T39" s="361"/>
      <c r="U39" s="362" t="s">
        <v>29</v>
      </c>
      <c r="V39" s="363"/>
      <c r="W39" s="364" t="s">
        <v>30</v>
      </c>
      <c r="X39" s="365"/>
      <c r="Y39" s="338" t="s">
        <v>38</v>
      </c>
      <c r="Z39" s="339"/>
      <c r="AA39" s="366" t="s">
        <v>20</v>
      </c>
      <c r="AB39" s="367"/>
    </row>
    <row r="40" spans="1:30" s="69" customFormat="1" ht="15" customHeight="1" x14ac:dyDescent="0.25">
      <c r="A40" s="343"/>
      <c r="B40" s="140" t="s">
        <v>73</v>
      </c>
      <c r="C40" s="141" t="s">
        <v>79</v>
      </c>
      <c r="D40" s="140" t="s">
        <v>73</v>
      </c>
      <c r="E40" s="141" t="s">
        <v>79</v>
      </c>
      <c r="F40" s="140" t="s">
        <v>73</v>
      </c>
      <c r="G40" s="141" t="s">
        <v>79</v>
      </c>
      <c r="H40" s="140" t="s">
        <v>73</v>
      </c>
      <c r="I40" s="141" t="s">
        <v>79</v>
      </c>
      <c r="J40" s="140" t="s">
        <v>73</v>
      </c>
      <c r="K40" s="141" t="s">
        <v>79</v>
      </c>
      <c r="L40" s="140" t="s">
        <v>73</v>
      </c>
      <c r="M40" s="141" t="s">
        <v>79</v>
      </c>
      <c r="N40" s="140" t="s">
        <v>73</v>
      </c>
      <c r="O40" s="141" t="s">
        <v>79</v>
      </c>
      <c r="P40" s="312"/>
      <c r="Q40" s="140" t="s">
        <v>73</v>
      </c>
      <c r="R40" s="141" t="s">
        <v>79</v>
      </c>
      <c r="S40" s="140" t="s">
        <v>73</v>
      </c>
      <c r="T40" s="141" t="s">
        <v>79</v>
      </c>
      <c r="U40" s="140" t="s">
        <v>73</v>
      </c>
      <c r="V40" s="141" t="s">
        <v>79</v>
      </c>
      <c r="W40" s="140" t="s">
        <v>73</v>
      </c>
      <c r="X40" s="141" t="s">
        <v>79</v>
      </c>
      <c r="Y40" s="140" t="s">
        <v>73</v>
      </c>
      <c r="Z40" s="141" t="s">
        <v>79</v>
      </c>
      <c r="AA40" s="142" t="s">
        <v>73</v>
      </c>
      <c r="AB40" s="141" t="s">
        <v>79</v>
      </c>
    </row>
    <row r="41" spans="1:30" ht="14.1" customHeight="1" x14ac:dyDescent="0.25">
      <c r="A41" s="131" t="s">
        <v>75</v>
      </c>
      <c r="B41" s="117"/>
      <c r="C41" s="118" t="s">
        <v>98</v>
      </c>
      <c r="D41" s="119"/>
      <c r="E41" s="118"/>
      <c r="F41" s="120"/>
      <c r="G41" s="118"/>
      <c r="H41" s="121"/>
      <c r="I41" s="118"/>
      <c r="J41" s="122"/>
      <c r="K41" s="234"/>
      <c r="L41" s="123"/>
      <c r="M41" s="123"/>
      <c r="N41" s="124"/>
      <c r="O41" s="118"/>
      <c r="P41" s="313"/>
      <c r="Q41" s="125"/>
      <c r="R41" s="118"/>
      <c r="S41" s="126"/>
      <c r="T41" s="118"/>
      <c r="U41" s="127"/>
      <c r="V41" s="118"/>
      <c r="W41" s="128"/>
      <c r="X41" s="118"/>
      <c r="Y41" s="129"/>
      <c r="Z41" s="118"/>
      <c r="AA41" s="130"/>
      <c r="AB41" s="118"/>
    </row>
    <row r="42" spans="1:30" ht="14.1" customHeight="1" x14ac:dyDescent="0.25">
      <c r="A42" s="74" t="s">
        <v>105</v>
      </c>
      <c r="B42" s="56">
        <v>3420</v>
      </c>
      <c r="C42" s="144">
        <f>B42/B55*100</f>
        <v>1.099537037037037</v>
      </c>
      <c r="D42" s="57">
        <v>945</v>
      </c>
      <c r="E42" s="89">
        <f>D42/D55*100</f>
        <v>0.29272372456091444</v>
      </c>
      <c r="F42" s="57"/>
      <c r="G42" s="144"/>
      <c r="H42" s="57">
        <v>322695</v>
      </c>
      <c r="I42" s="89">
        <f>H42/H55*100</f>
        <v>86.616741152313082</v>
      </c>
      <c r="J42" s="57">
        <v>17820</v>
      </c>
      <c r="K42" s="144">
        <f>J42/J55*100</f>
        <v>4</v>
      </c>
      <c r="L42" s="57">
        <v>32625</v>
      </c>
      <c r="M42" s="184">
        <f>L42/L55*100</f>
        <v>8.6972168905950102</v>
      </c>
      <c r="N42" s="57">
        <v>32625</v>
      </c>
      <c r="O42" s="184">
        <f>N42/N55*100</f>
        <v>7.014997581035316</v>
      </c>
      <c r="P42" s="316"/>
      <c r="Q42" s="57">
        <v>2025</v>
      </c>
      <c r="R42" s="144">
        <f>Q42/Q55*100</f>
        <v>0.59737156511350065</v>
      </c>
      <c r="S42" s="57">
        <v>20835</v>
      </c>
      <c r="T42" s="144">
        <f>S42/S55*100</f>
        <v>7.3503730750912846</v>
      </c>
      <c r="U42" s="57">
        <v>10575</v>
      </c>
      <c r="V42" s="184">
        <f>U42/U55*100</f>
        <v>4.0440543796248489</v>
      </c>
      <c r="W42" s="57">
        <v>1395</v>
      </c>
      <c r="X42" s="184">
        <f>W42/W55*100</f>
        <v>0.49607937269963198</v>
      </c>
      <c r="Y42" s="57"/>
      <c r="Z42" s="184">
        <f>Y42/Y55*100</f>
        <v>0</v>
      </c>
      <c r="AA42" s="52">
        <f>B42+D42+H42+J42+L42+N42+Q42+S42+U42+W42+Y42</f>
        <v>444960</v>
      </c>
      <c r="AB42" s="89">
        <f>AA42/AA55*100</f>
        <v>10.814239623776453</v>
      </c>
    </row>
    <row r="43" spans="1:30" ht="14.1" customHeight="1" x14ac:dyDescent="0.25">
      <c r="A43" s="74" t="s">
        <v>106</v>
      </c>
      <c r="B43" s="57">
        <v>228150</v>
      </c>
      <c r="C43" s="144">
        <f>B43/B55*100</f>
        <v>73.350694444444443</v>
      </c>
      <c r="D43" s="57">
        <v>271080</v>
      </c>
      <c r="E43" s="144">
        <f>D43/D55*100</f>
        <v>83.969891274045168</v>
      </c>
      <c r="F43" s="57">
        <v>284760</v>
      </c>
      <c r="G43" s="144">
        <f>F43/F55*100</f>
        <v>80.5089058524173</v>
      </c>
      <c r="H43" s="57">
        <v>6120</v>
      </c>
      <c r="I43" s="144">
        <f>H43/H55*100</f>
        <v>1.6427104722792609</v>
      </c>
      <c r="J43" s="57">
        <v>326070</v>
      </c>
      <c r="K43" s="144">
        <f>J43/J55*100</f>
        <v>73.191919191919197</v>
      </c>
      <c r="L43" s="57">
        <v>302490</v>
      </c>
      <c r="M43" s="184">
        <f>L43/L55*100</f>
        <v>80.638195777351257</v>
      </c>
      <c r="N43" s="57">
        <v>364095</v>
      </c>
      <c r="O43" s="184">
        <f>N43/N55*100</f>
        <v>78.287373004354137</v>
      </c>
      <c r="P43" s="316"/>
      <c r="Q43" s="57">
        <v>283410</v>
      </c>
      <c r="R43" s="144">
        <f>Q43/Q55*100</f>
        <v>83.605469268551701</v>
      </c>
      <c r="S43" s="57">
        <v>221895</v>
      </c>
      <c r="T43" s="144">
        <f>S43/S55*100</f>
        <v>78.282267026512145</v>
      </c>
      <c r="U43" s="57">
        <v>212670</v>
      </c>
      <c r="V43" s="184">
        <f>U43/U55*100</f>
        <v>81.328514885561859</v>
      </c>
      <c r="W43" s="57">
        <v>218970</v>
      </c>
      <c r="X43" s="184">
        <f>W43/W55*100</f>
        <v>77.868458953432551</v>
      </c>
      <c r="Y43" s="57">
        <v>267210</v>
      </c>
      <c r="Z43" s="184">
        <f>Y43/Y55*100</f>
        <v>88.009485697346975</v>
      </c>
      <c r="AA43" s="52">
        <f t="shared" ref="AA43:AA54" si="4">B43+D43+F43+H43+J43+L43+N43+Q43+S43+U43+W43+Y43</f>
        <v>2986920</v>
      </c>
      <c r="AB43" s="89">
        <f>AA43/AA55*100</f>
        <v>72.593645759282552</v>
      </c>
      <c r="AD43" s="259"/>
    </row>
    <row r="44" spans="1:30" ht="14.1" customHeight="1" x14ac:dyDescent="0.25">
      <c r="A44" s="74" t="s">
        <v>132</v>
      </c>
      <c r="B44" s="57"/>
      <c r="C44" s="144"/>
      <c r="D44" s="57"/>
      <c r="E44" s="144"/>
      <c r="F44" s="57"/>
      <c r="G44" s="144"/>
      <c r="H44" s="57"/>
      <c r="I44" s="144"/>
      <c r="J44" s="57"/>
      <c r="K44" s="144"/>
      <c r="L44" s="57"/>
      <c r="M44" s="184"/>
      <c r="N44" s="57"/>
      <c r="O44" s="184"/>
      <c r="P44" s="316"/>
      <c r="Q44" s="57"/>
      <c r="R44" s="144"/>
      <c r="S44" s="57"/>
      <c r="T44" s="144"/>
      <c r="U44" s="57"/>
      <c r="V44" s="184"/>
      <c r="W44" s="57"/>
      <c r="X44" s="184"/>
      <c r="Y44" s="57">
        <v>540</v>
      </c>
      <c r="Z44" s="184">
        <f>Y44/Y55*100</f>
        <v>0.17785682525566918</v>
      </c>
      <c r="AA44" s="52">
        <f t="shared" si="4"/>
        <v>540</v>
      </c>
      <c r="AB44" s="89">
        <f>AA44/AA55*100</f>
        <v>1.3124077213320939E-2</v>
      </c>
      <c r="AD44" s="259"/>
    </row>
    <row r="45" spans="1:30" ht="14.1" customHeight="1" x14ac:dyDescent="0.25">
      <c r="A45" s="74" t="s">
        <v>116</v>
      </c>
      <c r="B45" s="57"/>
      <c r="C45" s="144"/>
      <c r="D45" s="57"/>
      <c r="E45" s="90"/>
      <c r="F45" s="57"/>
      <c r="G45" s="144"/>
      <c r="H45" s="57"/>
      <c r="I45" s="144">
        <f>H45/H55*100</f>
        <v>0</v>
      </c>
      <c r="J45" s="57">
        <v>5310</v>
      </c>
      <c r="K45" s="144">
        <f>J45/J55*100</f>
        <v>1.191919191919192</v>
      </c>
      <c r="L45" s="57"/>
      <c r="M45" s="184">
        <f>L45/L55*100</f>
        <v>0</v>
      </c>
      <c r="N45" s="57"/>
      <c r="O45" s="184">
        <f>N45/N55*100</f>
        <v>0</v>
      </c>
      <c r="P45" s="316"/>
      <c r="Q45" s="57"/>
      <c r="R45" s="144"/>
      <c r="S45" s="57">
        <v>1170</v>
      </c>
      <c r="T45" s="144">
        <f>S45/S55*100</f>
        <v>0.41276393078266388</v>
      </c>
      <c r="U45" s="57"/>
      <c r="V45" s="184"/>
      <c r="W45" s="57">
        <v>1800</v>
      </c>
      <c r="X45" s="184">
        <f>W45/W55*100</f>
        <v>0.6401024163866218</v>
      </c>
      <c r="Y45" s="57"/>
      <c r="Z45" s="184"/>
      <c r="AA45" s="52">
        <f t="shared" si="4"/>
        <v>8280</v>
      </c>
      <c r="AB45" s="89">
        <f>AA45/AA55*100</f>
        <v>0.20123585060425439</v>
      </c>
    </row>
    <row r="46" spans="1:30" ht="14.1" customHeight="1" x14ac:dyDescent="0.25">
      <c r="A46" s="74" t="s">
        <v>127</v>
      </c>
      <c r="B46" s="57"/>
      <c r="C46" s="144"/>
      <c r="D46" s="57"/>
      <c r="E46" s="90"/>
      <c r="F46" s="57"/>
      <c r="G46" s="144"/>
      <c r="H46" s="57"/>
      <c r="I46" s="144"/>
      <c r="J46" s="57"/>
      <c r="K46" s="144"/>
      <c r="L46" s="57"/>
      <c r="M46" s="184"/>
      <c r="N46" s="57">
        <v>3465</v>
      </c>
      <c r="O46" s="184">
        <f>N46/N55*100</f>
        <v>0.74504112239961295</v>
      </c>
      <c r="P46" s="316"/>
      <c r="Q46" s="57"/>
      <c r="R46" s="144"/>
      <c r="S46" s="57"/>
      <c r="T46" s="144"/>
      <c r="U46" s="57"/>
      <c r="V46" s="184"/>
      <c r="W46" s="57"/>
      <c r="X46" s="184"/>
      <c r="Y46" s="57"/>
      <c r="Z46" s="184"/>
      <c r="AA46" s="52">
        <f t="shared" si="4"/>
        <v>3465</v>
      </c>
      <c r="AB46" s="89">
        <f>AA46/AA55*100</f>
        <v>8.4212828785476021E-2</v>
      </c>
    </row>
    <row r="47" spans="1:30" ht="14.1" customHeight="1" x14ac:dyDescent="0.25">
      <c r="A47" s="74" t="s">
        <v>89</v>
      </c>
      <c r="B47" s="57">
        <v>15075</v>
      </c>
      <c r="C47" s="144">
        <f>B47/B55*100</f>
        <v>4.8466435185185182</v>
      </c>
      <c r="D47" s="57">
        <f>6255+450</f>
        <v>6705</v>
      </c>
      <c r="E47" s="144">
        <f>D47/D55*100</f>
        <v>2.0769445218845832</v>
      </c>
      <c r="F47" s="57">
        <v>5625</v>
      </c>
      <c r="G47" s="144">
        <f>F47/F55*100</f>
        <v>1.5903307888040712</v>
      </c>
      <c r="H47" s="57">
        <v>8865</v>
      </c>
      <c r="I47" s="144">
        <f>H47/H55*100</f>
        <v>2.3795144341103995</v>
      </c>
      <c r="J47" s="57">
        <v>11250</v>
      </c>
      <c r="K47" s="144">
        <f>J47/J55*100</f>
        <v>2.5252525252525251</v>
      </c>
      <c r="L47" s="57">
        <v>7470</v>
      </c>
      <c r="M47" s="184">
        <f>L47/L55*100</f>
        <v>1.9913627639155471</v>
      </c>
      <c r="N47" s="57">
        <v>4500</v>
      </c>
      <c r="O47" s="184">
        <f>N47/N55*100</f>
        <v>0.96758587324625067</v>
      </c>
      <c r="P47" s="316"/>
      <c r="Q47" s="57">
        <v>3825</v>
      </c>
      <c r="R47" s="144">
        <f>Q47/Q55*100</f>
        <v>1.1283685118810567</v>
      </c>
      <c r="S47" s="57">
        <v>2475</v>
      </c>
      <c r="T47" s="144">
        <f>S47/S55*100</f>
        <v>0.87315446896332749</v>
      </c>
      <c r="U47" s="57">
        <v>4590</v>
      </c>
      <c r="V47" s="184">
        <f>U47/U55*100</f>
        <v>1.7552916881775942</v>
      </c>
      <c r="W47" s="57">
        <v>3690</v>
      </c>
      <c r="X47" s="184">
        <f>W47/W55*100</f>
        <v>1.3122099535925749</v>
      </c>
      <c r="Y47" s="57"/>
      <c r="Z47" s="184">
        <f>Y47/Y55*100</f>
        <v>0</v>
      </c>
      <c r="AA47" s="52">
        <f t="shared" si="4"/>
        <v>74070</v>
      </c>
      <c r="AB47" s="89">
        <f>AA47/AA55*100</f>
        <v>1.8001859244271885</v>
      </c>
    </row>
    <row r="48" spans="1:30" ht="14.1" customHeight="1" x14ac:dyDescent="0.25">
      <c r="A48" s="74" t="s">
        <v>99</v>
      </c>
      <c r="B48" s="57">
        <v>3600</v>
      </c>
      <c r="C48" s="144">
        <f>B48/B55*100</f>
        <v>1.1574074074074074</v>
      </c>
      <c r="D48" s="57">
        <v>1575</v>
      </c>
      <c r="E48" s="144">
        <f>D48/D55*100</f>
        <v>0.4878728742681907</v>
      </c>
      <c r="F48" s="57"/>
      <c r="G48" s="144"/>
      <c r="H48" s="57">
        <v>5175</v>
      </c>
      <c r="I48" s="144">
        <f>H48/H55*100</f>
        <v>1.3890566493537866</v>
      </c>
      <c r="J48" s="57">
        <v>37665</v>
      </c>
      <c r="K48" s="144">
        <f>J48/J55*100</f>
        <v>8.454545454545455</v>
      </c>
      <c r="L48" s="57">
        <v>1305</v>
      </c>
      <c r="M48" s="184">
        <f>L48/L55*100</f>
        <v>0.34788867562380038</v>
      </c>
      <c r="N48" s="57">
        <v>2700</v>
      </c>
      <c r="O48" s="184">
        <f>N48/N55*100</f>
        <v>0.58055152394775034</v>
      </c>
      <c r="P48" s="316"/>
      <c r="Q48" s="57">
        <v>3375</v>
      </c>
      <c r="R48" s="144">
        <f>Q48/Q55*100</f>
        <v>0.99561927518916771</v>
      </c>
      <c r="S48" s="57">
        <v>7785</v>
      </c>
      <c r="T48" s="144">
        <f>S48/S55*100</f>
        <v>2.7464676932846483</v>
      </c>
      <c r="U48" s="57"/>
      <c r="V48" s="184"/>
      <c r="W48" s="57"/>
      <c r="X48" s="184"/>
      <c r="Y48" s="57"/>
      <c r="Z48" s="184"/>
      <c r="AA48" s="52">
        <f t="shared" si="4"/>
        <v>63180</v>
      </c>
      <c r="AB48" s="89">
        <f>AA48/AA55*100</f>
        <v>1.5355170339585498</v>
      </c>
    </row>
    <row r="49" spans="1:30" ht="14.1" customHeight="1" x14ac:dyDescent="0.25">
      <c r="A49" s="74" t="s">
        <v>107</v>
      </c>
      <c r="B49" s="57"/>
      <c r="C49" s="144"/>
      <c r="D49" s="57"/>
      <c r="E49" s="144"/>
      <c r="F49" s="57"/>
      <c r="G49" s="144"/>
      <c r="H49" s="57"/>
      <c r="I49" s="90"/>
      <c r="J49" s="57"/>
      <c r="K49" s="144"/>
      <c r="L49" s="57">
        <v>1665</v>
      </c>
      <c r="M49" s="184">
        <f>L49/L55*100</f>
        <v>0.44385796545105566</v>
      </c>
      <c r="N49" s="57">
        <v>495</v>
      </c>
      <c r="O49" s="184">
        <f>N49/N55*100</f>
        <v>0.10643444605708757</v>
      </c>
      <c r="P49" s="316"/>
      <c r="Q49" s="57"/>
      <c r="R49" s="144"/>
      <c r="S49" s="57"/>
      <c r="T49" s="144"/>
      <c r="U49" s="57"/>
      <c r="V49" s="184">
        <f>U49/U55*100</f>
        <v>0</v>
      </c>
      <c r="W49" s="57"/>
      <c r="X49" s="184"/>
      <c r="Y49" s="57"/>
      <c r="Z49" s="184"/>
      <c r="AA49" s="52">
        <f t="shared" si="4"/>
        <v>2160</v>
      </c>
      <c r="AB49" s="89">
        <f>AA49/AA55*100</f>
        <v>5.2496308853283755E-2</v>
      </c>
    </row>
    <row r="50" spans="1:30" ht="14.1" customHeight="1" x14ac:dyDescent="0.25">
      <c r="A50" s="74" t="s">
        <v>91</v>
      </c>
      <c r="B50" s="57"/>
      <c r="C50" s="144"/>
      <c r="D50" s="57"/>
      <c r="E50" s="144"/>
      <c r="F50" s="57"/>
      <c r="G50" s="90"/>
      <c r="H50" s="57"/>
      <c r="I50" s="144"/>
      <c r="J50" s="57"/>
      <c r="K50" s="144"/>
      <c r="L50" s="57"/>
      <c r="M50" s="184"/>
      <c r="N50" s="57"/>
      <c r="O50" s="184"/>
      <c r="P50" s="316"/>
      <c r="Q50" s="57"/>
      <c r="R50" s="144"/>
      <c r="S50" s="57"/>
      <c r="T50" s="144"/>
      <c r="U50" s="57"/>
      <c r="V50" s="184"/>
      <c r="W50" s="57"/>
      <c r="X50" s="184"/>
      <c r="Y50" s="57">
        <v>2565</v>
      </c>
      <c r="Z50" s="184">
        <f>Y50/Y55*100</f>
        <v>0.84481991996442873</v>
      </c>
      <c r="AA50" s="52">
        <f t="shared" si="4"/>
        <v>2565</v>
      </c>
      <c r="AB50" s="89">
        <f>AA50/AA55*100</f>
        <v>6.2339366763274451E-2</v>
      </c>
    </row>
    <row r="51" spans="1:30" ht="14.1" customHeight="1" x14ac:dyDescent="0.25">
      <c r="A51" s="74" t="s">
        <v>128</v>
      </c>
      <c r="B51" s="57"/>
      <c r="C51" s="144"/>
      <c r="D51" s="57"/>
      <c r="E51" s="144"/>
      <c r="F51" s="57"/>
      <c r="G51" s="90"/>
      <c r="H51" s="57"/>
      <c r="I51" s="144"/>
      <c r="J51" s="57"/>
      <c r="K51" s="144"/>
      <c r="L51" s="57"/>
      <c r="M51" s="184"/>
      <c r="N51" s="57"/>
      <c r="O51" s="184"/>
      <c r="P51" s="316"/>
      <c r="Q51" s="57">
        <v>1575</v>
      </c>
      <c r="R51" s="144">
        <f>Q51/Q55*100</f>
        <v>0.46462232842161155</v>
      </c>
      <c r="S51" s="57"/>
      <c r="T51" s="144"/>
      <c r="U51" s="57"/>
      <c r="V51" s="184"/>
      <c r="W51" s="57"/>
      <c r="X51" s="184"/>
      <c r="Y51" s="57"/>
      <c r="Z51" s="184"/>
      <c r="AA51" s="52">
        <f t="shared" si="4"/>
        <v>1575</v>
      </c>
      <c r="AB51" s="89">
        <f>AA51/AA55*100</f>
        <v>3.8278558538852737E-2</v>
      </c>
    </row>
    <row r="52" spans="1:30" ht="14.1" customHeight="1" x14ac:dyDescent="0.25">
      <c r="A52" s="74" t="s">
        <v>95</v>
      </c>
      <c r="B52" s="57"/>
      <c r="C52" s="144"/>
      <c r="D52" s="57"/>
      <c r="E52" s="144"/>
      <c r="F52" s="57"/>
      <c r="G52" s="90"/>
      <c r="H52" s="57"/>
      <c r="I52" s="90"/>
      <c r="J52" s="57"/>
      <c r="K52" s="144"/>
      <c r="L52" s="57"/>
      <c r="M52" s="184"/>
      <c r="N52" s="57"/>
      <c r="O52" s="184"/>
      <c r="P52" s="316"/>
      <c r="Q52" s="57"/>
      <c r="R52" s="144"/>
      <c r="S52" s="57"/>
      <c r="T52" s="144"/>
      <c r="U52" s="57">
        <v>810</v>
      </c>
      <c r="V52" s="184">
        <f>U52/U55*100</f>
        <v>0.30975735673722249</v>
      </c>
      <c r="W52" s="57"/>
      <c r="X52" s="184"/>
      <c r="Y52" s="57"/>
      <c r="Z52" s="184"/>
      <c r="AA52" s="52">
        <f t="shared" si="4"/>
        <v>810</v>
      </c>
      <c r="AB52" s="89">
        <f>AA52/AA55*100</f>
        <v>1.968611581998141E-2</v>
      </c>
    </row>
    <row r="53" spans="1:30" ht="14.1" customHeight="1" x14ac:dyDescent="0.25">
      <c r="A53" s="74" t="s">
        <v>117</v>
      </c>
      <c r="B53" s="57">
        <v>10350</v>
      </c>
      <c r="C53" s="144">
        <f>B53/B55*100</f>
        <v>3.3275462962962967</v>
      </c>
      <c r="D53" s="57">
        <v>7650</v>
      </c>
      <c r="E53" s="144">
        <f>D53/D55*100</f>
        <v>2.3696682464454977</v>
      </c>
      <c r="F53" s="57">
        <v>13950</v>
      </c>
      <c r="G53" s="144">
        <f>F53/F55*100</f>
        <v>3.9440203562340965</v>
      </c>
      <c r="H53" s="57">
        <v>9225</v>
      </c>
      <c r="I53" s="144">
        <f>H53/H55*100</f>
        <v>2.4761444618915327</v>
      </c>
      <c r="J53" s="57">
        <v>23175</v>
      </c>
      <c r="K53" s="144">
        <f>J53/J55*100</f>
        <v>5.2020202020202024</v>
      </c>
      <c r="L53" s="57">
        <v>16875</v>
      </c>
      <c r="M53" s="184">
        <f>L53/L55*100</f>
        <v>4.4985604606525911</v>
      </c>
      <c r="N53" s="57">
        <v>36495</v>
      </c>
      <c r="O53" s="184">
        <f>N53/N55*100</f>
        <v>7.8471214320270919</v>
      </c>
      <c r="P53" s="316"/>
      <c r="Q53" s="57">
        <v>24075</v>
      </c>
      <c r="R53" s="144">
        <f>Q53/Q55*100</f>
        <v>7.1020841630160634</v>
      </c>
      <c r="S53" s="57">
        <v>16695</v>
      </c>
      <c r="T53" s="144">
        <f>S53/S55*100</f>
        <v>5.8898237815526269</v>
      </c>
      <c r="U53" s="57">
        <v>16425</v>
      </c>
      <c r="V53" s="184">
        <f>U53/U55*100</f>
        <v>6.2811908449492346</v>
      </c>
      <c r="W53" s="57">
        <v>30600</v>
      </c>
      <c r="X53" s="184">
        <f>W53/W55*100</f>
        <v>10.881741078572571</v>
      </c>
      <c r="Y53" s="57">
        <v>15300</v>
      </c>
      <c r="Z53" s="184">
        <f>Y53/Y55*100</f>
        <v>5.0392767155772935</v>
      </c>
      <c r="AA53" s="52">
        <f t="shared" si="4"/>
        <v>220815</v>
      </c>
      <c r="AB53" s="89">
        <f>AA53/AA55*100</f>
        <v>5.3666539071471533</v>
      </c>
    </row>
    <row r="54" spans="1:30" ht="14.1" customHeight="1" x14ac:dyDescent="0.25">
      <c r="A54" s="74" t="s">
        <v>56</v>
      </c>
      <c r="B54" s="57">
        <v>50445</v>
      </c>
      <c r="C54" s="144">
        <f>B54/B55*100</f>
        <v>16.218171296296298</v>
      </c>
      <c r="D54" s="57">
        <v>34875</v>
      </c>
      <c r="E54" s="144">
        <f>D54/D55*100</f>
        <v>10.802899358795651</v>
      </c>
      <c r="F54" s="57">
        <v>49365</v>
      </c>
      <c r="G54" s="144">
        <f>F54/F55*100</f>
        <v>13.956743002544531</v>
      </c>
      <c r="H54" s="57">
        <v>20475</v>
      </c>
      <c r="I54" s="144">
        <f>H54/H55*100</f>
        <v>5.4958328300519383</v>
      </c>
      <c r="J54" s="57">
        <v>24210</v>
      </c>
      <c r="K54" s="144">
        <f>J54/J55*100</f>
        <v>5.4343434343434343</v>
      </c>
      <c r="L54" s="57">
        <v>12690</v>
      </c>
      <c r="M54" s="184">
        <f>L54/L55*100</f>
        <v>3.3829174664107486</v>
      </c>
      <c r="N54" s="57">
        <v>20700</v>
      </c>
      <c r="O54" s="184">
        <f>N54/N55*100</f>
        <v>4.450895016932753</v>
      </c>
      <c r="P54" s="316"/>
      <c r="Q54" s="57">
        <v>20700</v>
      </c>
      <c r="R54" s="144">
        <f>Q54/Q55*100</f>
        <v>6.1064648878268946</v>
      </c>
      <c r="S54" s="57">
        <v>12600</v>
      </c>
      <c r="T54" s="144">
        <f>S54/S55*100</f>
        <v>4.4451500238133042</v>
      </c>
      <c r="U54" s="57">
        <v>16425</v>
      </c>
      <c r="V54" s="184">
        <f>U54/U55*100</f>
        <v>6.2811908449492346</v>
      </c>
      <c r="W54" s="57">
        <v>24750</v>
      </c>
      <c r="X54" s="184">
        <f>W54/W55*100</f>
        <v>8.8014082253160506</v>
      </c>
      <c r="Y54" s="57">
        <v>18000</v>
      </c>
      <c r="Z54" s="184">
        <f>Y54/Y55*100</f>
        <v>5.9285608418556395</v>
      </c>
      <c r="AA54" s="52">
        <f t="shared" si="4"/>
        <v>305235</v>
      </c>
      <c r="AB54" s="89">
        <f>AA54/AA55*100</f>
        <v>7.4183846448296604</v>
      </c>
    </row>
    <row r="55" spans="1:30" s="69" customFormat="1" ht="14.1" customHeight="1" x14ac:dyDescent="0.25">
      <c r="A55" s="67" t="s">
        <v>72</v>
      </c>
      <c r="B55" s="70">
        <f t="shared" ref="B55:M55" si="5">SUM(B42:B54)</f>
        <v>311040</v>
      </c>
      <c r="C55" s="91">
        <f t="shared" si="5"/>
        <v>100</v>
      </c>
      <c r="D55" s="70">
        <f t="shared" si="5"/>
        <v>322830</v>
      </c>
      <c r="E55" s="91">
        <f t="shared" si="5"/>
        <v>100.00000000000001</v>
      </c>
      <c r="F55" s="70">
        <f t="shared" si="5"/>
        <v>353700</v>
      </c>
      <c r="G55" s="188">
        <f t="shared" si="5"/>
        <v>99.999999999999986</v>
      </c>
      <c r="H55" s="70">
        <f t="shared" si="5"/>
        <v>372555</v>
      </c>
      <c r="I55" s="91">
        <f t="shared" si="5"/>
        <v>100.00000000000001</v>
      </c>
      <c r="J55" s="70">
        <f t="shared" si="5"/>
        <v>445500</v>
      </c>
      <c r="K55" s="91">
        <f t="shared" si="5"/>
        <v>100.00000000000001</v>
      </c>
      <c r="L55" s="70">
        <f t="shared" si="5"/>
        <v>375120</v>
      </c>
      <c r="M55" s="187">
        <f t="shared" si="5"/>
        <v>100.00000000000001</v>
      </c>
      <c r="N55" s="70">
        <f t="shared" ref="N55:AB55" si="6">SUM(N42:N54)</f>
        <v>465075</v>
      </c>
      <c r="O55" s="187">
        <f t="shared" si="6"/>
        <v>100</v>
      </c>
      <c r="P55" s="317"/>
      <c r="Q55" s="70">
        <f t="shared" si="6"/>
        <v>338985</v>
      </c>
      <c r="R55" s="91">
        <f t="shared" si="6"/>
        <v>99.999999999999986</v>
      </c>
      <c r="S55" s="70">
        <f t="shared" si="6"/>
        <v>283455</v>
      </c>
      <c r="T55" s="91">
        <f t="shared" si="6"/>
        <v>99.999999999999972</v>
      </c>
      <c r="U55" s="70">
        <f t="shared" si="6"/>
        <v>261495</v>
      </c>
      <c r="V55" s="187">
        <f t="shared" si="6"/>
        <v>100</v>
      </c>
      <c r="W55" s="70">
        <f t="shared" si="6"/>
        <v>281205</v>
      </c>
      <c r="X55" s="187">
        <f t="shared" si="6"/>
        <v>100</v>
      </c>
      <c r="Y55" s="70">
        <f t="shared" si="6"/>
        <v>303615</v>
      </c>
      <c r="Z55" s="187">
        <f t="shared" si="6"/>
        <v>100</v>
      </c>
      <c r="AA55" s="70">
        <f>SUM(AA42:AA54)</f>
        <v>4114575</v>
      </c>
      <c r="AB55" s="91">
        <f t="shared" si="6"/>
        <v>99.999999999999986</v>
      </c>
      <c r="AD55" s="87"/>
    </row>
    <row r="56" spans="1:30" ht="14.1" customHeight="1" x14ac:dyDescent="0.25">
      <c r="A56" s="131" t="s">
        <v>76</v>
      </c>
      <c r="B56" s="132"/>
      <c r="C56" s="133"/>
      <c r="D56" s="134"/>
      <c r="E56" s="133"/>
      <c r="F56" s="135"/>
      <c r="G56" s="133"/>
      <c r="H56" s="136"/>
      <c r="I56" s="133"/>
      <c r="J56" s="137"/>
      <c r="K56" s="240"/>
      <c r="L56" s="138"/>
      <c r="M56" s="138"/>
      <c r="N56" s="256"/>
      <c r="O56" s="118"/>
      <c r="P56" s="313"/>
      <c r="Q56" s="173"/>
      <c r="R56" s="118"/>
      <c r="S56" s="126"/>
      <c r="T56" s="118"/>
      <c r="U56" s="127"/>
      <c r="V56" s="118"/>
      <c r="W56" s="128"/>
      <c r="X56" s="118"/>
      <c r="Y56" s="129"/>
      <c r="Z56" s="118"/>
      <c r="AA56" s="130"/>
      <c r="AB56" s="118"/>
    </row>
    <row r="57" spans="1:30" ht="14.1" customHeight="1" x14ac:dyDescent="0.25">
      <c r="A57" s="75" t="s">
        <v>104</v>
      </c>
      <c r="B57" s="57">
        <v>225</v>
      </c>
      <c r="C57" s="144">
        <f>B57/B68*100</f>
        <v>8.8167871627578914E-2</v>
      </c>
      <c r="D57" s="57">
        <v>2250</v>
      </c>
      <c r="E57" s="144">
        <f>D57/D68*100</f>
        <v>0.5860290670417253</v>
      </c>
      <c r="F57" s="57"/>
      <c r="G57" s="144"/>
      <c r="H57" s="57"/>
      <c r="I57" s="153"/>
      <c r="J57" s="239"/>
      <c r="K57" s="184"/>
      <c r="L57" s="57"/>
      <c r="M57" s="184"/>
      <c r="N57" s="57"/>
      <c r="O57" s="99"/>
      <c r="P57" s="318"/>
      <c r="Q57" s="57"/>
      <c r="R57" s="90"/>
      <c r="S57" s="57"/>
      <c r="T57" s="90">
        <f>S57/S68*100</f>
        <v>0</v>
      </c>
      <c r="U57" s="57"/>
      <c r="V57" s="184"/>
      <c r="W57" s="57"/>
      <c r="X57" s="184">
        <f>W57/W66*100</f>
        <v>0</v>
      </c>
      <c r="Y57" s="57"/>
      <c r="Z57" s="90"/>
      <c r="AA57" s="52">
        <f t="shared" ref="AA57:AA66" si="7">B57+D57+F57+H57+J57+L57+N57+Q57+S57+U57+W57+Y57</f>
        <v>2475</v>
      </c>
      <c r="AB57" s="89">
        <f>AA57/AA68*100</f>
        <v>6.7095263074426953E-2</v>
      </c>
    </row>
    <row r="58" spans="1:30" ht="14.1" customHeight="1" x14ac:dyDescent="0.25">
      <c r="A58" s="75" t="s">
        <v>85</v>
      </c>
      <c r="B58" s="57">
        <v>7290</v>
      </c>
      <c r="C58" s="144">
        <f>B58/B68*100</f>
        <v>2.8566390407335569</v>
      </c>
      <c r="D58" s="57">
        <v>21375</v>
      </c>
      <c r="E58" s="144">
        <f>D58/D68*100</f>
        <v>5.5672761368963899</v>
      </c>
      <c r="F58" s="57">
        <v>42525</v>
      </c>
      <c r="G58" s="144">
        <f>F58/F68*100</f>
        <v>12.184115523465703</v>
      </c>
      <c r="H58" s="57">
        <v>58590</v>
      </c>
      <c r="I58" s="144">
        <f>H58/H68*100</f>
        <v>14.745186862967158</v>
      </c>
      <c r="J58" s="146">
        <v>34380</v>
      </c>
      <c r="K58" s="184">
        <f>J58/J68*100</f>
        <v>12.16948072634597</v>
      </c>
      <c r="L58" s="57">
        <v>24390</v>
      </c>
      <c r="M58" s="184">
        <f>L58/L68*100</f>
        <v>10.136525154292126</v>
      </c>
      <c r="N58" s="146">
        <v>26055</v>
      </c>
      <c r="O58" s="89">
        <f>N58/N68*100</f>
        <v>8.4316295325469639</v>
      </c>
      <c r="P58" s="319"/>
      <c r="Q58" s="57">
        <v>6885</v>
      </c>
      <c r="R58" s="144">
        <f>Q58/Q68*100</f>
        <v>2.8249630723781385</v>
      </c>
      <c r="S58" s="57">
        <v>13905</v>
      </c>
      <c r="T58" s="184">
        <f>S58/S68*100</f>
        <v>4.536112742219613</v>
      </c>
      <c r="U58" s="57">
        <v>50310</v>
      </c>
      <c r="V58" s="184">
        <f>U58/U68*100</f>
        <v>14.833488125248772</v>
      </c>
      <c r="W58" s="57">
        <v>80595</v>
      </c>
      <c r="X58" s="184">
        <f>W58/W68*100</f>
        <v>24.885368903709878</v>
      </c>
      <c r="Y58" s="57">
        <v>46935</v>
      </c>
      <c r="Z58" s="144">
        <f>Y58/Y68*100</f>
        <v>18.202443280977313</v>
      </c>
      <c r="AA58" s="52">
        <f t="shared" si="7"/>
        <v>413235</v>
      </c>
      <c r="AB58" s="85">
        <f>AA58/AA68*100</f>
        <v>11.202469105681139</v>
      </c>
    </row>
    <row r="59" spans="1:30" ht="14.1" customHeight="1" x14ac:dyDescent="0.25">
      <c r="A59" s="75" t="s">
        <v>108</v>
      </c>
      <c r="B59" s="57">
        <v>1125</v>
      </c>
      <c r="C59" s="144">
        <f>B59/B68*100</f>
        <v>0.4408393581378946</v>
      </c>
      <c r="D59" s="57">
        <v>360</v>
      </c>
      <c r="E59" s="144">
        <f>D59/D68*100</f>
        <v>9.3764650726676044E-2</v>
      </c>
      <c r="F59" s="57"/>
      <c r="G59" s="144"/>
      <c r="H59" s="57"/>
      <c r="I59" s="144"/>
      <c r="J59" s="239"/>
      <c r="K59" s="184"/>
      <c r="L59" s="57"/>
      <c r="M59" s="184"/>
      <c r="N59" s="146">
        <v>1350</v>
      </c>
      <c r="O59" s="89">
        <f>N59/N68*100</f>
        <v>0.43687199650502401</v>
      </c>
      <c r="P59" s="319"/>
      <c r="Q59" s="57"/>
      <c r="R59" s="144"/>
      <c r="S59" s="57"/>
      <c r="T59" s="184"/>
      <c r="U59" s="57"/>
      <c r="V59" s="184"/>
      <c r="W59" s="57"/>
      <c r="X59" s="184"/>
      <c r="Y59" s="57"/>
      <c r="Z59" s="144"/>
      <c r="AA59" s="52">
        <f t="shared" si="7"/>
        <v>2835</v>
      </c>
      <c r="AB59" s="85">
        <f>AA59/AA68*100</f>
        <v>7.6854574067070858E-2</v>
      </c>
    </row>
    <row r="60" spans="1:30" ht="14.1" customHeight="1" x14ac:dyDescent="0.25">
      <c r="A60" s="75" t="s">
        <v>124</v>
      </c>
      <c r="B60" s="57"/>
      <c r="C60" s="144"/>
      <c r="D60" s="57"/>
      <c r="E60" s="144"/>
      <c r="F60" s="57"/>
      <c r="G60" s="144"/>
      <c r="H60" s="57">
        <v>3690</v>
      </c>
      <c r="I60" s="144">
        <f>H60/H68*100</f>
        <v>0.92865232163080402</v>
      </c>
      <c r="J60" s="239">
        <v>630</v>
      </c>
      <c r="K60" s="184">
        <f>J60/J68*100</f>
        <v>0.22300095571838166</v>
      </c>
      <c r="L60" s="57"/>
      <c r="M60" s="184"/>
      <c r="N60" s="146"/>
      <c r="O60" s="89"/>
      <c r="P60" s="319"/>
      <c r="Q60" s="57"/>
      <c r="R60" s="144"/>
      <c r="S60" s="57"/>
      <c r="T60" s="184"/>
      <c r="U60" s="57"/>
      <c r="V60" s="184"/>
      <c r="W60" s="57"/>
      <c r="X60" s="184">
        <f>W60/W68*100</f>
        <v>0</v>
      </c>
      <c r="Y60" s="57"/>
      <c r="Z60" s="144"/>
      <c r="AA60" s="52">
        <f t="shared" si="7"/>
        <v>4320</v>
      </c>
      <c r="AB60" s="85">
        <f>AA60/AA68*100</f>
        <v>0.11711173191172704</v>
      </c>
    </row>
    <row r="61" spans="1:30" ht="14.1" customHeight="1" x14ac:dyDescent="0.25">
      <c r="A61" s="76" t="s">
        <v>100</v>
      </c>
      <c r="B61" s="57"/>
      <c r="C61" s="144"/>
      <c r="D61" s="57">
        <v>10260</v>
      </c>
      <c r="E61" s="144">
        <f>D61/D68*100</f>
        <v>2.6722925457102673</v>
      </c>
      <c r="F61" s="57">
        <v>450</v>
      </c>
      <c r="G61" s="144">
        <f>F61/F68*100</f>
        <v>0.12893243940175347</v>
      </c>
      <c r="H61" s="57">
        <v>90</v>
      </c>
      <c r="I61" s="144">
        <f>H61/H68*100</f>
        <v>2.2650056625141562E-2</v>
      </c>
      <c r="J61" s="146"/>
      <c r="K61" s="184">
        <f>J61/J68*100</f>
        <v>0</v>
      </c>
      <c r="L61" s="57">
        <v>720</v>
      </c>
      <c r="M61" s="184">
        <f>L61/L68*100</f>
        <v>0.29923321488685245</v>
      </c>
      <c r="N61" s="146"/>
      <c r="O61" s="89">
        <f>N61/N68*100</f>
        <v>0</v>
      </c>
      <c r="P61" s="319"/>
      <c r="Q61" s="57"/>
      <c r="R61" s="144">
        <f>Q61/Q68*100</f>
        <v>0</v>
      </c>
      <c r="S61" s="57">
        <v>1035</v>
      </c>
      <c r="T61" s="184">
        <f>S61/S68*100</f>
        <v>0.33763945977686438</v>
      </c>
      <c r="U61" s="57">
        <v>4860</v>
      </c>
      <c r="V61" s="184">
        <f>U61/U68*100</f>
        <v>1.4329308743531908</v>
      </c>
      <c r="W61" s="57">
        <v>6750</v>
      </c>
      <c r="X61" s="184">
        <f>W61/W68*100</f>
        <v>2.0842017507294708</v>
      </c>
      <c r="Y61" s="57"/>
      <c r="Z61" s="89"/>
      <c r="AA61" s="52">
        <f t="shared" si="7"/>
        <v>24165</v>
      </c>
      <c r="AB61" s="85">
        <f>AA61/AA68*100</f>
        <v>0.65509375038122308</v>
      </c>
    </row>
    <row r="62" spans="1:30" ht="14.1" customHeight="1" x14ac:dyDescent="0.25">
      <c r="A62" s="76" t="s">
        <v>63</v>
      </c>
      <c r="B62" s="57">
        <v>2025</v>
      </c>
      <c r="C62" s="144">
        <f>B62/B68*100</f>
        <v>0.79351084464821031</v>
      </c>
      <c r="D62" s="57">
        <v>20070</v>
      </c>
      <c r="E62" s="144">
        <f>D62/D68*100</f>
        <v>5.2273792780121902</v>
      </c>
      <c r="F62" s="57">
        <v>28125</v>
      </c>
      <c r="G62" s="144">
        <f>F62/F68*100</f>
        <v>8.0582774626095919</v>
      </c>
      <c r="H62" s="57">
        <v>15975</v>
      </c>
      <c r="I62" s="144">
        <f>H62/H68*100</f>
        <v>4.0203850509626271</v>
      </c>
      <c r="J62" s="146">
        <v>4050</v>
      </c>
      <c r="K62" s="184">
        <f>J62/J68*100</f>
        <v>1.4335775724753106</v>
      </c>
      <c r="L62" s="57">
        <v>11970</v>
      </c>
      <c r="M62" s="184">
        <f>L62/L68*100</f>
        <v>4.9747521974939213</v>
      </c>
      <c r="N62" s="146">
        <v>26730</v>
      </c>
      <c r="O62" s="89">
        <f>N62/N68*100</f>
        <v>8.6500655307994769</v>
      </c>
      <c r="P62" s="319"/>
      <c r="Q62" s="57">
        <v>31995</v>
      </c>
      <c r="R62" s="144">
        <f>Q62/Q68*100</f>
        <v>13.127769571639586</v>
      </c>
      <c r="S62" s="57">
        <v>27990</v>
      </c>
      <c r="T62" s="184">
        <f>S62/S68*100</f>
        <v>9.1309453904873763</v>
      </c>
      <c r="U62" s="57">
        <v>15705</v>
      </c>
      <c r="V62" s="184">
        <f>U62/U68*100</f>
        <v>4.630489584715404</v>
      </c>
      <c r="W62" s="57">
        <v>16425</v>
      </c>
      <c r="X62" s="184">
        <f>W62/W68*100</f>
        <v>5.0715575934417121</v>
      </c>
      <c r="Y62" s="57"/>
      <c r="Z62" s="89">
        <f>Y62/Y68*100</f>
        <v>0</v>
      </c>
      <c r="AA62" s="52">
        <f t="shared" si="7"/>
        <v>201060</v>
      </c>
      <c r="AB62" s="85">
        <f>AA62/AA68*100</f>
        <v>5.4505751893916283</v>
      </c>
    </row>
    <row r="63" spans="1:30" ht="14.1" customHeight="1" x14ac:dyDescent="0.25">
      <c r="A63" s="76" t="s">
        <v>57</v>
      </c>
      <c r="B63" s="57">
        <v>8370</v>
      </c>
      <c r="C63" s="144">
        <f>B63/B68*100</f>
        <v>3.2798448245459353</v>
      </c>
      <c r="D63" s="57">
        <v>4275</v>
      </c>
      <c r="E63" s="144">
        <f>D63/D68*100</f>
        <v>1.1134552273792782</v>
      </c>
      <c r="F63" s="57">
        <v>28485</v>
      </c>
      <c r="G63" s="144">
        <f>F63/F68*100</f>
        <v>8.1614234141309954</v>
      </c>
      <c r="H63" s="57">
        <v>32985</v>
      </c>
      <c r="I63" s="144">
        <f>H63/H68*100</f>
        <v>8.3012457531143813</v>
      </c>
      <c r="J63" s="146">
        <v>29385</v>
      </c>
      <c r="K63" s="184">
        <f>J63/J68*100</f>
        <v>10.401401720293087</v>
      </c>
      <c r="L63" s="57">
        <v>10035</v>
      </c>
      <c r="M63" s="184">
        <f>L63/L68*100</f>
        <v>4.170562932485506</v>
      </c>
      <c r="N63" s="146">
        <v>2925</v>
      </c>
      <c r="O63" s="89">
        <f>N63/N68*100</f>
        <v>0.94655599242755206</v>
      </c>
      <c r="P63" s="319"/>
      <c r="Q63" s="57">
        <v>17280</v>
      </c>
      <c r="R63" s="144">
        <f>Q63/Q68*100</f>
        <v>7.0901033973412115</v>
      </c>
      <c r="S63" s="57">
        <v>18765</v>
      </c>
      <c r="T63" s="184">
        <f>S63/S68*100</f>
        <v>6.1215502055196716</v>
      </c>
      <c r="U63" s="57">
        <v>675</v>
      </c>
      <c r="V63" s="184">
        <f>U63/U68*100</f>
        <v>0.19901817699349875</v>
      </c>
      <c r="W63" s="57">
        <v>6930</v>
      </c>
      <c r="X63" s="184">
        <f>W63/W68*100</f>
        <v>2.1397804640822566</v>
      </c>
      <c r="Y63" s="57">
        <v>3285</v>
      </c>
      <c r="Z63" s="89">
        <f>Y63/Y68*100</f>
        <v>1.2739965095986039</v>
      </c>
      <c r="AA63" s="52">
        <f t="shared" si="7"/>
        <v>163395</v>
      </c>
      <c r="AB63" s="85">
        <f>AA63/AA68*100</f>
        <v>4.4295072767862589</v>
      </c>
    </row>
    <row r="64" spans="1:30" ht="14.1" customHeight="1" x14ac:dyDescent="0.25">
      <c r="A64" s="76" t="s">
        <v>58</v>
      </c>
      <c r="B64" s="57">
        <v>30150</v>
      </c>
      <c r="C64" s="144">
        <f>B64/B68*100</f>
        <v>11.814494798095573</v>
      </c>
      <c r="D64" s="57">
        <v>102645</v>
      </c>
      <c r="E64" s="144">
        <f>D64/D68*100</f>
        <v>26.734646038443504</v>
      </c>
      <c r="F64" s="57">
        <f>450+66195</f>
        <v>66645</v>
      </c>
      <c r="G64" s="144">
        <f>F64/F68*100</f>
        <v>19.094894275399689</v>
      </c>
      <c r="H64" s="57">
        <v>115290</v>
      </c>
      <c r="I64" s="144">
        <f>H64/H68*100</f>
        <v>29.014722536806342</v>
      </c>
      <c r="J64" s="146">
        <v>40410</v>
      </c>
      <c r="K64" s="184">
        <f>J64/J68*100</f>
        <v>14.303918445364767</v>
      </c>
      <c r="L64" s="57">
        <v>12060</v>
      </c>
      <c r="M64" s="184">
        <f>L64/L68*100</f>
        <v>5.0121563493547789</v>
      </c>
      <c r="N64" s="146">
        <v>9900</v>
      </c>
      <c r="O64" s="89">
        <f>N64/N68*100</f>
        <v>3.2037279743701763</v>
      </c>
      <c r="P64" s="319"/>
      <c r="Q64" s="57">
        <v>12825</v>
      </c>
      <c r="R64" s="144">
        <f>Q64/Q68*100</f>
        <v>5.2621861152141802</v>
      </c>
      <c r="S64" s="57">
        <v>9315</v>
      </c>
      <c r="T64" s="184">
        <f>S64/S68*100</f>
        <v>3.038755137991779</v>
      </c>
      <c r="U64" s="57">
        <v>25560</v>
      </c>
      <c r="V64" s="184">
        <f>U64/U68*100</f>
        <v>7.536154968820485</v>
      </c>
      <c r="W64" s="57">
        <v>10350</v>
      </c>
      <c r="X64" s="184">
        <f>W64/W68*100</f>
        <v>3.1957760177851879</v>
      </c>
      <c r="Y64" s="57">
        <v>30015</v>
      </c>
      <c r="Z64" s="89">
        <f>Y64/Y68*100</f>
        <v>11.640488656195462</v>
      </c>
      <c r="AA64" s="52">
        <f t="shared" si="7"/>
        <v>465165</v>
      </c>
      <c r="AB64" s="85">
        <f>AA64/AA68*100</f>
        <v>12.610249716370026</v>
      </c>
    </row>
    <row r="65" spans="1:30" ht="14.1" customHeight="1" x14ac:dyDescent="0.25">
      <c r="A65" s="76" t="s">
        <v>66</v>
      </c>
      <c r="B65" s="57">
        <v>24570</v>
      </c>
      <c r="C65" s="144">
        <f>B65/B68*100</f>
        <v>9.627931581731616</v>
      </c>
      <c r="D65" s="57">
        <v>59805</v>
      </c>
      <c r="E65" s="144">
        <f>D65/D68*100</f>
        <v>15.576652601969057</v>
      </c>
      <c r="F65" s="57">
        <v>73845</v>
      </c>
      <c r="G65" s="144">
        <f>F65/F68*100</f>
        <v>21.157813305827748</v>
      </c>
      <c r="H65" s="57">
        <v>58860</v>
      </c>
      <c r="I65" s="144">
        <f>H65/H68*100</f>
        <v>14.813137032842583</v>
      </c>
      <c r="J65" s="146">
        <v>59220</v>
      </c>
      <c r="K65" s="184">
        <f>J65/J68*100</f>
        <v>20.962089837527877</v>
      </c>
      <c r="L65" s="57">
        <v>67815</v>
      </c>
      <c r="M65" s="184">
        <f>L65/L68*100</f>
        <v>28.184028427155418</v>
      </c>
      <c r="N65" s="146">
        <v>84240</v>
      </c>
      <c r="O65" s="89">
        <f>N65/N68*100</f>
        <v>27.260812581913502</v>
      </c>
      <c r="P65" s="319"/>
      <c r="Q65" s="57">
        <v>43245</v>
      </c>
      <c r="R65" s="144">
        <f>Q65/Q68*100</f>
        <v>17.743722304283605</v>
      </c>
      <c r="S65" s="57">
        <v>66825</v>
      </c>
      <c r="T65" s="184">
        <f>S65/S68*100</f>
        <v>21.79976512037581</v>
      </c>
      <c r="U65" s="57">
        <v>63855</v>
      </c>
      <c r="V65" s="184">
        <f>U65/U68*100</f>
        <v>18.827119543584981</v>
      </c>
      <c r="W65" s="57">
        <v>56610</v>
      </c>
      <c r="X65" s="184">
        <f>W65/W68*100</f>
        <v>17.479505349451159</v>
      </c>
      <c r="Y65" s="57">
        <v>66195</v>
      </c>
      <c r="Z65" s="89">
        <f>Y65/Y68*100</f>
        <v>25.67190226876091</v>
      </c>
      <c r="AA65" s="52">
        <f t="shared" si="7"/>
        <v>725085</v>
      </c>
      <c r="AB65" s="85">
        <f>AA65/AA68*100</f>
        <v>19.656472253058936</v>
      </c>
    </row>
    <row r="66" spans="1:30" ht="14.1" customHeight="1" x14ac:dyDescent="0.25">
      <c r="A66" s="76" t="s">
        <v>59</v>
      </c>
      <c r="B66" s="57">
        <v>180315</v>
      </c>
      <c r="C66" s="144">
        <f>B66/B68*100</f>
        <v>70.657732322341744</v>
      </c>
      <c r="D66" s="57">
        <v>161550</v>
      </c>
      <c r="E66" s="144">
        <f>D66/D68*100</f>
        <v>42.076887013595879</v>
      </c>
      <c r="F66" s="57">
        <v>108945</v>
      </c>
      <c r="G66" s="144">
        <f>F66/F68*100</f>
        <v>31.214543579164516</v>
      </c>
      <c r="H66" s="57">
        <v>111870</v>
      </c>
      <c r="I66" s="144">
        <f>H66/H68*100</f>
        <v>28.154020385050966</v>
      </c>
      <c r="J66" s="146">
        <v>114435</v>
      </c>
      <c r="K66" s="184">
        <f>J66/J68*100</f>
        <v>40.506530742274613</v>
      </c>
      <c r="L66" s="57">
        <f>112050+1575</f>
        <v>113625</v>
      </c>
      <c r="M66" s="184">
        <f>L66/L68*100</f>
        <v>47.222741724331399</v>
      </c>
      <c r="N66" s="146">
        <v>157815</v>
      </c>
      <c r="O66" s="89">
        <f>N66/N68*100</f>
        <v>51.070336391437309</v>
      </c>
      <c r="P66" s="319"/>
      <c r="Q66" s="57">
        <v>131490</v>
      </c>
      <c r="R66" s="144">
        <f>Q66/Q68*100</f>
        <v>53.951255539143283</v>
      </c>
      <c r="S66" s="57">
        <v>168705</v>
      </c>
      <c r="T66" s="184">
        <f>S66/S68*100</f>
        <v>55.035231943628894</v>
      </c>
      <c r="U66" s="57">
        <v>178200</v>
      </c>
      <c r="V66" s="184">
        <f>U66/U68*100</f>
        <v>52.540798726283668</v>
      </c>
      <c r="W66" s="57">
        <f>139005+7200</f>
        <v>146205</v>
      </c>
      <c r="X66" s="184">
        <f>W66/W68*100</f>
        <v>45.143809920800329</v>
      </c>
      <c r="Y66" s="57">
        <v>111420</v>
      </c>
      <c r="Z66" s="89">
        <f>Y66/Y68*100</f>
        <v>43.211169284467715</v>
      </c>
      <c r="AA66" s="52">
        <f t="shared" si="7"/>
        <v>1684575</v>
      </c>
      <c r="AB66" s="85">
        <f>AA66/AA68*100</f>
        <v>45.667475876203142</v>
      </c>
    </row>
    <row r="67" spans="1:30" ht="14.1" customHeight="1" x14ac:dyDescent="0.25">
      <c r="A67" s="76" t="s">
        <v>56</v>
      </c>
      <c r="B67" s="57">
        <v>1125</v>
      </c>
      <c r="C67" s="144">
        <f>B67/B68*100</f>
        <v>0.4408393581378946</v>
      </c>
      <c r="D67" s="57">
        <v>1350</v>
      </c>
      <c r="E67" s="144">
        <f>D67/D68*100</f>
        <v>0.35161744022503516</v>
      </c>
      <c r="F67" s="57"/>
      <c r="G67" s="144"/>
      <c r="H67" s="57"/>
      <c r="I67" s="144"/>
      <c r="J67" s="146"/>
      <c r="K67" s="184"/>
      <c r="L67" s="57"/>
      <c r="M67" s="184"/>
      <c r="N67" s="146"/>
      <c r="O67" s="89"/>
      <c r="P67" s="319"/>
      <c r="Q67" s="57"/>
      <c r="R67" s="144"/>
      <c r="S67" s="57"/>
      <c r="T67" s="184"/>
      <c r="U67" s="57"/>
      <c r="V67" s="184"/>
      <c r="W67" s="57"/>
      <c r="X67" s="184"/>
      <c r="Y67" s="57"/>
      <c r="Z67" s="89"/>
      <c r="AA67" s="52">
        <f>B67+D67</f>
        <v>2475</v>
      </c>
      <c r="AB67" s="85">
        <f>AA67/AA68*100</f>
        <v>6.7095263074426953E-2</v>
      </c>
    </row>
    <row r="68" spans="1:30" s="69" customFormat="1" ht="14.1" customHeight="1" x14ac:dyDescent="0.25">
      <c r="A68" s="67" t="s">
        <v>72</v>
      </c>
      <c r="B68" s="70">
        <f t="shared" ref="B68:J68" si="8">SUM(B57:B67)</f>
        <v>255195</v>
      </c>
      <c r="C68" s="92">
        <f t="shared" si="8"/>
        <v>100</v>
      </c>
      <c r="D68" s="70">
        <f t="shared" si="8"/>
        <v>383940</v>
      </c>
      <c r="E68" s="188">
        <f t="shared" si="8"/>
        <v>100.00000000000001</v>
      </c>
      <c r="F68" s="70">
        <f t="shared" si="8"/>
        <v>349020</v>
      </c>
      <c r="G68" s="92">
        <f t="shared" si="8"/>
        <v>99.999999999999986</v>
      </c>
      <c r="H68" s="70">
        <f t="shared" si="8"/>
        <v>397350</v>
      </c>
      <c r="I68" s="92">
        <f t="shared" si="8"/>
        <v>100.00000000000001</v>
      </c>
      <c r="J68" s="70">
        <f t="shared" si="8"/>
        <v>282510</v>
      </c>
      <c r="K68" s="185">
        <f>SUM(K57:K66)</f>
        <v>100</v>
      </c>
      <c r="L68" s="70">
        <f>SUM(L57:L67)</f>
        <v>240615</v>
      </c>
      <c r="M68" s="185">
        <f>SUM(M57:M66)</f>
        <v>100</v>
      </c>
      <c r="N68" s="70">
        <f>SUM(N57:N67)</f>
        <v>309015</v>
      </c>
      <c r="O68" s="92">
        <f>SUM(O57:O67)</f>
        <v>100</v>
      </c>
      <c r="P68" s="320"/>
      <c r="Q68" s="70">
        <f>SUM(Q57:Q67)</f>
        <v>243720</v>
      </c>
      <c r="R68" s="92">
        <f>SUM(R56:R66)</f>
        <v>100</v>
      </c>
      <c r="S68" s="70">
        <f>SUM(S57:S67)</f>
        <v>306540</v>
      </c>
      <c r="T68" s="92">
        <f>SUM(T57:T67)</f>
        <v>100</v>
      </c>
      <c r="U68" s="70">
        <f>SUM(U57:U67)</f>
        <v>339165</v>
      </c>
      <c r="V68" s="185">
        <f>SUM(V57:V66)</f>
        <v>100</v>
      </c>
      <c r="W68" s="70">
        <f t="shared" ref="W68:AB68" si="9">SUM(W57:W67)</f>
        <v>323865</v>
      </c>
      <c r="X68" s="185">
        <f t="shared" si="9"/>
        <v>100</v>
      </c>
      <c r="Y68" s="70">
        <f t="shared" si="9"/>
        <v>257850</v>
      </c>
      <c r="Z68" s="92">
        <f t="shared" si="9"/>
        <v>100</v>
      </c>
      <c r="AA68" s="70">
        <f t="shared" si="9"/>
        <v>3688785</v>
      </c>
      <c r="AB68" s="91">
        <f t="shared" si="9"/>
        <v>100</v>
      </c>
      <c r="AD68" s="87"/>
    </row>
    <row r="69" spans="1:30" s="69" customFormat="1" ht="14.1" customHeight="1" x14ac:dyDescent="0.25">
      <c r="A69" s="131" t="s">
        <v>77</v>
      </c>
      <c r="B69" s="145"/>
      <c r="C69" s="133"/>
      <c r="D69" s="271"/>
      <c r="E69" s="133"/>
      <c r="F69" s="135"/>
      <c r="G69" s="133"/>
      <c r="H69" s="136"/>
      <c r="I69" s="133"/>
      <c r="J69" s="137"/>
      <c r="K69" s="240"/>
      <c r="L69" s="138"/>
      <c r="M69" s="138"/>
      <c r="N69" s="124"/>
      <c r="O69" s="118"/>
      <c r="P69" s="313"/>
      <c r="Q69" s="125"/>
      <c r="R69" s="118"/>
      <c r="S69" s="126"/>
      <c r="T69" s="118"/>
      <c r="U69" s="127"/>
      <c r="V69" s="118"/>
      <c r="W69" s="128"/>
      <c r="X69" s="118"/>
      <c r="Y69" s="129"/>
      <c r="Z69" s="118"/>
      <c r="AA69" s="130"/>
      <c r="AB69" s="118"/>
    </row>
    <row r="70" spans="1:30" s="69" customFormat="1" ht="14.1" customHeight="1" x14ac:dyDescent="0.25">
      <c r="A70" s="77" t="s">
        <v>60</v>
      </c>
      <c r="B70" s="57">
        <v>1350</v>
      </c>
      <c r="C70" s="144">
        <f>B70/B72*100</f>
        <v>11.538461538461538</v>
      </c>
      <c r="D70" s="57"/>
      <c r="E70" s="144"/>
      <c r="F70" s="57"/>
      <c r="G70" s="144"/>
      <c r="H70" s="57">
        <f>1800+2250</f>
        <v>4050</v>
      </c>
      <c r="I70" s="144">
        <f>H70/H72*100</f>
        <v>26.011560693641616</v>
      </c>
      <c r="J70" s="57">
        <v>3285</v>
      </c>
      <c r="K70" s="144">
        <f>J70/J72*100</f>
        <v>13.321167883211679</v>
      </c>
      <c r="L70" s="57">
        <v>2475</v>
      </c>
      <c r="M70" s="184">
        <f>L70/L72*100</f>
        <v>9.683098591549296</v>
      </c>
      <c r="N70" s="57">
        <v>2475</v>
      </c>
      <c r="O70" s="144">
        <f>N70/N72*100</f>
        <v>6.2857142857142865</v>
      </c>
      <c r="P70" s="314"/>
      <c r="Q70" s="57"/>
      <c r="R70" s="144"/>
      <c r="S70" s="57">
        <v>1665</v>
      </c>
      <c r="T70" s="144">
        <f>S70/S72*100</f>
        <v>3.3333333333333335</v>
      </c>
      <c r="U70" s="57">
        <v>1935</v>
      </c>
      <c r="V70" s="144">
        <f>U70/U72*100</f>
        <v>8.0223880597014929</v>
      </c>
      <c r="W70" s="57"/>
      <c r="X70" s="144"/>
      <c r="Y70" s="57">
        <v>8055</v>
      </c>
      <c r="Z70" s="144">
        <f>Y70/Y72*100</f>
        <v>89.949748743718601</v>
      </c>
      <c r="AA70" s="52">
        <f>B70+H70+J70+L70+N70+S70+U70+W70+Y70</f>
        <v>25290</v>
      </c>
      <c r="AB70" s="85">
        <f>AA70/AA72*100</f>
        <v>9.6513824489094979</v>
      </c>
    </row>
    <row r="71" spans="1:30" s="69" customFormat="1" ht="14.1" customHeight="1" x14ac:dyDescent="0.25">
      <c r="A71" s="77" t="s">
        <v>86</v>
      </c>
      <c r="B71" s="57">
        <v>10350</v>
      </c>
      <c r="C71" s="144">
        <f>B71/B72*100</f>
        <v>88.461538461538453</v>
      </c>
      <c r="D71" s="57">
        <v>9225</v>
      </c>
      <c r="E71" s="144">
        <f>D71/D72*100</f>
        <v>100</v>
      </c>
      <c r="F71" s="57">
        <v>6750</v>
      </c>
      <c r="G71" s="89">
        <f>F71/F72*100</f>
        <v>100</v>
      </c>
      <c r="H71" s="57">
        <v>11520</v>
      </c>
      <c r="I71" s="144">
        <f>H71/H72*100</f>
        <v>73.988439306358373</v>
      </c>
      <c r="J71" s="57">
        <v>21375</v>
      </c>
      <c r="K71" s="144">
        <f>J71/J72*100</f>
        <v>86.678832116788314</v>
      </c>
      <c r="L71" s="57">
        <v>23085</v>
      </c>
      <c r="M71" s="184">
        <f>L71/L72*100</f>
        <v>90.316901408450704</v>
      </c>
      <c r="N71" s="57">
        <v>36900</v>
      </c>
      <c r="O71" s="144">
        <f>N71/N72*100</f>
        <v>93.714285714285722</v>
      </c>
      <c r="P71" s="314"/>
      <c r="Q71" s="57">
        <v>40995</v>
      </c>
      <c r="R71" s="144">
        <f>Q71/Q72*100</f>
        <v>100</v>
      </c>
      <c r="S71" s="57">
        <v>48285</v>
      </c>
      <c r="T71" s="144">
        <f>S71/S72*100</f>
        <v>96.666666666666671</v>
      </c>
      <c r="U71" s="57">
        <v>22185</v>
      </c>
      <c r="V71" s="144">
        <f>U71/U72*100</f>
        <v>91.977611940298516</v>
      </c>
      <c r="W71" s="57">
        <v>5175</v>
      </c>
      <c r="X71" s="144">
        <f>W71/W72*100</f>
        <v>100</v>
      </c>
      <c r="Y71" s="57">
        <v>900</v>
      </c>
      <c r="Z71" s="144">
        <f>Y71/Y72*100</f>
        <v>10.050251256281408</v>
      </c>
      <c r="AA71" s="52">
        <f>B71+D71+F71+H71+J71+L71+N71+Q71+S71+U71+W71+Y71</f>
        <v>236745</v>
      </c>
      <c r="AB71" s="85">
        <f>AA71/AA72*100</f>
        <v>90.348617551090499</v>
      </c>
    </row>
    <row r="72" spans="1:30" s="69" customFormat="1" ht="14.1" customHeight="1" x14ac:dyDescent="0.25">
      <c r="A72" s="67" t="s">
        <v>72</v>
      </c>
      <c r="B72" s="70">
        <f>SUM(B70:B71)</f>
        <v>11700</v>
      </c>
      <c r="C72" s="92">
        <f t="shared" ref="C72:I72" si="10">SUM(C70:C71)</f>
        <v>99.999999999999986</v>
      </c>
      <c r="D72" s="70">
        <f>SUM(D70:D71)</f>
        <v>9225</v>
      </c>
      <c r="E72" s="92">
        <f>SUM(E70:E71)</f>
        <v>100</v>
      </c>
      <c r="F72" s="70">
        <f>SUM(F70:F71)</f>
        <v>6750</v>
      </c>
      <c r="G72" s="92">
        <f t="shared" si="10"/>
        <v>100</v>
      </c>
      <c r="H72" s="70">
        <f>SUM(H70:H71)</f>
        <v>15570</v>
      </c>
      <c r="I72" s="92">
        <f t="shared" si="10"/>
        <v>99.999999999999986</v>
      </c>
      <c r="J72" s="70">
        <f>SUM(J70:J71)</f>
        <v>24660</v>
      </c>
      <c r="K72" s="92">
        <f>SUM(K70:K71)</f>
        <v>100</v>
      </c>
      <c r="L72" s="70">
        <f>SUM(L70:L71)</f>
        <v>25560</v>
      </c>
      <c r="M72" s="185">
        <f>SUM(M70:M71)</f>
        <v>100</v>
      </c>
      <c r="N72" s="70">
        <f>SUM(N70:N71)</f>
        <v>39375</v>
      </c>
      <c r="O72" s="92">
        <f t="shared" ref="O72:V72" si="11">SUM(O70:O71)</f>
        <v>100.00000000000001</v>
      </c>
      <c r="P72" s="320"/>
      <c r="Q72" s="70">
        <f>SUM(Q70:Q71)</f>
        <v>40995</v>
      </c>
      <c r="R72" s="92">
        <f t="shared" si="11"/>
        <v>100</v>
      </c>
      <c r="S72" s="70">
        <f>SUM(S70:S71)</f>
        <v>49950</v>
      </c>
      <c r="T72" s="92">
        <f t="shared" si="11"/>
        <v>100</v>
      </c>
      <c r="U72" s="70">
        <f>SUM(U70:U71)</f>
        <v>24120</v>
      </c>
      <c r="V72" s="92">
        <f t="shared" si="11"/>
        <v>100.00000000000001</v>
      </c>
      <c r="W72" s="70">
        <f t="shared" ref="W72:Z72" si="12">SUM(W70:W71)</f>
        <v>5175</v>
      </c>
      <c r="X72" s="92">
        <f t="shared" si="12"/>
        <v>100</v>
      </c>
      <c r="Y72" s="70">
        <f>SUM(Y70:Y71)</f>
        <v>8955</v>
      </c>
      <c r="Z72" s="92">
        <f t="shared" si="12"/>
        <v>100.00000000000001</v>
      </c>
      <c r="AA72" s="70">
        <f>SUM(AA70:AA71)</f>
        <v>262035</v>
      </c>
      <c r="AB72" s="92">
        <f>SUM(AB70:AB71)</f>
        <v>100</v>
      </c>
      <c r="AD72" s="87"/>
    </row>
    <row r="73" spans="1:30" s="69" customFormat="1" ht="14.1" customHeight="1" x14ac:dyDescent="0.25">
      <c r="A73" s="79"/>
      <c r="B73" s="83"/>
      <c r="C73" s="93"/>
      <c r="D73" s="83"/>
      <c r="E73" s="93"/>
      <c r="F73" s="83"/>
      <c r="G73" s="93"/>
      <c r="H73" s="83"/>
      <c r="I73" s="93"/>
      <c r="J73" s="241"/>
      <c r="K73" s="93"/>
      <c r="L73" s="83"/>
      <c r="M73" s="93"/>
      <c r="N73" s="83"/>
      <c r="O73" s="93"/>
      <c r="P73" s="93"/>
      <c r="Q73" s="83"/>
      <c r="R73" s="93"/>
      <c r="S73" s="83"/>
      <c r="T73" s="93"/>
      <c r="U73" s="83"/>
      <c r="V73" s="93"/>
      <c r="W73" s="83"/>
      <c r="X73" s="93"/>
      <c r="Y73" s="83"/>
      <c r="Z73" s="93"/>
      <c r="AA73" s="83"/>
      <c r="AB73" s="101"/>
    </row>
    <row r="74" spans="1:30" s="69" customFormat="1" ht="14.1" customHeight="1" x14ac:dyDescent="0.25">
      <c r="A74" s="82"/>
      <c r="B74" s="207"/>
      <c r="C74" s="93"/>
      <c r="D74" s="83"/>
      <c r="F74" s="222"/>
      <c r="G74" s="93"/>
      <c r="H74" s="83"/>
      <c r="I74" s="93"/>
      <c r="J74" s="83"/>
      <c r="K74" s="93"/>
      <c r="L74" s="83"/>
      <c r="M74" s="93"/>
      <c r="N74" s="83"/>
      <c r="O74" s="93"/>
      <c r="P74" s="93"/>
      <c r="Q74" s="83"/>
      <c r="R74" s="93"/>
      <c r="S74" s="83"/>
      <c r="T74" s="93"/>
      <c r="U74" s="83"/>
      <c r="V74" s="93"/>
      <c r="W74" s="83"/>
      <c r="X74" s="93"/>
      <c r="Y74" s="83"/>
      <c r="Z74" s="93"/>
      <c r="AA74" s="83"/>
      <c r="AB74" s="102"/>
    </row>
    <row r="75" spans="1:30" s="69" customFormat="1" ht="14.1" customHeight="1" x14ac:dyDescent="0.25">
      <c r="A75" s="82"/>
      <c r="B75" s="207"/>
      <c r="C75" s="93"/>
      <c r="D75" s="83"/>
      <c r="F75" s="222"/>
      <c r="G75" s="93"/>
      <c r="H75" s="83"/>
      <c r="I75" s="93"/>
      <c r="J75" s="83"/>
      <c r="K75" s="93"/>
      <c r="L75" s="83"/>
      <c r="M75" s="93"/>
      <c r="N75" s="83"/>
      <c r="O75" s="93"/>
      <c r="P75" s="93"/>
      <c r="Q75" s="83"/>
      <c r="R75" s="93"/>
      <c r="S75" s="83"/>
      <c r="T75" s="93"/>
      <c r="U75" s="83"/>
      <c r="V75" s="93"/>
      <c r="W75" s="83"/>
      <c r="X75" s="93"/>
      <c r="Y75" s="83"/>
      <c r="Z75" s="93"/>
      <c r="AA75" s="83"/>
      <c r="AB75" s="102"/>
    </row>
    <row r="76" spans="1:30" s="69" customFormat="1" ht="14.1" customHeight="1" x14ac:dyDescent="0.25">
      <c r="A76" s="190" t="s">
        <v>122</v>
      </c>
      <c r="B76" s="207"/>
      <c r="C76" s="93"/>
      <c r="D76" s="83"/>
      <c r="F76" s="222"/>
      <c r="G76" s="93"/>
      <c r="H76" s="83"/>
      <c r="I76" s="93"/>
      <c r="J76" s="83"/>
      <c r="K76" s="93"/>
      <c r="L76" s="83"/>
      <c r="M76" s="93"/>
      <c r="N76" s="83"/>
      <c r="O76" s="93"/>
      <c r="P76" s="93"/>
      <c r="Q76" s="83"/>
      <c r="R76" s="93"/>
      <c r="S76" s="83"/>
      <c r="T76" s="93"/>
      <c r="U76" s="83"/>
      <c r="V76" s="93"/>
      <c r="W76" s="83"/>
      <c r="X76" s="93"/>
      <c r="Y76" s="83"/>
      <c r="Z76" s="93"/>
      <c r="AA76" s="83"/>
      <c r="AB76" s="102"/>
    </row>
    <row r="77" spans="1:30" s="69" customFormat="1" ht="14.25" customHeight="1" x14ac:dyDescent="0.25">
      <c r="A77" s="342" t="s">
        <v>39</v>
      </c>
      <c r="B77" s="344" t="s">
        <v>21</v>
      </c>
      <c r="C77" s="345"/>
      <c r="D77" s="346" t="s">
        <v>22</v>
      </c>
      <c r="E77" s="347"/>
      <c r="F77" s="348" t="s">
        <v>23</v>
      </c>
      <c r="G77" s="349"/>
      <c r="H77" s="350" t="s">
        <v>24</v>
      </c>
      <c r="I77" s="351"/>
      <c r="J77" s="352" t="s">
        <v>25</v>
      </c>
      <c r="K77" s="353"/>
      <c r="L77" s="354" t="s">
        <v>40</v>
      </c>
      <c r="M77" s="355"/>
      <c r="N77" s="356" t="s">
        <v>27</v>
      </c>
      <c r="O77" s="357"/>
      <c r="P77" s="326"/>
      <c r="Q77" s="358" t="s">
        <v>37</v>
      </c>
      <c r="R77" s="359"/>
      <c r="S77" s="360" t="s">
        <v>28</v>
      </c>
      <c r="T77" s="361"/>
      <c r="U77" s="362" t="s">
        <v>29</v>
      </c>
      <c r="V77" s="363"/>
      <c r="W77" s="364" t="s">
        <v>30</v>
      </c>
      <c r="X77" s="365"/>
      <c r="Y77" s="338" t="s">
        <v>38</v>
      </c>
      <c r="Z77" s="339"/>
      <c r="AA77" s="340" t="s">
        <v>20</v>
      </c>
      <c r="AB77" s="341"/>
    </row>
    <row r="78" spans="1:30" s="69" customFormat="1" ht="14.1" customHeight="1" x14ac:dyDescent="0.25">
      <c r="A78" s="343"/>
      <c r="B78" s="140" t="s">
        <v>73</v>
      </c>
      <c r="C78" s="141" t="s">
        <v>79</v>
      </c>
      <c r="D78" s="140" t="s">
        <v>73</v>
      </c>
      <c r="E78" s="141" t="s">
        <v>79</v>
      </c>
      <c r="F78" s="140" t="s">
        <v>73</v>
      </c>
      <c r="G78" s="141" t="s">
        <v>79</v>
      </c>
      <c r="H78" s="140" t="s">
        <v>73</v>
      </c>
      <c r="I78" s="141" t="s">
        <v>79</v>
      </c>
      <c r="J78" s="140" t="s">
        <v>73</v>
      </c>
      <c r="K78" s="141" t="s">
        <v>79</v>
      </c>
      <c r="L78" s="140" t="s">
        <v>73</v>
      </c>
      <c r="M78" s="141" t="s">
        <v>79</v>
      </c>
      <c r="N78" s="140" t="s">
        <v>73</v>
      </c>
      <c r="O78" s="141" t="s">
        <v>79</v>
      </c>
      <c r="P78" s="312"/>
      <c r="Q78" s="140" t="s">
        <v>73</v>
      </c>
      <c r="R78" s="141" t="s">
        <v>79</v>
      </c>
      <c r="S78" s="140" t="s">
        <v>73</v>
      </c>
      <c r="T78" s="141" t="s">
        <v>79</v>
      </c>
      <c r="U78" s="140" t="s">
        <v>73</v>
      </c>
      <c r="V78" s="141" t="s">
        <v>79</v>
      </c>
      <c r="W78" s="140" t="s">
        <v>73</v>
      </c>
      <c r="X78" s="141" t="s">
        <v>79</v>
      </c>
      <c r="Y78" s="140" t="s">
        <v>73</v>
      </c>
      <c r="Z78" s="141" t="s">
        <v>79</v>
      </c>
      <c r="AA78" s="142" t="s">
        <v>73</v>
      </c>
      <c r="AB78" s="141" t="s">
        <v>79</v>
      </c>
    </row>
    <row r="79" spans="1:30" s="69" customFormat="1" ht="15.75" x14ac:dyDescent="0.25">
      <c r="A79" s="139" t="s">
        <v>93</v>
      </c>
      <c r="B79" s="132"/>
      <c r="C79" s="133"/>
      <c r="D79" s="134"/>
      <c r="E79" s="133"/>
      <c r="F79" s="135"/>
      <c r="G79" s="133"/>
      <c r="H79" s="136"/>
      <c r="I79" s="133"/>
      <c r="J79" s="137"/>
      <c r="K79" s="133"/>
      <c r="L79" s="138"/>
      <c r="M79" s="138"/>
      <c r="N79" s="124"/>
      <c r="O79" s="118"/>
      <c r="P79" s="313"/>
      <c r="Q79" s="125"/>
      <c r="R79" s="118"/>
      <c r="S79" s="126"/>
      <c r="T79" s="118"/>
      <c r="U79" s="127"/>
      <c r="V79" s="118"/>
      <c r="W79" s="128"/>
      <c r="X79" s="118"/>
      <c r="Y79" s="129"/>
      <c r="Z79" s="118"/>
      <c r="AA79" s="130"/>
      <c r="AB79" s="118"/>
    </row>
    <row r="80" spans="1:30" s="69" customFormat="1" x14ac:dyDescent="0.25">
      <c r="A80" s="77" t="s">
        <v>110</v>
      </c>
      <c r="B80" s="71">
        <v>900</v>
      </c>
      <c r="C80" s="144">
        <f>B80/B81*100</f>
        <v>100</v>
      </c>
      <c r="D80" s="71">
        <v>900</v>
      </c>
      <c r="E80" s="144">
        <f>D80/D81*100</f>
        <v>100</v>
      </c>
      <c r="F80" s="71">
        <v>4365</v>
      </c>
      <c r="G80" s="144">
        <f>F80/F81*100</f>
        <v>100</v>
      </c>
      <c r="H80" s="71">
        <v>5625</v>
      </c>
      <c r="I80" s="144">
        <f>H80/H81*100</f>
        <v>100</v>
      </c>
      <c r="J80" s="71"/>
      <c r="K80" s="144"/>
      <c r="L80" s="71">
        <v>8550</v>
      </c>
      <c r="M80" s="144">
        <f>L80/L81*100</f>
        <v>100</v>
      </c>
      <c r="N80" s="71">
        <v>3420</v>
      </c>
      <c r="O80" s="85">
        <f>N80/N81*100</f>
        <v>100</v>
      </c>
      <c r="P80" s="321"/>
      <c r="Q80" s="71">
        <v>9585</v>
      </c>
      <c r="R80" s="144">
        <f>Q80/Q81*100</f>
        <v>100</v>
      </c>
      <c r="S80" s="71">
        <v>13005</v>
      </c>
      <c r="T80" s="144">
        <f>S80/S81*100</f>
        <v>100</v>
      </c>
      <c r="U80" s="71">
        <v>25785</v>
      </c>
      <c r="V80" s="144">
        <f>U80/U81*100</f>
        <v>100</v>
      </c>
      <c r="W80" s="71">
        <v>20025</v>
      </c>
      <c r="X80" s="144">
        <f>W80/W81*100</f>
        <v>100</v>
      </c>
      <c r="Y80" s="71">
        <v>32175</v>
      </c>
      <c r="Z80" s="144">
        <f>Y80/Y81*100</f>
        <v>100</v>
      </c>
      <c r="AA80" s="52">
        <f>B80+D80+F80+H80+L80+N80+Q80+S80+U80+W80+Y80</f>
        <v>124335</v>
      </c>
      <c r="AB80" s="85">
        <f>AA80/AA81*100</f>
        <v>100</v>
      </c>
    </row>
    <row r="81" spans="1:31" s="69" customFormat="1" x14ac:dyDescent="0.25">
      <c r="A81" s="67" t="s">
        <v>72</v>
      </c>
      <c r="B81" s="70">
        <f>SUM(B80:B80)</f>
        <v>900</v>
      </c>
      <c r="C81" s="92">
        <f>SUM(C79:C80)</f>
        <v>100</v>
      </c>
      <c r="D81" s="70">
        <f>SUM(D80:D80)</f>
        <v>900</v>
      </c>
      <c r="E81" s="92">
        <f>SUM(E80:E80)</f>
        <v>100</v>
      </c>
      <c r="F81" s="70">
        <f>SUM(F80:F80)</f>
        <v>4365</v>
      </c>
      <c r="G81" s="92">
        <f>SUM(G79:G80)</f>
        <v>100</v>
      </c>
      <c r="H81" s="70">
        <f>SUM(H80:H80)</f>
        <v>5625</v>
      </c>
      <c r="I81" s="92">
        <f>SUM(I79:I80)</f>
        <v>100</v>
      </c>
      <c r="J81" s="70"/>
      <c r="K81" s="92"/>
      <c r="L81" s="84">
        <f>SUM(L80:L80)</f>
        <v>8550</v>
      </c>
      <c r="M81" s="188">
        <f>SUM(M80:M80)</f>
        <v>100</v>
      </c>
      <c r="N81" s="70">
        <f>SUM(N80:N80)</f>
        <v>3420</v>
      </c>
      <c r="O81" s="92">
        <f>SUM(O80:O80)</f>
        <v>100</v>
      </c>
      <c r="P81" s="320"/>
      <c r="Q81" s="70">
        <f>SUM(Q80:Q80)</f>
        <v>9585</v>
      </c>
      <c r="R81" s="92">
        <f>SUM(R79:R80)</f>
        <v>100</v>
      </c>
      <c r="S81" s="70">
        <f>SUM(S80:S80)</f>
        <v>13005</v>
      </c>
      <c r="T81" s="92">
        <f>SUM(T79:T80)</f>
        <v>100</v>
      </c>
      <c r="U81" s="70">
        <f>SUM(U80:U80)</f>
        <v>25785</v>
      </c>
      <c r="V81" s="92">
        <f>SUM(V80:V80)</f>
        <v>100</v>
      </c>
      <c r="W81" s="70">
        <f>SUM(W80:W80)</f>
        <v>20025</v>
      </c>
      <c r="X81" s="92">
        <f>SUM(X79:X80)</f>
        <v>100</v>
      </c>
      <c r="Y81" s="70">
        <f>SUM(Y80:Y80)</f>
        <v>32175</v>
      </c>
      <c r="Z81" s="92">
        <f>SUM(Z79:Z80)</f>
        <v>100</v>
      </c>
      <c r="AA81" s="70">
        <f>SUM(AA80:AA80)</f>
        <v>124335</v>
      </c>
      <c r="AB81" s="92">
        <f>SUM(AB79:AB80)</f>
        <v>100</v>
      </c>
      <c r="AD81" s="87"/>
    </row>
    <row r="82" spans="1:31" ht="15.75" x14ac:dyDescent="0.25">
      <c r="A82" s="116" t="s">
        <v>64</v>
      </c>
      <c r="B82" s="117"/>
      <c r="C82" s="118"/>
      <c r="D82" s="119"/>
      <c r="E82" s="118"/>
      <c r="F82" s="120"/>
      <c r="G82" s="118"/>
      <c r="H82" s="121"/>
      <c r="I82" s="118"/>
      <c r="J82" s="122"/>
      <c r="K82" s="118"/>
      <c r="L82" s="123"/>
      <c r="M82" s="123"/>
      <c r="N82" s="124"/>
      <c r="O82" s="118"/>
      <c r="P82" s="313"/>
      <c r="Q82" s="125"/>
      <c r="R82" s="118"/>
      <c r="S82" s="126"/>
      <c r="T82" s="118"/>
      <c r="U82" s="127"/>
      <c r="V82" s="118"/>
      <c r="W82" s="128"/>
      <c r="X82" s="118"/>
      <c r="Y82" s="129"/>
      <c r="Z82" s="118"/>
      <c r="AA82" s="130"/>
      <c r="AB82" s="118"/>
    </row>
    <row r="83" spans="1:31" x14ac:dyDescent="0.25">
      <c r="A83" s="77" t="s">
        <v>131</v>
      </c>
      <c r="B83" s="57"/>
      <c r="C83" s="191"/>
      <c r="D83" s="192"/>
      <c r="E83" s="191"/>
      <c r="F83" s="193"/>
      <c r="G83" s="191"/>
      <c r="H83" s="194"/>
      <c r="I83" s="191"/>
      <c r="J83" s="195">
        <v>900</v>
      </c>
      <c r="K83" s="197">
        <f>J83/J87*100</f>
        <v>100</v>
      </c>
      <c r="L83" s="62"/>
      <c r="M83" s="62"/>
      <c r="N83" s="63"/>
      <c r="O83" s="197"/>
      <c r="P83" s="322"/>
      <c r="Q83" s="64"/>
      <c r="R83" s="191"/>
      <c r="S83" s="196">
        <v>450</v>
      </c>
      <c r="T83" s="197">
        <f>S83/S87*100</f>
        <v>100</v>
      </c>
      <c r="U83" s="65"/>
      <c r="V83" s="144"/>
      <c r="W83" s="66"/>
      <c r="X83" s="191"/>
      <c r="Y83" s="109"/>
      <c r="Z83" s="197">
        <f>Y83/Y87*100</f>
        <v>0</v>
      </c>
      <c r="AA83" s="52">
        <f>J83+S83</f>
        <v>1350</v>
      </c>
      <c r="AB83" s="197">
        <f>AA83/AA87*100</f>
        <v>11.857707509881422</v>
      </c>
    </row>
    <row r="84" spans="1:31" x14ac:dyDescent="0.25">
      <c r="A84" s="77" t="s">
        <v>87</v>
      </c>
      <c r="B84" s="57">
        <v>1755</v>
      </c>
      <c r="C84" s="144">
        <f>B84/B87*100</f>
        <v>72.222222222222214</v>
      </c>
      <c r="D84" s="57">
        <v>540</v>
      </c>
      <c r="E84" s="144">
        <f>D84/D87*100</f>
        <v>100</v>
      </c>
      <c r="F84" s="57"/>
      <c r="G84" s="144"/>
      <c r="H84" s="57"/>
      <c r="I84" s="144"/>
      <c r="J84" s="57"/>
      <c r="K84" s="184"/>
      <c r="L84" s="57">
        <v>3690</v>
      </c>
      <c r="M84" s="144">
        <f>L84/L87*100</f>
        <v>100</v>
      </c>
      <c r="N84" s="57">
        <v>1575</v>
      </c>
      <c r="O84" s="144">
        <f>N84/N87*100</f>
        <v>100</v>
      </c>
      <c r="P84" s="314"/>
      <c r="Q84" s="57">
        <v>675</v>
      </c>
      <c r="R84" s="144">
        <f>Q84/Q87*100</f>
        <v>100</v>
      </c>
      <c r="S84" s="57"/>
      <c r="T84" s="144"/>
      <c r="U84" s="57"/>
      <c r="V84" s="144"/>
      <c r="W84" s="57"/>
      <c r="X84" s="144"/>
      <c r="Y84" s="57">
        <v>360</v>
      </c>
      <c r="Z84" s="144">
        <f>Y84/Y87*100</f>
        <v>32</v>
      </c>
      <c r="AA84" s="52">
        <f>B84+D84+L84+N84+Q84+Y84</f>
        <v>8595</v>
      </c>
      <c r="AB84" s="85">
        <f>AA84/AA87*100</f>
        <v>75.494071146245062</v>
      </c>
    </row>
    <row r="85" spans="1:31" x14ac:dyDescent="0.25">
      <c r="A85" s="228" t="s">
        <v>133</v>
      </c>
      <c r="B85" s="249"/>
      <c r="C85" s="250"/>
      <c r="D85" s="249"/>
      <c r="E85" s="250"/>
      <c r="F85" s="249"/>
      <c r="G85" s="250"/>
      <c r="H85" s="57"/>
      <c r="I85" s="89"/>
      <c r="J85" s="230"/>
      <c r="K85" s="244"/>
      <c r="L85" s="230"/>
      <c r="M85" s="230"/>
      <c r="N85" s="230"/>
      <c r="O85" s="229"/>
      <c r="P85" s="300"/>
      <c r="Q85" s="230"/>
      <c r="R85" s="229"/>
      <c r="S85" s="230"/>
      <c r="T85" s="229"/>
      <c r="U85" s="230"/>
      <c r="V85" s="229"/>
      <c r="W85" s="230"/>
      <c r="X85" s="229"/>
      <c r="Y85" s="57">
        <v>765</v>
      </c>
      <c r="Z85" s="144">
        <f>Y85/Y87*100</f>
        <v>68</v>
      </c>
      <c r="AA85" s="52">
        <f>Y85</f>
        <v>765</v>
      </c>
      <c r="AB85" s="85">
        <f>AA85/AA87*100</f>
        <v>6.7193675889328066</v>
      </c>
    </row>
    <row r="86" spans="1:31" x14ac:dyDescent="0.25">
      <c r="A86" s="77" t="s">
        <v>90</v>
      </c>
      <c r="B86" s="57">
        <v>675</v>
      </c>
      <c r="C86" s="144">
        <f>B86/B87*100</f>
        <v>27.777777777777779</v>
      </c>
      <c r="D86" s="57"/>
      <c r="E86" s="144"/>
      <c r="F86" s="57"/>
      <c r="G86" s="90"/>
      <c r="H86" s="57"/>
      <c r="I86" s="144"/>
      <c r="J86" s="57"/>
      <c r="K86" s="184"/>
      <c r="L86" s="57"/>
      <c r="M86" s="144"/>
      <c r="N86" s="57"/>
      <c r="O86" s="90"/>
      <c r="P86" s="323"/>
      <c r="Q86" s="57"/>
      <c r="R86" s="90"/>
      <c r="S86" s="57"/>
      <c r="T86" s="90"/>
      <c r="U86" s="57"/>
      <c r="V86" s="90"/>
      <c r="W86" s="57"/>
      <c r="X86" s="144"/>
      <c r="Y86" s="57"/>
      <c r="Z86" s="144">
        <f>Y86/Y87*100</f>
        <v>0</v>
      </c>
      <c r="AA86" s="52">
        <f>B86+D86+F86+H86+J86+L86+N86+Q86+S86+U86+W86+Y86</f>
        <v>675</v>
      </c>
      <c r="AB86" s="85">
        <f>AA86/AA87*100</f>
        <v>5.928853754940711</v>
      </c>
    </row>
    <row r="87" spans="1:31" s="69" customFormat="1" x14ac:dyDescent="0.25">
      <c r="A87" s="67" t="s">
        <v>72</v>
      </c>
      <c r="B87" s="70">
        <f>SUM(B83:B86)</f>
        <v>2430</v>
      </c>
      <c r="C87" s="92">
        <f>SUM(C83:C86)</f>
        <v>100</v>
      </c>
      <c r="D87" s="70">
        <f>SUM(D84:D86)</f>
        <v>540</v>
      </c>
      <c r="E87" s="92">
        <f>SUM(E82:E86)</f>
        <v>100</v>
      </c>
      <c r="F87" s="70">
        <f>SUM(F84:F86)</f>
        <v>0</v>
      </c>
      <c r="G87" s="92">
        <f>SUM(G82:G86)</f>
        <v>0</v>
      </c>
      <c r="H87" s="70">
        <f>SUM(H83:H86)</f>
        <v>0</v>
      </c>
      <c r="I87" s="92">
        <f>SUM(I82:I86)</f>
        <v>0</v>
      </c>
      <c r="J87" s="70">
        <f t="shared" ref="J87:O87" si="13">SUM(J83:J86)</f>
        <v>900</v>
      </c>
      <c r="K87" s="185">
        <f t="shared" si="13"/>
        <v>100</v>
      </c>
      <c r="L87" s="70">
        <f t="shared" si="13"/>
        <v>3690</v>
      </c>
      <c r="M87" s="92">
        <f t="shared" si="13"/>
        <v>100</v>
      </c>
      <c r="N87" s="70">
        <f t="shared" si="13"/>
        <v>1575</v>
      </c>
      <c r="O87" s="92">
        <f t="shared" si="13"/>
        <v>100</v>
      </c>
      <c r="P87" s="320"/>
      <c r="Q87" s="70">
        <f>SUM(Q83:Q86)</f>
        <v>675</v>
      </c>
      <c r="R87" s="92">
        <f>SUM(R82:R86)</f>
        <v>100</v>
      </c>
      <c r="S87" s="70">
        <f>SUM(S83:S86)</f>
        <v>450</v>
      </c>
      <c r="T87" s="92">
        <f>SUM(T82:T86)</f>
        <v>100</v>
      </c>
      <c r="U87" s="70">
        <f>SUM(U83:U86)</f>
        <v>0</v>
      </c>
      <c r="V87" s="92">
        <f>SUM(V83:V86)</f>
        <v>0</v>
      </c>
      <c r="W87" s="70">
        <f>SUM(W84:W86)</f>
        <v>0</v>
      </c>
      <c r="X87" s="92">
        <f>SUM(X82:X86)</f>
        <v>0</v>
      </c>
      <c r="Y87" s="70">
        <f>SUM(Y83:Y86)</f>
        <v>1125</v>
      </c>
      <c r="Z87" s="92">
        <f>SUM(Z82:Z86)</f>
        <v>100</v>
      </c>
      <c r="AA87" s="70">
        <f>SUM(AA83:AA86)</f>
        <v>11385</v>
      </c>
      <c r="AB87" s="92">
        <f>SUM(AB84:AB86)</f>
        <v>88.142292490118592</v>
      </c>
      <c r="AD87" s="87"/>
    </row>
    <row r="88" spans="1:31" s="69" customFormat="1" ht="15.75" x14ac:dyDescent="0.25">
      <c r="A88" s="116" t="s">
        <v>34</v>
      </c>
      <c r="B88" s="117"/>
      <c r="C88" s="118"/>
      <c r="D88" s="119"/>
      <c r="E88" s="118"/>
      <c r="F88" s="120"/>
      <c r="G88" s="118"/>
      <c r="H88" s="121"/>
      <c r="I88" s="118"/>
      <c r="J88" s="122"/>
      <c r="K88" s="238"/>
      <c r="L88" s="123"/>
      <c r="M88" s="123"/>
      <c r="N88" s="124"/>
      <c r="O88" s="118"/>
      <c r="P88" s="313"/>
      <c r="Q88" s="125"/>
      <c r="R88" s="118"/>
      <c r="S88" s="126"/>
      <c r="T88" s="118"/>
      <c r="U88" s="127"/>
      <c r="V88" s="118"/>
      <c r="W88" s="128"/>
      <c r="X88" s="118"/>
      <c r="Y88" s="129"/>
      <c r="Z88" s="118"/>
      <c r="AA88" s="130"/>
      <c r="AB88" s="118"/>
      <c r="AC88"/>
      <c r="AD88"/>
    </row>
    <row r="89" spans="1:31" s="69" customFormat="1" x14ac:dyDescent="0.25">
      <c r="A89" s="76" t="s">
        <v>84</v>
      </c>
      <c r="B89" s="57">
        <f>450+1125</f>
        <v>1575</v>
      </c>
      <c r="C89" s="85">
        <f>B89/B90*100</f>
        <v>100</v>
      </c>
      <c r="D89" s="57">
        <f>4815+1125</f>
        <v>5940</v>
      </c>
      <c r="E89" s="89">
        <f>D89/D90*100</f>
        <v>100</v>
      </c>
      <c r="F89" s="57">
        <f>3645+9360</f>
        <v>13005</v>
      </c>
      <c r="G89" s="89">
        <f>F89/F90*100</f>
        <v>100</v>
      </c>
      <c r="H89" s="57">
        <f>4230+4950</f>
        <v>9180</v>
      </c>
      <c r="I89" s="89">
        <f>H89/H90*100</f>
        <v>100</v>
      </c>
      <c r="J89" s="57">
        <f>675+14850</f>
        <v>15525</v>
      </c>
      <c r="K89" s="89">
        <f>J89/J90*100</f>
        <v>100</v>
      </c>
      <c r="L89" s="57">
        <f>3285+21420</f>
        <v>24705</v>
      </c>
      <c r="M89" s="144">
        <f>L89/L90*100</f>
        <v>100</v>
      </c>
      <c r="N89" s="57">
        <f>5400+19080</f>
        <v>24480</v>
      </c>
      <c r="O89" s="144">
        <f>N89/N90*100</f>
        <v>100</v>
      </c>
      <c r="P89" s="314"/>
      <c r="Q89" s="57">
        <f>6030+1755</f>
        <v>7785</v>
      </c>
      <c r="R89" s="144">
        <f>Q89/Q90*100</f>
        <v>100</v>
      </c>
      <c r="S89" s="57">
        <v>12870</v>
      </c>
      <c r="T89" s="144">
        <f>S89/S90*100</f>
        <v>100</v>
      </c>
      <c r="U89" s="57">
        <f>720+1350</f>
        <v>2070</v>
      </c>
      <c r="V89" s="144">
        <f>U89/U90*100</f>
        <v>100</v>
      </c>
      <c r="W89" s="57">
        <f>7740+5670</f>
        <v>13410</v>
      </c>
      <c r="X89" s="144">
        <f>W89/W90*100</f>
        <v>100</v>
      </c>
      <c r="Y89" s="57">
        <f>3375+630</f>
        <v>4005</v>
      </c>
      <c r="Z89" s="144">
        <f>Y89/Y90*100</f>
        <v>100</v>
      </c>
      <c r="AA89" s="52">
        <f>B89+D89+F89+H89+J89+L89+N89+Q89+S89+U89+W89+Y89</f>
        <v>134550</v>
      </c>
      <c r="AB89" s="85">
        <f>AA89/AA90*100</f>
        <v>100</v>
      </c>
      <c r="AC89"/>
      <c r="AD89"/>
    </row>
    <row r="90" spans="1:31" s="69" customFormat="1" x14ac:dyDescent="0.25">
      <c r="A90" s="67" t="s">
        <v>72</v>
      </c>
      <c r="B90" s="70">
        <f>SUM(B89)</f>
        <v>1575</v>
      </c>
      <c r="C90" s="92">
        <f>SUM(C88:C89)</f>
        <v>100</v>
      </c>
      <c r="D90" s="70">
        <f>SUM(D89)</f>
        <v>5940</v>
      </c>
      <c r="E90" s="92">
        <f>SUM(E89)</f>
        <v>100</v>
      </c>
      <c r="F90" s="70">
        <f>SUM(F89)</f>
        <v>13005</v>
      </c>
      <c r="G90" s="92">
        <f>SUM(G88:G89)</f>
        <v>100</v>
      </c>
      <c r="H90" s="70">
        <f>SUM(H89)</f>
        <v>9180</v>
      </c>
      <c r="I90" s="92">
        <f>SUM(I88:I89)</f>
        <v>100</v>
      </c>
      <c r="J90" s="70">
        <f>SUM(J89)</f>
        <v>15525</v>
      </c>
      <c r="K90" s="92">
        <f>SUM(K88:K89)</f>
        <v>100</v>
      </c>
      <c r="L90" s="70">
        <f>SUM(L89)</f>
        <v>24705</v>
      </c>
      <c r="M90" s="92">
        <f>SUM(M88:M89)</f>
        <v>100</v>
      </c>
      <c r="N90" s="70">
        <f>SUM(N89)</f>
        <v>24480</v>
      </c>
      <c r="O90" s="92">
        <f>SUM(O89)</f>
        <v>100</v>
      </c>
      <c r="P90" s="320"/>
      <c r="Q90" s="70">
        <f>SUM(Q89)</f>
        <v>7785</v>
      </c>
      <c r="R90" s="92">
        <f t="shared" ref="R90:X90" si="14">SUM(R88:R89)</f>
        <v>100</v>
      </c>
      <c r="S90" s="70">
        <f>SUM(S89)</f>
        <v>12870</v>
      </c>
      <c r="T90" s="92">
        <f t="shared" si="14"/>
        <v>100</v>
      </c>
      <c r="U90" s="70">
        <f>SUM(U89)</f>
        <v>2070</v>
      </c>
      <c r="V90" s="92">
        <f t="shared" si="14"/>
        <v>100</v>
      </c>
      <c r="W90" s="70">
        <f>SUM(W89)</f>
        <v>13410</v>
      </c>
      <c r="X90" s="92">
        <f t="shared" si="14"/>
        <v>100</v>
      </c>
      <c r="Y90" s="70">
        <f>SUM(Y89)</f>
        <v>4005</v>
      </c>
      <c r="Z90" s="92">
        <f>SUM(Z88:Z89)</f>
        <v>100</v>
      </c>
      <c r="AA90" s="70">
        <f>SUM(AA89)</f>
        <v>134550</v>
      </c>
      <c r="AB90" s="91">
        <f>SUM(AB89:AB89)</f>
        <v>100</v>
      </c>
      <c r="AD90" s="87"/>
    </row>
    <row r="91" spans="1:31" s="69" customFormat="1" ht="15.75" x14ac:dyDescent="0.25">
      <c r="A91" s="116" t="s">
        <v>81</v>
      </c>
      <c r="B91" s="117"/>
      <c r="C91" s="118"/>
      <c r="D91" s="119"/>
      <c r="E91" s="118"/>
      <c r="F91" s="120"/>
      <c r="G91" s="118"/>
      <c r="H91" s="233"/>
      <c r="I91" s="118"/>
      <c r="J91" s="122"/>
      <c r="K91" s="234"/>
      <c r="L91" s="123"/>
      <c r="M91" s="123"/>
      <c r="N91" s="124"/>
      <c r="O91" s="118"/>
      <c r="P91" s="313"/>
      <c r="Q91" s="125"/>
      <c r="R91" s="118"/>
      <c r="S91" s="126"/>
      <c r="T91" s="118"/>
      <c r="U91" s="127"/>
      <c r="V91" s="118"/>
      <c r="W91" s="128"/>
      <c r="X91" s="118"/>
      <c r="Y91" s="129"/>
      <c r="Z91" s="118"/>
      <c r="AA91" s="130"/>
      <c r="AB91" s="118"/>
      <c r="AE91" s="237"/>
    </row>
    <row r="92" spans="1:31" s="69" customFormat="1" x14ac:dyDescent="0.25">
      <c r="A92" s="76" t="s">
        <v>88</v>
      </c>
      <c r="B92" s="245">
        <f>3645+24795+2475</f>
        <v>30915</v>
      </c>
      <c r="C92" s="85">
        <f>B92/B93*100</f>
        <v>100</v>
      </c>
      <c r="D92" s="57">
        <f>86310+21555+1800</f>
        <v>109665</v>
      </c>
      <c r="E92" s="144">
        <f>D92/D93*100</f>
        <v>100</v>
      </c>
      <c r="F92" s="57">
        <f>36675+17235+3600</f>
        <v>57510</v>
      </c>
      <c r="G92" s="89">
        <f>F92/F93*100</f>
        <v>100</v>
      </c>
      <c r="H92" s="57">
        <f>36270+11970+3375</f>
        <v>51615</v>
      </c>
      <c r="I92" s="89">
        <f>H92/H93*100</f>
        <v>100</v>
      </c>
      <c r="J92" s="57">
        <f>5850+6570+4275</f>
        <v>16695</v>
      </c>
      <c r="K92" s="89">
        <f>J92/J93*100</f>
        <v>100</v>
      </c>
      <c r="L92" s="57">
        <f>2475+900</f>
        <v>3375</v>
      </c>
      <c r="M92" s="144">
        <f>L92/L93*100</f>
        <v>100</v>
      </c>
      <c r="N92" s="57">
        <f>10395+7830+2295</f>
        <v>20520</v>
      </c>
      <c r="O92" s="144">
        <f>N92/N93*100</f>
        <v>100</v>
      </c>
      <c r="P92" s="314"/>
      <c r="Q92" s="57">
        <f>14715+270</f>
        <v>14985</v>
      </c>
      <c r="R92" s="144">
        <f>Q92/Q93*100</f>
        <v>100</v>
      </c>
      <c r="S92" s="57">
        <f>7065+495</f>
        <v>7560</v>
      </c>
      <c r="T92" s="144">
        <f>S92/S93*100</f>
        <v>100</v>
      </c>
      <c r="U92" s="57">
        <v>14580</v>
      </c>
      <c r="V92" s="144">
        <f>U92/U93*100</f>
        <v>100</v>
      </c>
      <c r="W92" s="57">
        <f>34830+7245+495</f>
        <v>42570</v>
      </c>
      <c r="X92" s="144">
        <f>W92/W93*100</f>
        <v>100</v>
      </c>
      <c r="Y92" s="57">
        <f>6525+3780</f>
        <v>10305</v>
      </c>
      <c r="Z92" s="144">
        <f>Y92/Y93*100</f>
        <v>100</v>
      </c>
      <c r="AA92" s="52">
        <f>B92+D92+F92+H92+J92+L92+N92+Q92+S92+U92+W92+Y92</f>
        <v>380295</v>
      </c>
      <c r="AB92" s="144">
        <f>AA92/AA93*100</f>
        <v>100</v>
      </c>
      <c r="AC92" s="237"/>
    </row>
    <row r="93" spans="1:31" s="69" customFormat="1" x14ac:dyDescent="0.25">
      <c r="A93" s="67" t="s">
        <v>72</v>
      </c>
      <c r="B93" s="243">
        <f>SUM(B92)</f>
        <v>30915</v>
      </c>
      <c r="C93" s="92">
        <f>SUM(C91:C92)</f>
        <v>100</v>
      </c>
      <c r="D93" s="70">
        <f>SUM(D92)</f>
        <v>109665</v>
      </c>
      <c r="E93" s="92">
        <f>SUM(E92)</f>
        <v>100</v>
      </c>
      <c r="F93" s="70">
        <f>SUM(F92)</f>
        <v>57510</v>
      </c>
      <c r="G93" s="92">
        <f>SUM(G91:G92)</f>
        <v>100</v>
      </c>
      <c r="H93" s="70">
        <f>SUM(H92)</f>
        <v>51615</v>
      </c>
      <c r="I93" s="92">
        <f>SUM(I91:I92)</f>
        <v>100</v>
      </c>
      <c r="J93" s="70">
        <f>SUM(J92)</f>
        <v>16695</v>
      </c>
      <c r="K93" s="92">
        <f>SUM(K92)</f>
        <v>100</v>
      </c>
      <c r="L93" s="70">
        <f>SUM(L92)</f>
        <v>3375</v>
      </c>
      <c r="M93" s="92">
        <f>SUM(M91:M92)</f>
        <v>100</v>
      </c>
      <c r="N93" s="70">
        <f>SUM(N92)</f>
        <v>20520</v>
      </c>
      <c r="O93" s="92">
        <f>SUM(O92)</f>
        <v>100</v>
      </c>
      <c r="P93" s="320"/>
      <c r="Q93" s="70">
        <f>SUM(Q92)</f>
        <v>14985</v>
      </c>
      <c r="R93" s="92">
        <f t="shared" ref="R93:X93" si="15">SUM(R91:R92)</f>
        <v>100</v>
      </c>
      <c r="S93" s="70">
        <f>SUM(S92)</f>
        <v>7560</v>
      </c>
      <c r="T93" s="92">
        <f t="shared" si="15"/>
        <v>100</v>
      </c>
      <c r="U93" s="70">
        <f>SUM(U92)</f>
        <v>14580</v>
      </c>
      <c r="V93" s="92">
        <f t="shared" si="15"/>
        <v>100</v>
      </c>
      <c r="W93" s="70">
        <f>SUM(W92)</f>
        <v>42570</v>
      </c>
      <c r="X93" s="92">
        <f t="shared" si="15"/>
        <v>100</v>
      </c>
      <c r="Y93" s="70">
        <f>SUM(Y92)</f>
        <v>10305</v>
      </c>
      <c r="Z93" s="92">
        <f>SUM(Z91:Z92)</f>
        <v>100</v>
      </c>
      <c r="AA93" s="70">
        <f>SUM(AA92)</f>
        <v>380295</v>
      </c>
      <c r="AB93" s="92">
        <f>SUM(AB91:AB92)</f>
        <v>100</v>
      </c>
      <c r="AD93" s="87"/>
    </row>
    <row r="94" spans="1:31" ht="15.75" x14ac:dyDescent="0.25">
      <c r="A94" s="116" t="s">
        <v>67</v>
      </c>
      <c r="B94" s="117"/>
      <c r="C94" s="118"/>
      <c r="D94" s="119"/>
      <c r="E94" s="118"/>
      <c r="F94" s="120"/>
      <c r="G94" s="118"/>
      <c r="H94" s="232"/>
      <c r="I94" s="234"/>
      <c r="J94" s="122"/>
      <c r="K94" s="118"/>
      <c r="L94" s="123"/>
      <c r="M94" s="123"/>
      <c r="N94" s="124"/>
      <c r="O94" s="118"/>
      <c r="P94" s="313"/>
      <c r="Q94" s="125"/>
      <c r="R94" s="118"/>
      <c r="S94" s="126"/>
      <c r="T94" s="118"/>
      <c r="U94" s="127"/>
      <c r="V94" s="118"/>
      <c r="W94" s="128"/>
      <c r="X94" s="118"/>
      <c r="Y94" s="129"/>
      <c r="Z94" s="118"/>
      <c r="AA94" s="130"/>
      <c r="AB94" s="118"/>
    </row>
    <row r="95" spans="1:31" x14ac:dyDescent="0.25">
      <c r="A95" s="77" t="s">
        <v>68</v>
      </c>
      <c r="B95" s="57"/>
      <c r="C95" s="144"/>
      <c r="D95" s="57"/>
      <c r="E95" s="89"/>
      <c r="F95" s="57"/>
      <c r="G95" s="144"/>
      <c r="H95" s="57">
        <v>8775</v>
      </c>
      <c r="I95" s="89">
        <f>H95/H96*100</f>
        <v>100</v>
      </c>
      <c r="J95" s="57"/>
      <c r="K95" s="144"/>
      <c r="L95" s="57"/>
      <c r="M95" s="144"/>
      <c r="N95" s="57"/>
      <c r="O95" s="144"/>
      <c r="P95" s="314"/>
      <c r="Q95" s="57">
        <v>1125</v>
      </c>
      <c r="R95" s="144">
        <f>Q95/Q96*100</f>
        <v>100</v>
      </c>
      <c r="S95" s="57">
        <v>4140</v>
      </c>
      <c r="T95" s="144">
        <f>S95/S96*100</f>
        <v>100</v>
      </c>
      <c r="U95" s="57"/>
      <c r="V95" s="144"/>
      <c r="W95" s="57">
        <v>5085</v>
      </c>
      <c r="X95" s="144">
        <f>W95/W96*100</f>
        <v>100</v>
      </c>
      <c r="Y95" s="57"/>
      <c r="Z95" s="144"/>
      <c r="AA95" s="52">
        <f>H95+Q95+S95+W95</f>
        <v>19125</v>
      </c>
      <c r="AB95" s="85">
        <f>AA95/AA96*100</f>
        <v>100</v>
      </c>
    </row>
    <row r="96" spans="1:31" s="69" customFormat="1" x14ac:dyDescent="0.25">
      <c r="A96" s="67" t="s">
        <v>72</v>
      </c>
      <c r="B96" s="70">
        <f>SUM(B95:B95)</f>
        <v>0</v>
      </c>
      <c r="C96" s="92">
        <f>SUM(C95:C95)</f>
        <v>0</v>
      </c>
      <c r="D96" s="70">
        <f>SUM(D95:D95)</f>
        <v>0</v>
      </c>
      <c r="E96" s="92">
        <f>SUM(E95:E95)</f>
        <v>0</v>
      </c>
      <c r="F96" s="70">
        <f>SUM(F95:F95)</f>
        <v>0</v>
      </c>
      <c r="G96" s="92">
        <f>SUM(G94:G95)</f>
        <v>0</v>
      </c>
      <c r="H96" s="70">
        <f>SUM(H95:H95)</f>
        <v>8775</v>
      </c>
      <c r="I96" s="92">
        <f>SUM(I94:I95)</f>
        <v>100</v>
      </c>
      <c r="J96" s="70">
        <f t="shared" ref="J96:O96" si="16">SUM(J95:J95)</f>
        <v>0</v>
      </c>
      <c r="K96" s="92">
        <f t="shared" si="16"/>
        <v>0</v>
      </c>
      <c r="L96" s="70">
        <f t="shared" si="16"/>
        <v>0</v>
      </c>
      <c r="M96" s="92">
        <f t="shared" si="16"/>
        <v>0</v>
      </c>
      <c r="N96" s="70">
        <f t="shared" si="16"/>
        <v>0</v>
      </c>
      <c r="O96" s="92">
        <f t="shared" si="16"/>
        <v>0</v>
      </c>
      <c r="P96" s="320"/>
      <c r="Q96" s="70">
        <f>SUM(Q94:Q95)</f>
        <v>1125</v>
      </c>
      <c r="R96" s="92">
        <f>SUM(R94:R95)</f>
        <v>100</v>
      </c>
      <c r="S96" s="70">
        <f>SUM(S95:S95)</f>
        <v>4140</v>
      </c>
      <c r="T96" s="92">
        <f>SUM(T94:T95)</f>
        <v>100</v>
      </c>
      <c r="U96" s="70">
        <f>SUM(U95:U95)</f>
        <v>0</v>
      </c>
      <c r="V96" s="92">
        <f>SUM(V95:V95)</f>
        <v>0</v>
      </c>
      <c r="W96" s="70">
        <f>SUM(W95:W95)</f>
        <v>5085</v>
      </c>
      <c r="X96" s="92">
        <f>SUM(X94:X95)</f>
        <v>100</v>
      </c>
      <c r="Y96" s="70">
        <f>SUM(Y95:Y95)</f>
        <v>0</v>
      </c>
      <c r="Z96" s="92">
        <f>SUM(Z95:Z95)</f>
        <v>0</v>
      </c>
      <c r="AA96" s="70">
        <f>SUM(AA95:AA95)</f>
        <v>19125</v>
      </c>
      <c r="AB96" s="91">
        <f>SUM(AB95:AB95)</f>
        <v>100</v>
      </c>
      <c r="AD96" s="87"/>
    </row>
    <row r="97" spans="1:30" ht="15.75" x14ac:dyDescent="0.25">
      <c r="A97" s="116" t="s">
        <v>70</v>
      </c>
      <c r="B97" s="117"/>
      <c r="C97" s="118"/>
      <c r="D97" s="119"/>
      <c r="E97" s="118"/>
      <c r="F97" s="120"/>
      <c r="G97" s="118"/>
      <c r="H97" s="231"/>
      <c r="I97" s="118"/>
      <c r="J97" s="235"/>
      <c r="K97" s="118"/>
      <c r="L97" s="123"/>
      <c r="M97" s="123"/>
      <c r="N97" s="124"/>
      <c r="O97" s="118"/>
      <c r="P97" s="313"/>
      <c r="Q97" s="125"/>
      <c r="R97" s="118"/>
      <c r="S97" s="126"/>
      <c r="T97" s="118"/>
      <c r="U97" s="127"/>
      <c r="V97" s="118"/>
      <c r="W97" s="128"/>
      <c r="X97" s="118"/>
      <c r="Y97" s="129"/>
      <c r="Z97" s="118"/>
      <c r="AA97" s="130"/>
      <c r="AB97" s="118"/>
    </row>
    <row r="98" spans="1:30" x14ac:dyDescent="0.25">
      <c r="A98" s="78" t="s">
        <v>118</v>
      </c>
      <c r="B98" s="159"/>
      <c r="C98" s="183"/>
      <c r="D98" s="161"/>
      <c r="E98" s="160"/>
      <c r="F98" s="162"/>
      <c r="G98" s="183"/>
      <c r="H98" s="163">
        <v>8415</v>
      </c>
      <c r="I98" s="89">
        <f>H98/H100*100</f>
        <v>82.378854625550659</v>
      </c>
      <c r="J98" s="164"/>
      <c r="K98" s="183"/>
      <c r="L98" s="165"/>
      <c r="M98" s="165"/>
      <c r="N98" s="166"/>
      <c r="O98" s="160"/>
      <c r="P98" s="313"/>
      <c r="Q98" s="167"/>
      <c r="R98" s="160"/>
      <c r="S98" s="168"/>
      <c r="T98" s="160"/>
      <c r="U98" s="169"/>
      <c r="V98" s="160"/>
      <c r="W98" s="170"/>
      <c r="X98" s="183"/>
      <c r="Y98" s="171"/>
      <c r="Z98" s="183"/>
      <c r="AA98" s="52">
        <f>B98+D98+F98+H98+J98+L98+N98+Q98+S98+U98+W98+Y98</f>
        <v>8415</v>
      </c>
      <c r="AB98" s="183">
        <f>AA98/AA100*100</f>
        <v>36.100386100386103</v>
      </c>
    </row>
    <row r="99" spans="1:30" x14ac:dyDescent="0.25">
      <c r="A99" s="78" t="s">
        <v>126</v>
      </c>
      <c r="B99" s="159"/>
      <c r="C99" s="183"/>
      <c r="D99" s="161"/>
      <c r="E99" s="160"/>
      <c r="F99" s="162">
        <v>2205</v>
      </c>
      <c r="G99" s="183">
        <f>F99/F100*100</f>
        <v>100</v>
      </c>
      <c r="H99" s="163">
        <v>1800</v>
      </c>
      <c r="I99" s="183">
        <f>H99/H100*100</f>
        <v>17.621145374449341</v>
      </c>
      <c r="J99" s="164"/>
      <c r="K99" s="183"/>
      <c r="L99" s="165">
        <f>1125+1350</f>
        <v>2475</v>
      </c>
      <c r="M99" s="273">
        <f>L99/L100*100</f>
        <v>100</v>
      </c>
      <c r="N99" s="166"/>
      <c r="O99" s="160"/>
      <c r="P99" s="313"/>
      <c r="Q99" s="167"/>
      <c r="R99" s="160"/>
      <c r="S99" s="168">
        <v>3960</v>
      </c>
      <c r="T99" s="183">
        <f>S99/S100*100</f>
        <v>100</v>
      </c>
      <c r="U99" s="169">
        <v>990</v>
      </c>
      <c r="V99" s="183">
        <f>U99/U100*100</f>
        <v>100</v>
      </c>
      <c r="W99" s="170">
        <v>2880</v>
      </c>
      <c r="X99" s="183">
        <f>W99/W100*100</f>
        <v>100</v>
      </c>
      <c r="Y99" s="171">
        <v>585</v>
      </c>
      <c r="Z99" s="183">
        <f>Y99/Y100*100</f>
        <v>100</v>
      </c>
      <c r="AA99" s="52">
        <f>B99+D99+F99+H99+J99+L99+N99+Q99+S99+U99+W99+Y99</f>
        <v>14895</v>
      </c>
      <c r="AB99" s="183">
        <f>AA99/AA100*100</f>
        <v>63.899613899613904</v>
      </c>
    </row>
    <row r="100" spans="1:30" s="69" customFormat="1" x14ac:dyDescent="0.25">
      <c r="A100" s="67" t="s">
        <v>72</v>
      </c>
      <c r="B100" s="70">
        <f t="shared" ref="B100:E100" si="17">SUM(B97:B98)</f>
        <v>0</v>
      </c>
      <c r="C100" s="92">
        <f t="shared" si="17"/>
        <v>0</v>
      </c>
      <c r="D100" s="70">
        <f t="shared" si="17"/>
        <v>0</v>
      </c>
      <c r="E100" s="92">
        <f t="shared" si="17"/>
        <v>0</v>
      </c>
      <c r="F100" s="70">
        <f>SUM(F99)</f>
        <v>2205</v>
      </c>
      <c r="G100" s="92">
        <f>SUM(G99)</f>
        <v>100</v>
      </c>
      <c r="H100" s="70">
        <f>SUM(H98:H99)</f>
        <v>10215</v>
      </c>
      <c r="I100" s="92">
        <f>SUM(I98:I99)</f>
        <v>100</v>
      </c>
      <c r="J100" s="70">
        <f>SUM(J98)</f>
        <v>0</v>
      </c>
      <c r="K100" s="92">
        <f>SUM(K97:K98)</f>
        <v>0</v>
      </c>
      <c r="L100" s="70">
        <f>SUM(L98:L99)</f>
        <v>2475</v>
      </c>
      <c r="M100" s="92">
        <f>SUM(M97:M98)</f>
        <v>0</v>
      </c>
      <c r="N100" s="70">
        <v>0</v>
      </c>
      <c r="O100" s="92">
        <f>SUM(O97:O98)</f>
        <v>0</v>
      </c>
      <c r="P100" s="320"/>
      <c r="Q100" s="70">
        <v>0</v>
      </c>
      <c r="R100" s="92">
        <f>SUM(R97:R98)</f>
        <v>0</v>
      </c>
      <c r="S100" s="70">
        <f>SUM(S98:S99)</f>
        <v>3960</v>
      </c>
      <c r="T100" s="92">
        <v>0</v>
      </c>
      <c r="U100" s="70">
        <f>SUM(U98:U99)</f>
        <v>990</v>
      </c>
      <c r="V100" s="92">
        <v>0</v>
      </c>
      <c r="W100" s="70">
        <f>SUM(W98:W99)</f>
        <v>2880</v>
      </c>
      <c r="X100" s="92">
        <v>0</v>
      </c>
      <c r="Y100" s="70">
        <f>SUM(Y98:Y99)</f>
        <v>585</v>
      </c>
      <c r="Z100" s="92">
        <v>0</v>
      </c>
      <c r="AA100" s="70">
        <f>SUM(AA98:AA99)</f>
        <v>23310</v>
      </c>
      <c r="AB100" s="91">
        <f>SUM(AB98:AB98)</f>
        <v>36.100386100386103</v>
      </c>
      <c r="AD100" s="87"/>
    </row>
    <row r="101" spans="1:30" ht="15.75" x14ac:dyDescent="0.25">
      <c r="A101" s="116" t="s">
        <v>78</v>
      </c>
      <c r="B101" s="117"/>
      <c r="C101" s="118"/>
      <c r="D101" s="119"/>
      <c r="E101" s="118"/>
      <c r="F101" s="120"/>
      <c r="G101" s="118"/>
      <c r="H101" s="121"/>
      <c r="I101" s="118"/>
      <c r="J101" s="122"/>
      <c r="K101" s="118"/>
      <c r="L101" s="123"/>
      <c r="M101" s="123"/>
      <c r="N101" s="124"/>
      <c r="O101" s="118"/>
      <c r="P101" s="313"/>
      <c r="Q101" s="125"/>
      <c r="R101" s="118"/>
      <c r="S101" s="126"/>
      <c r="T101" s="118"/>
      <c r="U101" s="127"/>
      <c r="V101" s="118"/>
      <c r="W101" s="128"/>
      <c r="X101" s="118"/>
      <c r="Y101" s="129"/>
      <c r="Z101" s="118"/>
      <c r="AA101" s="130"/>
      <c r="AB101" s="118"/>
    </row>
    <row r="102" spans="1:30" x14ac:dyDescent="0.25">
      <c r="A102" s="77" t="s">
        <v>115</v>
      </c>
      <c r="B102" s="57"/>
      <c r="C102" s="144">
        <f>B102/B104*100</f>
        <v>0</v>
      </c>
      <c r="D102" s="57"/>
      <c r="E102" s="144">
        <f>D102/D104*100</f>
        <v>0</v>
      </c>
      <c r="F102" s="57">
        <f>41895+36450</f>
        <v>78345</v>
      </c>
      <c r="G102" s="144">
        <f>F102/F104*100</f>
        <v>100</v>
      </c>
      <c r="H102" s="57"/>
      <c r="I102" s="144"/>
      <c r="J102" s="57"/>
      <c r="K102" s="144"/>
      <c r="L102" s="57"/>
      <c r="M102" s="184"/>
      <c r="N102" s="57">
        <f>6930+46260</f>
        <v>53190</v>
      </c>
      <c r="O102" s="144">
        <f>N102/N104*100</f>
        <v>100</v>
      </c>
      <c r="P102" s="314"/>
      <c r="Q102" s="57"/>
      <c r="R102" s="144"/>
      <c r="S102" s="57">
        <f>8235+6750</f>
        <v>14985</v>
      </c>
      <c r="T102" s="144">
        <f>S102/S104*100</f>
        <v>100</v>
      </c>
      <c r="U102" s="57">
        <f>5400+1125</f>
        <v>6525</v>
      </c>
      <c r="V102" s="144">
        <f>U102/U104*100</f>
        <v>19.754768392370572</v>
      </c>
      <c r="W102" s="57"/>
      <c r="X102" s="144">
        <f>W102/W104*100</f>
        <v>0</v>
      </c>
      <c r="Y102" s="57">
        <f>5760+8100</f>
        <v>13860</v>
      </c>
      <c r="Z102" s="144">
        <f>Y102/Y104*100</f>
        <v>100</v>
      </c>
      <c r="AA102" s="52">
        <f>B102+D102+F102+H102+J102+L102+N102+Q102+S102+U102+W102+Y102</f>
        <v>166905</v>
      </c>
      <c r="AB102" s="85">
        <f>AA102/AA104*100</f>
        <v>21.869103773584904</v>
      </c>
      <c r="AD102" s="266"/>
    </row>
    <row r="103" spans="1:30" x14ac:dyDescent="0.25">
      <c r="A103" s="77" t="s">
        <v>112</v>
      </c>
      <c r="B103" s="57">
        <f>4050+5850</f>
        <v>9900</v>
      </c>
      <c r="C103" s="144">
        <f>B103/B104*100</f>
        <v>100</v>
      </c>
      <c r="D103" s="57">
        <f>6795+1395</f>
        <v>8190</v>
      </c>
      <c r="E103" s="144"/>
      <c r="F103" s="57"/>
      <c r="G103" s="144"/>
      <c r="H103" s="57">
        <f>55170+114930</f>
        <v>170100</v>
      </c>
      <c r="I103" s="144">
        <f>H103/H104*100</f>
        <v>100</v>
      </c>
      <c r="J103" s="57">
        <f>230580+74610</f>
        <v>305190</v>
      </c>
      <c r="K103" s="144">
        <f>J103/J104*100</f>
        <v>100</v>
      </c>
      <c r="L103" s="57">
        <f>30780+23850</f>
        <v>54630</v>
      </c>
      <c r="M103" s="184">
        <f>L103/L104*100</f>
        <v>100</v>
      </c>
      <c r="N103" s="57"/>
      <c r="O103" s="144"/>
      <c r="P103" s="314"/>
      <c r="Q103" s="57">
        <f>11025+3150</f>
        <v>14175</v>
      </c>
      <c r="R103" s="144">
        <f>Q103/Q104*100</f>
        <v>100</v>
      </c>
      <c r="S103" s="57"/>
      <c r="T103" s="144"/>
      <c r="U103" s="57">
        <v>26505</v>
      </c>
      <c r="V103" s="144">
        <f>U103/U104*100</f>
        <v>80.245231607629435</v>
      </c>
      <c r="W103" s="57">
        <f>4905+2700</f>
        <v>7605</v>
      </c>
      <c r="X103" s="144">
        <f>W103/W104*100</f>
        <v>100</v>
      </c>
      <c r="Y103" s="57"/>
      <c r="Z103" s="144">
        <f>Y103/Y104*100</f>
        <v>0</v>
      </c>
      <c r="AA103" s="52">
        <f>B103+D103+F103+H103+J103+L103+N103+Q103+S103+U103+W103+Y103</f>
        <v>596295</v>
      </c>
      <c r="AB103" s="85">
        <f>AA103/AA104*100</f>
        <v>78.130896226415089</v>
      </c>
    </row>
    <row r="104" spans="1:30" s="69" customFormat="1" x14ac:dyDescent="0.25">
      <c r="A104" s="67" t="s">
        <v>72</v>
      </c>
      <c r="B104" s="70">
        <f>SUM(B102:B103)</f>
        <v>9900</v>
      </c>
      <c r="C104" s="92">
        <f>SUM(C102:C103)</f>
        <v>100</v>
      </c>
      <c r="D104" s="70">
        <f>SUM(D102:D103)</f>
        <v>8190</v>
      </c>
      <c r="E104" s="92">
        <f>SUM(E102:E103)</f>
        <v>0</v>
      </c>
      <c r="F104" s="70">
        <f>SUM(F102:F103)</f>
        <v>78345</v>
      </c>
      <c r="G104" s="92">
        <f>SUM(G102)</f>
        <v>100</v>
      </c>
      <c r="H104" s="70">
        <f t="shared" ref="H104:M104" si="18">SUM(H102:H103)</f>
        <v>170100</v>
      </c>
      <c r="I104" s="92">
        <f t="shared" si="18"/>
        <v>100</v>
      </c>
      <c r="J104" s="70">
        <f>SUM(J102:J103)</f>
        <v>305190</v>
      </c>
      <c r="K104" s="92">
        <f t="shared" si="18"/>
        <v>100</v>
      </c>
      <c r="L104" s="70">
        <f>SUM(L102:L103)</f>
        <v>54630</v>
      </c>
      <c r="M104" s="185">
        <f t="shared" si="18"/>
        <v>100</v>
      </c>
      <c r="N104" s="70">
        <f>SUM(N102:N103)</f>
        <v>53190</v>
      </c>
      <c r="O104" s="92">
        <f>SUM(O102:O103)</f>
        <v>100</v>
      </c>
      <c r="P104" s="320"/>
      <c r="Q104" s="70">
        <f>SUM(Q102:Q103)</f>
        <v>14175</v>
      </c>
      <c r="R104" s="92">
        <f>SUM(R103)</f>
        <v>100</v>
      </c>
      <c r="S104" s="70">
        <f>SUM(S102:S103)</f>
        <v>14985</v>
      </c>
      <c r="T104" s="92">
        <f>SUM(T101:T101)</f>
        <v>0</v>
      </c>
      <c r="U104" s="70">
        <f>SUM(U102:U103)</f>
        <v>33030</v>
      </c>
      <c r="V104" s="92">
        <f>SUM(V102:V103)</f>
        <v>100</v>
      </c>
      <c r="W104" s="70">
        <f>SUM(W102:W103)</f>
        <v>7605</v>
      </c>
      <c r="X104" s="92">
        <f>SUM(X102:X103)</f>
        <v>100</v>
      </c>
      <c r="Y104" s="70">
        <f>SUM(Y102:Y103)</f>
        <v>13860</v>
      </c>
      <c r="Z104" s="92">
        <f>SUM(Z102:Z102)</f>
        <v>100</v>
      </c>
      <c r="AA104" s="70">
        <f>SUM(AA102:AA103)</f>
        <v>763200</v>
      </c>
      <c r="AB104" s="91">
        <f>SUM(AB102:AB102)</f>
        <v>21.869103773584904</v>
      </c>
      <c r="AD104" s="87"/>
    </row>
    <row r="105" spans="1:30" s="69" customFormat="1" ht="15.75" x14ac:dyDescent="0.25">
      <c r="A105" s="116" t="s">
        <v>114</v>
      </c>
      <c r="B105" s="117"/>
      <c r="C105" s="118"/>
      <c r="D105" s="119"/>
      <c r="E105" s="118"/>
      <c r="F105" s="120"/>
      <c r="G105" s="118"/>
      <c r="H105" s="121"/>
      <c r="I105" s="118"/>
      <c r="J105" s="122"/>
      <c r="K105" s="118"/>
      <c r="L105" s="123"/>
      <c r="M105" s="123"/>
      <c r="N105" s="124"/>
      <c r="O105" s="118"/>
      <c r="P105" s="313"/>
      <c r="Q105" s="125"/>
      <c r="R105" s="118"/>
      <c r="S105" s="126"/>
      <c r="T105" s="118"/>
      <c r="U105" s="127"/>
      <c r="V105" s="118"/>
      <c r="W105" s="128"/>
      <c r="X105" s="118"/>
      <c r="Y105" s="129"/>
      <c r="Z105" s="118"/>
      <c r="AA105" s="130"/>
      <c r="AB105" s="118"/>
      <c r="AD105" s="87"/>
    </row>
    <row r="106" spans="1:30" s="69" customFormat="1" x14ac:dyDescent="0.25">
      <c r="A106" s="200" t="s">
        <v>123</v>
      </c>
      <c r="B106" s="70">
        <v>495</v>
      </c>
      <c r="C106" s="92">
        <f>B106/B108*100</f>
        <v>100</v>
      </c>
      <c r="D106" s="70"/>
      <c r="E106" s="92"/>
      <c r="F106" s="193">
        <v>4365</v>
      </c>
      <c r="G106" s="197">
        <f>F106/F108*100</f>
        <v>100</v>
      </c>
      <c r="H106" s="272"/>
      <c r="I106" s="197"/>
      <c r="J106" s="242"/>
      <c r="K106" s="197"/>
      <c r="L106" s="57"/>
      <c r="M106" s="184"/>
      <c r="N106" s="57"/>
      <c r="O106" s="144"/>
      <c r="P106" s="314"/>
      <c r="Q106" s="144"/>
      <c r="R106" s="92"/>
      <c r="S106" s="71">
        <f>4995+1350</f>
        <v>6345</v>
      </c>
      <c r="T106" s="85">
        <f>S106/S108*100</f>
        <v>100</v>
      </c>
      <c r="U106" s="57"/>
      <c r="V106" s="144"/>
      <c r="W106" s="70"/>
      <c r="X106" s="92"/>
      <c r="Y106" s="70"/>
      <c r="Z106" s="92"/>
      <c r="AA106" s="52">
        <f>B106+D106+F106+H106+J106+L106+N106+Q106+S106+U106+W106+Y106</f>
        <v>11205</v>
      </c>
      <c r="AB106" s="91">
        <f>AA106/AA108*100</f>
        <v>92.565055762081784</v>
      </c>
      <c r="AD106" s="87"/>
    </row>
    <row r="107" spans="1:30" s="69" customFormat="1" x14ac:dyDescent="0.25">
      <c r="A107" s="200" t="s">
        <v>119</v>
      </c>
      <c r="B107" s="70"/>
      <c r="C107" s="92"/>
      <c r="D107" s="70"/>
      <c r="E107" s="92"/>
      <c r="F107" s="193"/>
      <c r="G107" s="197"/>
      <c r="H107" s="57">
        <v>900</v>
      </c>
      <c r="I107" s="197">
        <f>H107/H108*100</f>
        <v>100</v>
      </c>
      <c r="J107" s="242"/>
      <c r="K107" s="197"/>
      <c r="L107" s="57"/>
      <c r="M107" s="184"/>
      <c r="N107" s="57"/>
      <c r="O107" s="144"/>
      <c r="P107" s="314"/>
      <c r="Q107" s="153"/>
      <c r="R107" s="92"/>
      <c r="S107" s="70"/>
      <c r="T107" s="92"/>
      <c r="U107" s="70"/>
      <c r="V107" s="92"/>
      <c r="W107" s="70"/>
      <c r="X107" s="92"/>
      <c r="Y107" s="70"/>
      <c r="Z107" s="92"/>
      <c r="AA107" s="52">
        <f>B107+D107+F107+H107+J107+L107+N107+Q107+S107+U107+W107+Y107</f>
        <v>900</v>
      </c>
      <c r="AB107" s="91">
        <f>AA107/AA108*100</f>
        <v>7.4349442379182156</v>
      </c>
      <c r="AD107" s="87"/>
    </row>
    <row r="108" spans="1:30" s="69" customFormat="1" x14ac:dyDescent="0.25">
      <c r="A108" s="67" t="s">
        <v>72</v>
      </c>
      <c r="B108" s="70">
        <f t="shared" ref="B108:M108" si="19">SUM(B106:B107)</f>
        <v>495</v>
      </c>
      <c r="C108" s="92">
        <f t="shared" si="19"/>
        <v>100</v>
      </c>
      <c r="D108" s="70">
        <f t="shared" si="19"/>
        <v>0</v>
      </c>
      <c r="E108" s="92">
        <f t="shared" si="19"/>
        <v>0</v>
      </c>
      <c r="F108" s="70">
        <f t="shared" si="19"/>
        <v>4365</v>
      </c>
      <c r="G108" s="92">
        <f t="shared" si="19"/>
        <v>100</v>
      </c>
      <c r="H108" s="70">
        <f t="shared" si="19"/>
        <v>900</v>
      </c>
      <c r="I108" s="92">
        <f t="shared" si="19"/>
        <v>100</v>
      </c>
      <c r="J108" s="243">
        <f t="shared" si="19"/>
        <v>0</v>
      </c>
      <c r="K108" s="92">
        <f t="shared" si="19"/>
        <v>0</v>
      </c>
      <c r="L108" s="70">
        <f t="shared" si="19"/>
        <v>0</v>
      </c>
      <c r="M108" s="185">
        <f t="shared" si="19"/>
        <v>0</v>
      </c>
      <c r="N108" s="70">
        <f>SUM(N106:N107)</f>
        <v>0</v>
      </c>
      <c r="O108" s="92">
        <f>SUM(O105:O105)</f>
        <v>0</v>
      </c>
      <c r="P108" s="320"/>
      <c r="Q108" s="70">
        <f t="shared" ref="Q108:V108" si="20">SUM(Q106:Q107)</f>
        <v>0</v>
      </c>
      <c r="R108" s="92">
        <f t="shared" si="20"/>
        <v>0</v>
      </c>
      <c r="S108" s="70">
        <f t="shared" si="20"/>
        <v>6345</v>
      </c>
      <c r="T108" s="92">
        <f t="shared" si="20"/>
        <v>100</v>
      </c>
      <c r="U108" s="70">
        <f t="shared" si="20"/>
        <v>0</v>
      </c>
      <c r="V108" s="92">
        <f t="shared" si="20"/>
        <v>0</v>
      </c>
      <c r="W108" s="70"/>
      <c r="X108" s="92"/>
      <c r="Y108" s="70"/>
      <c r="Z108" s="92"/>
      <c r="AA108" s="275">
        <f>B108+D108+F108+H108+J108+L108+N108+Q108+S108+U108+W108+Y108</f>
        <v>12105</v>
      </c>
      <c r="AB108" s="91">
        <f>SUM(AB106:AB107)</f>
        <v>100</v>
      </c>
      <c r="AD108" s="87"/>
    </row>
    <row r="109" spans="1:30" s="69" customFormat="1" x14ac:dyDescent="0.25">
      <c r="A109" s="79"/>
      <c r="B109" s="292"/>
      <c r="C109" s="293"/>
      <c r="D109" s="292"/>
      <c r="E109" s="293"/>
      <c r="F109" s="292"/>
      <c r="G109" s="293"/>
      <c r="H109" s="292"/>
      <c r="I109" s="293"/>
      <c r="J109" s="294"/>
      <c r="K109" s="293"/>
      <c r="L109" s="292"/>
      <c r="M109" s="295"/>
      <c r="N109" s="292"/>
      <c r="O109" s="293"/>
      <c r="P109" s="93"/>
      <c r="Q109" s="292"/>
      <c r="R109" s="293"/>
      <c r="S109" s="292"/>
      <c r="T109" s="293"/>
      <c r="U109" s="292"/>
      <c r="V109" s="293"/>
      <c r="W109" s="292"/>
      <c r="X109" s="293"/>
      <c r="Y109" s="292"/>
      <c r="Z109" s="293"/>
      <c r="AA109" s="296"/>
      <c r="AB109" s="101"/>
      <c r="AD109" s="87"/>
    </row>
    <row r="110" spans="1:30" s="69" customFormat="1" x14ac:dyDescent="0.25">
      <c r="A110" s="82"/>
      <c r="B110" s="83"/>
      <c r="C110" s="93"/>
      <c r="D110" s="83"/>
      <c r="E110" s="93"/>
      <c r="F110" s="83"/>
      <c r="G110" s="93"/>
      <c r="H110" s="83"/>
      <c r="I110" s="93"/>
      <c r="J110" s="297"/>
      <c r="K110" s="93"/>
      <c r="L110" s="83"/>
      <c r="M110" s="298"/>
      <c r="N110" s="83"/>
      <c r="O110" s="93"/>
      <c r="P110" s="93"/>
      <c r="Q110" s="83"/>
      <c r="R110" s="93"/>
      <c r="S110" s="83"/>
      <c r="T110" s="93"/>
      <c r="U110" s="83"/>
      <c r="V110" s="93"/>
      <c r="W110" s="83"/>
      <c r="X110" s="93"/>
      <c r="Y110" s="83"/>
      <c r="Z110" s="93"/>
      <c r="AA110" s="299"/>
      <c r="AB110" s="102"/>
      <c r="AD110" s="87"/>
    </row>
    <row r="111" spans="1:30" s="69" customFormat="1" x14ac:dyDescent="0.25">
      <c r="A111" s="190" t="s">
        <v>122</v>
      </c>
      <c r="B111" s="83"/>
      <c r="C111" s="93"/>
      <c r="D111" s="83"/>
      <c r="E111" s="93"/>
      <c r="F111" s="83"/>
      <c r="G111" s="93"/>
      <c r="H111" s="83"/>
      <c r="I111" s="93"/>
      <c r="J111" s="297"/>
      <c r="K111" s="93"/>
      <c r="L111" s="83"/>
      <c r="M111" s="298"/>
      <c r="N111" s="83"/>
      <c r="O111" s="93"/>
      <c r="P111" s="93"/>
      <c r="Q111" s="83"/>
      <c r="R111" s="93"/>
      <c r="S111" s="83"/>
      <c r="T111" s="93"/>
      <c r="U111" s="83"/>
      <c r="V111" s="93"/>
      <c r="W111" s="83"/>
      <c r="X111" s="93"/>
      <c r="Y111" s="83"/>
      <c r="Z111" s="93"/>
      <c r="AA111" s="299"/>
      <c r="AB111" s="102"/>
      <c r="AD111" s="87"/>
    </row>
    <row r="112" spans="1:30" ht="15.75" x14ac:dyDescent="0.25">
      <c r="A112" s="342" t="s">
        <v>39</v>
      </c>
      <c r="B112" s="344" t="s">
        <v>21</v>
      </c>
      <c r="C112" s="345"/>
      <c r="D112" s="346" t="s">
        <v>22</v>
      </c>
      <c r="E112" s="347"/>
      <c r="F112" s="348" t="s">
        <v>23</v>
      </c>
      <c r="G112" s="349"/>
      <c r="H112" s="350" t="s">
        <v>24</v>
      </c>
      <c r="I112" s="351"/>
      <c r="J112" s="352" t="s">
        <v>25</v>
      </c>
      <c r="K112" s="353"/>
      <c r="L112" s="354" t="s">
        <v>40</v>
      </c>
      <c r="M112" s="355"/>
      <c r="N112" s="356" t="s">
        <v>27</v>
      </c>
      <c r="O112" s="357"/>
      <c r="P112" s="304"/>
      <c r="Q112" s="358" t="s">
        <v>37</v>
      </c>
      <c r="R112" s="359"/>
      <c r="S112" s="360" t="s">
        <v>28</v>
      </c>
      <c r="T112" s="361"/>
      <c r="U112" s="362" t="s">
        <v>29</v>
      </c>
      <c r="V112" s="363"/>
      <c r="W112" s="364" t="s">
        <v>30</v>
      </c>
      <c r="X112" s="365"/>
      <c r="Y112" s="338" t="s">
        <v>38</v>
      </c>
      <c r="Z112" s="339"/>
      <c r="AA112" s="366" t="s">
        <v>20</v>
      </c>
      <c r="AB112" s="367"/>
    </row>
    <row r="113" spans="1:30" s="69" customFormat="1" x14ac:dyDescent="0.25">
      <c r="A113" s="343"/>
      <c r="B113" s="140" t="s">
        <v>73</v>
      </c>
      <c r="C113" s="141" t="s">
        <v>79</v>
      </c>
      <c r="D113" s="140" t="s">
        <v>73</v>
      </c>
      <c r="E113" s="141" t="s">
        <v>79</v>
      </c>
      <c r="F113" s="140" t="s">
        <v>73</v>
      </c>
      <c r="G113" s="141" t="s">
        <v>79</v>
      </c>
      <c r="H113" s="140" t="s">
        <v>73</v>
      </c>
      <c r="I113" s="141" t="s">
        <v>79</v>
      </c>
      <c r="J113" s="140" t="s">
        <v>73</v>
      </c>
      <c r="K113" s="141" t="s">
        <v>79</v>
      </c>
      <c r="L113" s="140" t="s">
        <v>73</v>
      </c>
      <c r="M113" s="141" t="s">
        <v>79</v>
      </c>
      <c r="N113" s="140" t="s">
        <v>73</v>
      </c>
      <c r="O113" s="141" t="s">
        <v>79</v>
      </c>
      <c r="P113" s="312"/>
      <c r="Q113" s="140" t="s">
        <v>73</v>
      </c>
      <c r="R113" s="141" t="s">
        <v>79</v>
      </c>
      <c r="S113" s="140" t="s">
        <v>73</v>
      </c>
      <c r="T113" s="141" t="s">
        <v>79</v>
      </c>
      <c r="U113" s="140" t="s">
        <v>73</v>
      </c>
      <c r="V113" s="141" t="s">
        <v>79</v>
      </c>
      <c r="W113" s="140" t="s">
        <v>73</v>
      </c>
      <c r="X113" s="141" t="s">
        <v>79</v>
      </c>
      <c r="Y113" s="140" t="s">
        <v>73</v>
      </c>
      <c r="Z113" s="141" t="s">
        <v>79</v>
      </c>
      <c r="AA113" s="142" t="s">
        <v>73</v>
      </c>
      <c r="AB113" s="141" t="s">
        <v>79</v>
      </c>
    </row>
    <row r="114" spans="1:30" s="69" customFormat="1" ht="15" customHeight="1" x14ac:dyDescent="0.25">
      <c r="A114" s="276" t="s">
        <v>69</v>
      </c>
      <c r="B114" s="277"/>
      <c r="C114" s="278"/>
      <c r="D114" s="279"/>
      <c r="E114" s="278"/>
      <c r="F114" s="280"/>
      <c r="G114" s="278"/>
      <c r="H114" s="281"/>
      <c r="I114" s="278"/>
      <c r="J114" s="282"/>
      <c r="K114" s="283"/>
      <c r="L114" s="284"/>
      <c r="M114" s="284"/>
      <c r="N114" s="285"/>
      <c r="O114" s="278"/>
      <c r="P114" s="313"/>
      <c r="Q114" s="286"/>
      <c r="R114" s="278"/>
      <c r="S114" s="287"/>
      <c r="T114" s="278"/>
      <c r="U114" s="288"/>
      <c r="V114" s="278"/>
      <c r="W114" s="289"/>
      <c r="X114" s="278"/>
      <c r="Y114" s="290"/>
      <c r="Z114" s="278"/>
      <c r="AA114" s="291"/>
      <c r="AB114" s="278"/>
    </row>
    <row r="115" spans="1:30" s="69" customFormat="1" ht="15" customHeight="1" x14ac:dyDescent="0.25">
      <c r="A115" s="76" t="s">
        <v>82</v>
      </c>
      <c r="B115" s="57"/>
      <c r="C115" s="144"/>
      <c r="D115" s="57">
        <v>900</v>
      </c>
      <c r="E115" s="89">
        <f>D115/D116*100</f>
        <v>100</v>
      </c>
      <c r="F115" s="57">
        <v>44100</v>
      </c>
      <c r="G115" s="89">
        <f>F115/F116*100</f>
        <v>100</v>
      </c>
      <c r="H115" s="57">
        <v>47115</v>
      </c>
      <c r="I115" s="144">
        <f>H115/H116*100</f>
        <v>100</v>
      </c>
      <c r="J115" s="245">
        <f>34110</f>
        <v>34110</v>
      </c>
      <c r="K115" s="144">
        <f>J115/J116*100</f>
        <v>100</v>
      </c>
      <c r="L115" s="57">
        <v>51165</v>
      </c>
      <c r="M115" s="144">
        <f>L115/L116*100</f>
        <v>100</v>
      </c>
      <c r="N115" s="153">
        <v>138375</v>
      </c>
      <c r="O115" s="89">
        <f>N115/N116*100</f>
        <v>100</v>
      </c>
      <c r="P115" s="319"/>
      <c r="Q115" s="57">
        <v>11295</v>
      </c>
      <c r="R115" s="144">
        <f>Q115/Q116*100</f>
        <v>100</v>
      </c>
      <c r="S115" s="57">
        <v>29745</v>
      </c>
      <c r="T115" s="144">
        <f>S115/S116*100</f>
        <v>100</v>
      </c>
      <c r="U115" s="57">
        <v>34785</v>
      </c>
      <c r="V115" s="144">
        <f>U115/U116*100</f>
        <v>100</v>
      </c>
      <c r="W115" s="57">
        <v>20520</v>
      </c>
      <c r="X115" s="144">
        <f>W115/W116*100</f>
        <v>100</v>
      </c>
      <c r="Y115" s="57"/>
      <c r="Z115" s="144">
        <v>0</v>
      </c>
      <c r="AA115" s="52">
        <f>B115+D115+F115+H115+J115+L115+N115+Q115+S115+U115+W115+Y115</f>
        <v>412110</v>
      </c>
      <c r="AB115" s="85">
        <f>AA115/AA116*100</f>
        <v>100</v>
      </c>
    </row>
    <row r="116" spans="1:30" s="69" customFormat="1" ht="15" customHeight="1" x14ac:dyDescent="0.25">
      <c r="A116" s="67" t="s">
        <v>72</v>
      </c>
      <c r="B116" s="70">
        <f>SUM(B115)</f>
        <v>0</v>
      </c>
      <c r="C116" s="92">
        <f>SUM(C114:C115)</f>
        <v>0</v>
      </c>
      <c r="D116" s="70">
        <f>SUM(D115:D115)</f>
        <v>900</v>
      </c>
      <c r="E116" s="92">
        <f>SUM(E114:E115)</f>
        <v>100</v>
      </c>
      <c r="F116" s="70">
        <f>SUM(F115)</f>
        <v>44100</v>
      </c>
      <c r="G116" s="92">
        <f t="shared" ref="G116:I116" si="21">SUM(G114:G115)</f>
        <v>100</v>
      </c>
      <c r="H116" s="70">
        <f>SUM(H115)</f>
        <v>47115</v>
      </c>
      <c r="I116" s="92">
        <f t="shared" si="21"/>
        <v>100</v>
      </c>
      <c r="J116" s="243">
        <f t="shared" ref="J116:O116" si="22">SUM(J115)</f>
        <v>34110</v>
      </c>
      <c r="K116" s="92">
        <f t="shared" si="22"/>
        <v>100</v>
      </c>
      <c r="L116" s="70">
        <f t="shared" si="22"/>
        <v>51165</v>
      </c>
      <c r="M116" s="92">
        <f t="shared" si="22"/>
        <v>100</v>
      </c>
      <c r="N116" s="70">
        <f t="shared" si="22"/>
        <v>138375</v>
      </c>
      <c r="O116" s="92">
        <f t="shared" si="22"/>
        <v>100</v>
      </c>
      <c r="P116" s="320"/>
      <c r="Q116" s="70">
        <f>SUM(Q115)</f>
        <v>11295</v>
      </c>
      <c r="R116" s="92">
        <f t="shared" ref="R116:X116" si="23">SUM(R114:R115)</f>
        <v>100</v>
      </c>
      <c r="S116" s="70">
        <f>SUM(S115)</f>
        <v>29745</v>
      </c>
      <c r="T116" s="92">
        <f t="shared" si="23"/>
        <v>100</v>
      </c>
      <c r="U116" s="70">
        <f t="shared" si="23"/>
        <v>34785</v>
      </c>
      <c r="V116" s="92">
        <f t="shared" si="23"/>
        <v>100</v>
      </c>
      <c r="W116" s="70">
        <f>SUM(W115)</f>
        <v>20520</v>
      </c>
      <c r="X116" s="92">
        <f t="shared" si="23"/>
        <v>100</v>
      </c>
      <c r="Y116" s="70">
        <f>SUM(Y115:Y115)</f>
        <v>0</v>
      </c>
      <c r="Z116" s="92">
        <f>SUM(Z114:Z115)</f>
        <v>0</v>
      </c>
      <c r="AA116" s="70">
        <f>SUM(AA115)</f>
        <v>412110</v>
      </c>
      <c r="AB116" s="92">
        <f>SUM(AB114:AB115)</f>
        <v>100</v>
      </c>
      <c r="AD116" s="87"/>
    </row>
    <row r="117" spans="1:30" s="69" customFormat="1" ht="15.75" x14ac:dyDescent="0.25">
      <c r="A117" s="116" t="s">
        <v>87</v>
      </c>
      <c r="B117" s="117"/>
      <c r="C117" s="118"/>
      <c r="D117" s="119"/>
      <c r="E117" s="118"/>
      <c r="F117" s="120"/>
      <c r="G117" s="118"/>
      <c r="H117" s="121"/>
      <c r="I117" s="118"/>
      <c r="J117" s="122"/>
      <c r="K117" s="118"/>
      <c r="L117" s="123"/>
      <c r="M117" s="123"/>
      <c r="N117" s="124"/>
      <c r="O117" s="118"/>
      <c r="P117" s="313"/>
      <c r="Q117" s="125"/>
      <c r="R117" s="118"/>
      <c r="S117" s="126"/>
      <c r="T117" s="118"/>
      <c r="U117" s="127"/>
      <c r="V117" s="118"/>
      <c r="W117" s="128"/>
      <c r="X117" s="118"/>
      <c r="Y117" s="129"/>
      <c r="Z117" s="118"/>
      <c r="AA117" s="130"/>
      <c r="AB117" s="118"/>
      <c r="AD117" s="87"/>
    </row>
    <row r="118" spans="1:30" s="69" customFormat="1" x14ac:dyDescent="0.25">
      <c r="A118" s="76" t="s">
        <v>125</v>
      </c>
      <c r="B118" s="57"/>
      <c r="C118" s="144"/>
      <c r="D118" s="57"/>
      <c r="E118" s="89"/>
      <c r="F118" s="57"/>
      <c r="G118" s="89"/>
      <c r="H118" s="57">
        <v>2250</v>
      </c>
      <c r="I118" s="144">
        <f>H118/H119*100</f>
        <v>100</v>
      </c>
      <c r="J118" s="57"/>
      <c r="K118" s="144"/>
      <c r="L118" s="57"/>
      <c r="M118" s="144"/>
      <c r="N118" s="153"/>
      <c r="O118" s="186"/>
      <c r="P118" s="324"/>
      <c r="Q118" s="57"/>
      <c r="R118" s="144"/>
      <c r="S118" s="57"/>
      <c r="T118" s="183"/>
      <c r="U118" s="57"/>
      <c r="V118" s="144"/>
      <c r="W118" s="57"/>
      <c r="X118" s="144" t="e">
        <f>W118/W119*100</f>
        <v>#DIV/0!</v>
      </c>
      <c r="Y118" s="57"/>
      <c r="Z118" s="184">
        <v>0</v>
      </c>
      <c r="AA118" s="52">
        <f>B118+D118+F118+H118+J118+L118+N118+Q118+S118+U118+W118+Y118</f>
        <v>2250</v>
      </c>
      <c r="AB118" s="85">
        <f>AA118/AA119*100</f>
        <v>100</v>
      </c>
      <c r="AD118" s="87"/>
    </row>
    <row r="119" spans="1:30" s="69" customFormat="1" x14ac:dyDescent="0.25">
      <c r="A119" s="94" t="s">
        <v>72</v>
      </c>
      <c r="B119" s="95">
        <f>SUM(B118:B118)</f>
        <v>0</v>
      </c>
      <c r="C119" s="96">
        <f>SUM(C118:C118)</f>
        <v>0</v>
      </c>
      <c r="D119" s="95">
        <f>SUM(D118:D118)</f>
        <v>0</v>
      </c>
      <c r="E119" s="96">
        <f>SUM(E117:E118)</f>
        <v>0</v>
      </c>
      <c r="F119" s="95">
        <f>SUM(F118:F118)</f>
        <v>0</v>
      </c>
      <c r="G119" s="96">
        <f>SUM(G118:G118)</f>
        <v>0</v>
      </c>
      <c r="H119" s="95">
        <f>SUM(H118:H118)</f>
        <v>2250</v>
      </c>
      <c r="I119" s="96">
        <f>SUM(I117:I118)</f>
        <v>100</v>
      </c>
      <c r="J119" s="95">
        <f>SUM(J117:J118)</f>
        <v>0</v>
      </c>
      <c r="K119" s="96">
        <f>SUM(K117:K118)</f>
        <v>0</v>
      </c>
      <c r="L119" s="95">
        <f>SUM(L118:L118)</f>
        <v>0</v>
      </c>
      <c r="M119" s="96" t="e">
        <f>SUM(#REF!)</f>
        <v>#REF!</v>
      </c>
      <c r="N119" s="95">
        <f t="shared" ref="N119:Y119" si="24">SUM(N118:N118)</f>
        <v>0</v>
      </c>
      <c r="O119" s="96">
        <f t="shared" si="24"/>
        <v>0</v>
      </c>
      <c r="P119" s="320"/>
      <c r="Q119" s="95">
        <f t="shared" si="24"/>
        <v>0</v>
      </c>
      <c r="R119" s="96">
        <f t="shared" si="24"/>
        <v>0</v>
      </c>
      <c r="S119" s="95">
        <f t="shared" si="24"/>
        <v>0</v>
      </c>
      <c r="T119" s="96">
        <f t="shared" si="24"/>
        <v>0</v>
      </c>
      <c r="U119" s="95">
        <f t="shared" si="24"/>
        <v>0</v>
      </c>
      <c r="V119" s="96">
        <f t="shared" si="24"/>
        <v>0</v>
      </c>
      <c r="W119" s="95">
        <f t="shared" si="24"/>
        <v>0</v>
      </c>
      <c r="X119" s="96" t="e">
        <f t="shared" si="24"/>
        <v>#DIV/0!</v>
      </c>
      <c r="Y119" s="95">
        <f t="shared" si="24"/>
        <v>0</v>
      </c>
      <c r="Z119" s="198">
        <f>SUM(Z117:Z118)</f>
        <v>0</v>
      </c>
      <c r="AA119" s="95">
        <f>SUM(AA118:AA118)</f>
        <v>2250</v>
      </c>
      <c r="AB119" s="96">
        <f>SUM(AB118:AB118)</f>
        <v>100</v>
      </c>
      <c r="AD119" s="87"/>
    </row>
    <row r="120" spans="1:30" s="69" customFormat="1" ht="15.75" x14ac:dyDescent="0.25">
      <c r="A120" s="116" t="s">
        <v>101</v>
      </c>
      <c r="B120" s="117"/>
      <c r="C120" s="118"/>
      <c r="D120" s="119"/>
      <c r="E120" s="118"/>
      <c r="F120" s="120"/>
      <c r="G120" s="118"/>
      <c r="H120" s="121"/>
      <c r="I120" s="118"/>
      <c r="J120" s="122"/>
      <c r="K120" s="234"/>
      <c r="L120" s="123"/>
      <c r="M120" s="123"/>
      <c r="N120" s="124"/>
      <c r="O120" s="118"/>
      <c r="P120" s="313"/>
      <c r="Q120" s="125"/>
      <c r="R120" s="118"/>
      <c r="S120" s="126"/>
      <c r="T120" s="118"/>
      <c r="U120" s="127"/>
      <c r="V120" s="118"/>
      <c r="W120" s="128"/>
      <c r="X120" s="118"/>
      <c r="Y120" s="129"/>
      <c r="Z120" s="118"/>
      <c r="AA120" s="130"/>
      <c r="AB120" s="118"/>
    </row>
    <row r="121" spans="1:30" s="69" customFormat="1" x14ac:dyDescent="0.25">
      <c r="A121" s="76" t="s">
        <v>83</v>
      </c>
      <c r="B121" s="57">
        <v>900</v>
      </c>
      <c r="C121" s="144">
        <f>B121/B122*100</f>
        <v>100</v>
      </c>
      <c r="D121" s="57">
        <f>29970+4725</f>
        <v>34695</v>
      </c>
      <c r="E121" s="89">
        <f>D121/D122*100</f>
        <v>100</v>
      </c>
      <c r="F121" s="57">
        <f>35010+14130</f>
        <v>49140</v>
      </c>
      <c r="G121" s="89">
        <f>F121/F122*100</f>
        <v>100</v>
      </c>
      <c r="H121" s="57">
        <f>31770+33390</f>
        <v>65160</v>
      </c>
      <c r="I121" s="89">
        <f>H121/H122*100</f>
        <v>100</v>
      </c>
      <c r="J121" s="57">
        <f>14985+30465+43515</f>
        <v>88965</v>
      </c>
      <c r="K121" s="89">
        <f>J121/J122*100</f>
        <v>100</v>
      </c>
      <c r="L121" s="57">
        <f>2070+19305</f>
        <v>21375</v>
      </c>
      <c r="M121" s="144">
        <f>L121/L122*100</f>
        <v>100</v>
      </c>
      <c r="N121" s="57">
        <f>12015+25155</f>
        <v>37170</v>
      </c>
      <c r="O121" s="144">
        <f>N121/N122*100</f>
        <v>100</v>
      </c>
      <c r="P121" s="314"/>
      <c r="Q121" s="57">
        <f>29115+2250</f>
        <v>31365</v>
      </c>
      <c r="R121" s="144">
        <f>Q121/Q122*100</f>
        <v>100</v>
      </c>
      <c r="S121" s="57">
        <f>6480+450</f>
        <v>6930</v>
      </c>
      <c r="T121" s="144">
        <f>S121/S122*100</f>
        <v>100</v>
      </c>
      <c r="U121" s="57">
        <f>3645+22725</f>
        <v>26370</v>
      </c>
      <c r="V121" s="144">
        <f>U121/U122*100</f>
        <v>100</v>
      </c>
      <c r="W121" s="57">
        <f>9315+3915+8100</f>
        <v>21330</v>
      </c>
      <c r="X121" s="144">
        <f>W121/W122*100</f>
        <v>100</v>
      </c>
      <c r="Y121" s="57">
        <v>6885</v>
      </c>
      <c r="Z121" s="144">
        <f>Y121/Y122*100</f>
        <v>100</v>
      </c>
      <c r="AA121" s="52">
        <f>B121+D121+F121+H121+J121+L121+N121+Q121+S121+U121+W121+Y121</f>
        <v>390285</v>
      </c>
      <c r="AB121" s="85">
        <f>AA121/AA122*100</f>
        <v>100</v>
      </c>
      <c r="AD121" s="237"/>
    </row>
    <row r="122" spans="1:30" s="69" customFormat="1" x14ac:dyDescent="0.25">
      <c r="A122" s="67" t="s">
        <v>72</v>
      </c>
      <c r="B122" s="70">
        <f>SUM(B121)</f>
        <v>900</v>
      </c>
      <c r="C122" s="92">
        <f t="shared" ref="C122:G122" si="25">SUM(C121:C121)</f>
        <v>100</v>
      </c>
      <c r="D122" s="70">
        <f t="shared" si="25"/>
        <v>34695</v>
      </c>
      <c r="E122" s="92">
        <f t="shared" si="25"/>
        <v>100</v>
      </c>
      <c r="F122" s="70">
        <f>SUM(F121)</f>
        <v>49140</v>
      </c>
      <c r="G122" s="92">
        <f t="shared" si="25"/>
        <v>100</v>
      </c>
      <c r="H122" s="70">
        <f>SUM(H121)</f>
        <v>65160</v>
      </c>
      <c r="I122" s="92">
        <f>SUM(I121:I121)</f>
        <v>100</v>
      </c>
      <c r="J122" s="70">
        <f>SUM(J121)</f>
        <v>88965</v>
      </c>
      <c r="K122" s="92">
        <f>SUM(K121:K121)</f>
        <v>100</v>
      </c>
      <c r="L122" s="70">
        <f>SUM(L121)</f>
        <v>21375</v>
      </c>
      <c r="M122" s="92">
        <f>SUM(M121)</f>
        <v>100</v>
      </c>
      <c r="N122" s="70">
        <f>SUM(N121)</f>
        <v>37170</v>
      </c>
      <c r="O122" s="92">
        <f>SUM(O121)</f>
        <v>100</v>
      </c>
      <c r="P122" s="320"/>
      <c r="Q122" s="70">
        <f>SUM(Q121)</f>
        <v>31365</v>
      </c>
      <c r="R122" s="92">
        <f t="shared" ref="R122:Z122" si="26">SUM(R121:R121)</f>
        <v>100</v>
      </c>
      <c r="S122" s="70">
        <f>SUM(S121)</f>
        <v>6930</v>
      </c>
      <c r="T122" s="92">
        <f t="shared" si="26"/>
        <v>100</v>
      </c>
      <c r="U122" s="70">
        <f t="shared" si="26"/>
        <v>26370</v>
      </c>
      <c r="V122" s="92">
        <f t="shared" si="26"/>
        <v>100</v>
      </c>
      <c r="W122" s="70">
        <f>SUM(W121)</f>
        <v>21330</v>
      </c>
      <c r="X122" s="92">
        <f t="shared" si="26"/>
        <v>100</v>
      </c>
      <c r="Y122" s="70">
        <f>SUM(Y121)</f>
        <v>6885</v>
      </c>
      <c r="Z122" s="92">
        <f t="shared" si="26"/>
        <v>100</v>
      </c>
      <c r="AA122" s="70">
        <f>SUM(AA121)</f>
        <v>390285</v>
      </c>
      <c r="AB122" s="92">
        <f>SUM(AB121:AB121)</f>
        <v>100</v>
      </c>
      <c r="AD122" s="87"/>
    </row>
    <row r="123" spans="1:30" s="69" customFormat="1" x14ac:dyDescent="0.25">
      <c r="A123" s="152" t="s">
        <v>96</v>
      </c>
      <c r="B123" s="117"/>
      <c r="C123" s="118"/>
      <c r="D123" s="119"/>
      <c r="E123" s="118"/>
      <c r="F123" s="120"/>
      <c r="G123" s="118"/>
      <c r="H123" s="121"/>
      <c r="I123" s="118"/>
      <c r="J123" s="246"/>
      <c r="K123" s="247"/>
      <c r="L123" s="123"/>
      <c r="M123" s="123"/>
      <c r="N123" s="124"/>
      <c r="O123" s="118"/>
      <c r="P123" s="313"/>
      <c r="Q123" s="125"/>
      <c r="R123" s="118"/>
      <c r="S123" s="126"/>
      <c r="T123" s="118"/>
      <c r="U123" s="127"/>
      <c r="V123" s="118"/>
      <c r="W123" s="128"/>
      <c r="X123" s="118"/>
      <c r="Y123" s="129"/>
      <c r="Z123" s="118"/>
      <c r="AA123" s="130"/>
      <c r="AB123" s="118"/>
    </row>
    <row r="124" spans="1:30" s="69" customFormat="1" x14ac:dyDescent="0.25">
      <c r="A124" s="76" t="s">
        <v>97</v>
      </c>
      <c r="B124" s="57">
        <v>500580</v>
      </c>
      <c r="C124" s="144">
        <f>B124/B125*100</f>
        <v>100</v>
      </c>
      <c r="D124" s="57">
        <v>241560</v>
      </c>
      <c r="E124" s="144">
        <f>D124/D125*100</f>
        <v>100</v>
      </c>
      <c r="F124" s="57">
        <v>455490</v>
      </c>
      <c r="G124" s="144">
        <f>F124/F125*100</f>
        <v>100</v>
      </c>
      <c r="H124" s="57">
        <v>463680</v>
      </c>
      <c r="I124" s="144">
        <f>H124/H125*100</f>
        <v>100</v>
      </c>
      <c r="J124" s="245">
        <v>466335</v>
      </c>
      <c r="K124" s="144">
        <f>J124/J125*100</f>
        <v>100</v>
      </c>
      <c r="L124" s="57">
        <v>362475</v>
      </c>
      <c r="M124" s="144">
        <f>L124/L125*100</f>
        <v>100</v>
      </c>
      <c r="N124" s="57">
        <v>204795</v>
      </c>
      <c r="O124" s="144">
        <f>N124/N125*100</f>
        <v>100</v>
      </c>
      <c r="P124" s="314"/>
      <c r="Q124" s="57">
        <v>101970</v>
      </c>
      <c r="R124" s="144">
        <f>Q124/Q125*100</f>
        <v>100</v>
      </c>
      <c r="S124" s="57">
        <f>232875</f>
        <v>232875</v>
      </c>
      <c r="T124" s="144">
        <f>S124/S125*100</f>
        <v>100</v>
      </c>
      <c r="U124" s="57">
        <v>161190</v>
      </c>
      <c r="V124" s="144">
        <f>U124/U125*100</f>
        <v>100</v>
      </c>
      <c r="W124" s="57">
        <f>450+115245</f>
        <v>115695</v>
      </c>
      <c r="X124" s="144">
        <f>W124/W125*100</f>
        <v>100</v>
      </c>
      <c r="Y124" s="57">
        <v>158085</v>
      </c>
      <c r="Z124" s="144">
        <f>Y124/Y125*100</f>
        <v>100</v>
      </c>
      <c r="AA124" s="52">
        <f>B124+D124+F124+H124+J124+L124+N124+Q124+S124+U124+W124+Y124</f>
        <v>3464730</v>
      </c>
      <c r="AB124" s="144">
        <f>AA124/AA125*100</f>
        <v>100</v>
      </c>
    </row>
    <row r="125" spans="1:30" s="69" customFormat="1" x14ac:dyDescent="0.25">
      <c r="A125" s="67" t="s">
        <v>72</v>
      </c>
      <c r="B125" s="70">
        <f>SUM(B124)</f>
        <v>500580</v>
      </c>
      <c r="C125" s="92">
        <f>SUM(C123:C124)</f>
        <v>100</v>
      </c>
      <c r="D125" s="70">
        <f>SUM(D124:D124)</f>
        <v>241560</v>
      </c>
      <c r="E125" s="92">
        <f>SUM(E123:E124)</f>
        <v>100</v>
      </c>
      <c r="F125" s="70">
        <f>SUM(F124)</f>
        <v>455490</v>
      </c>
      <c r="G125" s="92">
        <f>SUM(G123:G124)</f>
        <v>100</v>
      </c>
      <c r="H125" s="70">
        <f>SUM(H124)</f>
        <v>463680</v>
      </c>
      <c r="I125" s="92">
        <f>SUM(I123:I124)</f>
        <v>100</v>
      </c>
      <c r="J125" s="243">
        <f>SUM(J124)</f>
        <v>466335</v>
      </c>
      <c r="K125" s="92">
        <f>SUM(K123:K124)</f>
        <v>100</v>
      </c>
      <c r="L125" s="70">
        <f>SUM(L124)</f>
        <v>362475</v>
      </c>
      <c r="M125" s="92">
        <f>SUM(M124)</f>
        <v>100</v>
      </c>
      <c r="N125" s="70">
        <f>SUM(N124)</f>
        <v>204795</v>
      </c>
      <c r="O125" s="92">
        <f>SUM(O124)</f>
        <v>100</v>
      </c>
      <c r="P125" s="320"/>
      <c r="Q125" s="70">
        <f>SUM(Q124)</f>
        <v>101970</v>
      </c>
      <c r="R125" s="92">
        <f>SUM(R123:R124)</f>
        <v>100</v>
      </c>
      <c r="S125" s="70">
        <f>SUM(S124)</f>
        <v>232875</v>
      </c>
      <c r="T125" s="92">
        <f>SUM(T123:T124)</f>
        <v>100</v>
      </c>
      <c r="U125" s="70">
        <f t="shared" ref="U125" si="27">SUM(U123:U124)</f>
        <v>161190</v>
      </c>
      <c r="V125" s="92">
        <f>SUM(V123:V124)</f>
        <v>100</v>
      </c>
      <c r="W125" s="70">
        <f>SUM(W124)</f>
        <v>115695</v>
      </c>
      <c r="X125" s="92">
        <f>SUM(X123:X124)</f>
        <v>100</v>
      </c>
      <c r="Y125" s="70">
        <f>SUM(Y124)</f>
        <v>158085</v>
      </c>
      <c r="Z125" s="92">
        <f>SUM(Z123:Z124)</f>
        <v>100</v>
      </c>
      <c r="AA125" s="70">
        <f>SUM(AA124)</f>
        <v>3464730</v>
      </c>
      <c r="AB125" s="92">
        <f>SUM(AB123:AB124)</f>
        <v>100</v>
      </c>
      <c r="AD125" s="87"/>
    </row>
    <row r="126" spans="1:30" ht="15.75" x14ac:dyDescent="0.25">
      <c r="A126" s="116" t="s">
        <v>65</v>
      </c>
      <c r="B126" s="117"/>
      <c r="C126" s="118"/>
      <c r="D126" s="119"/>
      <c r="E126" s="118"/>
      <c r="F126" s="120"/>
      <c r="G126" s="118"/>
      <c r="H126" s="121"/>
      <c r="I126" s="118"/>
      <c r="J126" s="122"/>
      <c r="K126" s="118"/>
      <c r="L126" s="172"/>
      <c r="M126" s="123"/>
      <c r="N126" s="124"/>
      <c r="O126" s="118"/>
      <c r="P126" s="313"/>
      <c r="Q126" s="125"/>
      <c r="R126" s="118"/>
      <c r="S126" s="126"/>
      <c r="T126" s="118"/>
      <c r="U126" s="127"/>
      <c r="V126" s="118"/>
      <c r="W126" s="128"/>
      <c r="X126" s="118"/>
      <c r="Y126" s="129"/>
      <c r="Z126" s="118"/>
      <c r="AA126" s="130"/>
      <c r="AB126" s="118"/>
    </row>
    <row r="127" spans="1:30" x14ac:dyDescent="0.25">
      <c r="A127" s="76" t="s">
        <v>102</v>
      </c>
      <c r="B127" s="159"/>
      <c r="C127" s="251"/>
      <c r="D127" s="161"/>
      <c r="E127" s="160"/>
      <c r="F127" s="162"/>
      <c r="G127" s="183"/>
      <c r="H127" s="163"/>
      <c r="I127" s="160"/>
      <c r="J127" s="164">
        <v>1800</v>
      </c>
      <c r="K127" s="183">
        <f>J127/J128*100</f>
        <v>100</v>
      </c>
      <c r="L127" s="57"/>
      <c r="M127" s="165"/>
      <c r="N127" s="166"/>
      <c r="O127" s="160"/>
      <c r="P127" s="313"/>
      <c r="Q127" s="167"/>
      <c r="R127" s="183"/>
      <c r="S127" s="168"/>
      <c r="T127" s="160"/>
      <c r="U127" s="169"/>
      <c r="V127" s="160"/>
      <c r="W127" s="170"/>
      <c r="X127" s="144"/>
      <c r="Y127" s="171"/>
      <c r="Z127" s="144">
        <v>0</v>
      </c>
      <c r="AA127" s="52">
        <f>B127+D127+F127+H127+J127+L127+N127+Q127+S127+U127+W127+Y127</f>
        <v>1800</v>
      </c>
      <c r="AB127" s="85">
        <f>AA127/AA128*100</f>
        <v>100</v>
      </c>
    </row>
    <row r="128" spans="1:30" s="69" customFormat="1" x14ac:dyDescent="0.25">
      <c r="A128" s="67" t="s">
        <v>72</v>
      </c>
      <c r="B128" s="70">
        <f t="shared" ref="B128:I128" si="28">SUM(B126:B127)</f>
        <v>0</v>
      </c>
      <c r="C128" s="92">
        <f t="shared" si="28"/>
        <v>0</v>
      </c>
      <c r="D128" s="70">
        <f t="shared" si="28"/>
        <v>0</v>
      </c>
      <c r="E128" s="92">
        <f t="shared" si="28"/>
        <v>0</v>
      </c>
      <c r="F128" s="70">
        <f t="shared" si="28"/>
        <v>0</v>
      </c>
      <c r="G128" s="92">
        <f t="shared" si="28"/>
        <v>0</v>
      </c>
      <c r="H128" s="70">
        <f>SUM(H127)</f>
        <v>0</v>
      </c>
      <c r="I128" s="92">
        <f t="shared" si="28"/>
        <v>0</v>
      </c>
      <c r="J128" s="70">
        <f>SUM(J127:J127)</f>
        <v>1800</v>
      </c>
      <c r="K128" s="92">
        <f>SUM(K126:K127)</f>
        <v>100</v>
      </c>
      <c r="L128" s="70">
        <f>SUM(L127:L127)</f>
        <v>0</v>
      </c>
      <c r="M128" s="92">
        <f>SUM(M126:M127)</f>
        <v>0</v>
      </c>
      <c r="N128" s="70">
        <f t="shared" ref="N128:Z128" si="29">SUM(N126:N127)</f>
        <v>0</v>
      </c>
      <c r="O128" s="92">
        <f t="shared" si="29"/>
        <v>0</v>
      </c>
      <c r="P128" s="320"/>
      <c r="Q128" s="70">
        <f>SUM(Q127)</f>
        <v>0</v>
      </c>
      <c r="R128" s="92">
        <f t="shared" si="29"/>
        <v>0</v>
      </c>
      <c r="S128" s="70">
        <f t="shared" si="29"/>
        <v>0</v>
      </c>
      <c r="T128" s="92">
        <f t="shared" si="29"/>
        <v>0</v>
      </c>
      <c r="U128" s="70">
        <f t="shared" si="29"/>
        <v>0</v>
      </c>
      <c r="V128" s="92">
        <f t="shared" si="29"/>
        <v>0</v>
      </c>
      <c r="W128" s="70">
        <f t="shared" si="29"/>
        <v>0</v>
      </c>
      <c r="X128" s="92">
        <f t="shared" si="29"/>
        <v>0</v>
      </c>
      <c r="Y128" s="70">
        <f t="shared" si="29"/>
        <v>0</v>
      </c>
      <c r="Z128" s="92">
        <f t="shared" si="29"/>
        <v>0</v>
      </c>
      <c r="AA128" s="70">
        <f>SUM(AA127:AA127)</f>
        <v>1800</v>
      </c>
      <c r="AB128" s="92">
        <f>SUM(AB126:AB127)</f>
        <v>100</v>
      </c>
      <c r="AD128" s="87"/>
    </row>
    <row r="129" spans="1:30" s="69" customFormat="1" x14ac:dyDescent="0.25">
      <c r="A129" s="199" t="s">
        <v>113</v>
      </c>
      <c r="B129" s="70"/>
      <c r="C129" s="92"/>
      <c r="D129" s="70"/>
      <c r="E129" s="92"/>
      <c r="F129" s="70"/>
      <c r="G129" s="92"/>
      <c r="H129" s="70"/>
      <c r="I129" s="92"/>
      <c r="J129" s="71"/>
      <c r="K129" s="85"/>
      <c r="L129" s="70"/>
      <c r="M129" s="92"/>
      <c r="N129" s="71"/>
      <c r="O129" s="85"/>
      <c r="P129" s="321"/>
      <c r="Q129" s="71"/>
      <c r="R129" s="85"/>
      <c r="S129" s="71"/>
      <c r="T129" s="85"/>
      <c r="U129" s="71"/>
      <c r="V129" s="85"/>
      <c r="W129" s="71"/>
      <c r="X129" s="85"/>
      <c r="Y129" s="71"/>
      <c r="Z129" s="85"/>
      <c r="AA129" s="71"/>
      <c r="AB129" s="85"/>
      <c r="AD129" s="87"/>
    </row>
    <row r="130" spans="1:30" s="69" customFormat="1" x14ac:dyDescent="0.25">
      <c r="A130" s="199"/>
      <c r="B130" s="70"/>
      <c r="C130" s="92"/>
      <c r="D130" s="70"/>
      <c r="E130" s="92"/>
      <c r="F130" s="70"/>
      <c r="G130" s="92"/>
      <c r="H130" s="70"/>
      <c r="I130" s="92"/>
      <c r="J130" s="70">
        <f>SUM(J129)</f>
        <v>0</v>
      </c>
      <c r="K130" s="92">
        <f>SUM(K129)</f>
        <v>0</v>
      </c>
      <c r="L130" s="70"/>
      <c r="M130" s="92"/>
      <c r="N130" s="70">
        <f>SUM(N129)</f>
        <v>0</v>
      </c>
      <c r="O130" s="92">
        <f>SUM(O129)</f>
        <v>0</v>
      </c>
      <c r="P130" s="320"/>
      <c r="Q130" s="70"/>
      <c r="R130" s="92"/>
      <c r="S130" s="70"/>
      <c r="T130" s="92"/>
      <c r="U130" s="70"/>
      <c r="V130" s="92"/>
      <c r="W130" s="70"/>
      <c r="X130" s="92"/>
      <c r="Y130" s="70"/>
      <c r="Z130" s="92"/>
      <c r="AA130" s="70"/>
      <c r="AB130" s="92"/>
      <c r="AD130" s="87"/>
    </row>
    <row r="131" spans="1:30" s="69" customFormat="1" ht="20.25" x14ac:dyDescent="0.3">
      <c r="A131" s="103" t="s">
        <v>61</v>
      </c>
      <c r="B131" s="107">
        <f>B30+B55+B68+B72+B81+B87+B90+B93+B104+B108+B122+B125</f>
        <v>1319940</v>
      </c>
      <c r="C131" s="105"/>
      <c r="D131" s="180">
        <f>D30+D55+D68+D72+D81+D87+D90+D93+D104+D116+D122+D125</f>
        <v>1334700</v>
      </c>
      <c r="E131" s="107"/>
      <c r="F131" s="107">
        <f>F30+F55+F68+F72+F81+F90+F93+F100+F104+F108+F116+F122+F125</f>
        <v>1582695</v>
      </c>
      <c r="G131" s="107"/>
      <c r="H131" s="107">
        <f>H30+H55+H68+H72+H81+H90+H93+H96+H100+H104+H108+H116+H119+H122+H125</f>
        <v>1764540</v>
      </c>
      <c r="I131" s="105"/>
      <c r="J131" s="180">
        <f>J30+J55+J68+J72+J87+J90+J93+J104+J116+J122+J125+J128</f>
        <v>1800450</v>
      </c>
      <c r="K131" s="105"/>
      <c r="L131" s="107">
        <f>L30+L55+L68+L72+L81+L87+L90+L93+L100+L104+L116+L122+L125</f>
        <v>1319535</v>
      </c>
      <c r="M131" s="104"/>
      <c r="N131" s="107">
        <f>N30+N55+N68+N72+N81+N87+N90+N93+N104+N116+N122+N125</f>
        <v>1596195</v>
      </c>
      <c r="O131" s="105"/>
      <c r="P131" s="325"/>
      <c r="Q131" s="107">
        <f>Q30+Q55+Q68+Q72+Q81+Q87+Q90+Q93+Q96+Q104+Q116+Q122+Q125</f>
        <v>1152540</v>
      </c>
      <c r="R131" s="105"/>
      <c r="S131" s="107">
        <f>S30+S55+S68+S72+S81+S87+S90+S93+S96+S100+S104+S108+S116+S122+S125</f>
        <v>1260315</v>
      </c>
      <c r="T131" s="105"/>
      <c r="U131" s="107">
        <f>U30+U55+U68+U72+U81+U90+U93+U100+U104+U116+U122+U125</f>
        <v>1255770</v>
      </c>
      <c r="V131" s="105"/>
      <c r="W131" s="107">
        <f>W30+W55+W68+W72+W81+W90+W93+W96+W100+W104+W116+W122+W125</f>
        <v>1146960</v>
      </c>
      <c r="X131" s="105"/>
      <c r="Y131" s="107">
        <f>Y30+Y55+Y68+Y72+Y81+Y87+Y90+Y93+Y104+Y100+Y122+Y125</f>
        <v>1043145</v>
      </c>
      <c r="Z131" s="105"/>
      <c r="AA131" s="108">
        <f>B131+D131+F131+H131+J131+L131+N131+Q131+S131+U131+W131+Y131</f>
        <v>16576785</v>
      </c>
      <c r="AB131" s="106"/>
      <c r="AD131" s="87"/>
    </row>
    <row r="132" spans="1:30" x14ac:dyDescent="0.25">
      <c r="B132" s="209"/>
      <c r="D132" s="158"/>
      <c r="E132" s="221"/>
      <c r="I132" s="97"/>
      <c r="J132" s="248"/>
      <c r="N132" s="155"/>
      <c r="T132" s="155"/>
      <c r="W132" s="155"/>
      <c r="Y132" s="58"/>
      <c r="Z132" s="100"/>
      <c r="AA132" s="155">
        <f>SUM(B132:Y132)</f>
        <v>0</v>
      </c>
      <c r="AB132" s="176">
        <f>AA132*45</f>
        <v>0</v>
      </c>
      <c r="AC132" s="177"/>
    </row>
    <row r="133" spans="1:30" x14ac:dyDescent="0.25">
      <c r="A133" s="327" t="s">
        <v>134</v>
      </c>
      <c r="B133" s="328">
        <f>B131/45</f>
        <v>29332</v>
      </c>
      <c r="C133" s="329"/>
      <c r="D133" s="330">
        <f>D131/45</f>
        <v>29660</v>
      </c>
      <c r="E133" s="329"/>
      <c r="F133" s="330">
        <f>F131/45</f>
        <v>35171</v>
      </c>
      <c r="G133" s="329"/>
      <c r="H133" s="330">
        <f>H131/45</f>
        <v>39212</v>
      </c>
      <c r="I133" s="331"/>
      <c r="J133" s="330">
        <f>J131/45</f>
        <v>40010</v>
      </c>
      <c r="K133" s="329"/>
      <c r="L133" s="332">
        <f>L131/45</f>
        <v>29323</v>
      </c>
      <c r="M133" s="333"/>
      <c r="N133" s="332">
        <f>N131/45</f>
        <v>35471</v>
      </c>
      <c r="O133" s="329"/>
      <c r="P133" s="334"/>
      <c r="Q133" s="335">
        <f>Q131/45</f>
        <v>25612</v>
      </c>
      <c r="R133" s="329"/>
      <c r="S133" s="328">
        <f>S131/45</f>
        <v>28007</v>
      </c>
      <c r="T133" s="329"/>
      <c r="U133" s="328">
        <f>U131/45</f>
        <v>27906</v>
      </c>
      <c r="V133" s="329"/>
      <c r="W133" s="328">
        <f>W131/45</f>
        <v>25488</v>
      </c>
      <c r="X133" s="329"/>
      <c r="Y133" s="328">
        <f>Y131/45</f>
        <v>23181</v>
      </c>
      <c r="Z133" s="336"/>
      <c r="AA133" s="337">
        <f>B133+D133+F133+H133+J133+L133+N133+Q133+S133+U133+W133+Y133</f>
        <v>368373</v>
      </c>
      <c r="AB133" s="178"/>
    </row>
    <row r="134" spans="1:30" x14ac:dyDescent="0.25">
      <c r="B134" s="58"/>
      <c r="E134" s="175"/>
      <c r="H134" s="269"/>
      <c r="I134" s="97"/>
      <c r="J134" s="209"/>
      <c r="K134" s="175"/>
      <c r="L134" s="255"/>
      <c r="N134" s="257"/>
      <c r="Q134" s="265"/>
      <c r="T134" s="208"/>
      <c r="U134" s="58"/>
      <c r="Y134" s="58"/>
      <c r="Z134" s="97"/>
      <c r="AA134" s="174"/>
      <c r="AB134" s="177"/>
      <c r="AD134" s="177"/>
    </row>
    <row r="135" spans="1:30" s="69" customFormat="1" x14ac:dyDescent="0.25">
      <c r="C135" s="181"/>
      <c r="D135" s="214"/>
      <c r="E135" s="215"/>
      <c r="F135" s="268"/>
      <c r="H135" s="88"/>
      <c r="L135" s="88"/>
      <c r="N135" s="149"/>
      <c r="P135" s="302"/>
      <c r="S135" s="88"/>
      <c r="U135" s="88"/>
      <c r="W135" s="88"/>
      <c r="AA135" s="149"/>
      <c r="AB135" s="274"/>
    </row>
    <row r="136" spans="1:30" x14ac:dyDescent="0.25">
      <c r="B136"/>
      <c r="C136" s="182"/>
      <c r="D136" s="212"/>
      <c r="E136" s="213"/>
      <c r="F136" s="212"/>
      <c r="G136"/>
      <c r="H136" s="182"/>
      <c r="I136" s="223"/>
      <c r="J136"/>
      <c r="K136"/>
      <c r="L136" s="201"/>
      <c r="M136" s="253"/>
      <c r="N136" s="201"/>
      <c r="O136" s="258"/>
      <c r="P136" s="303"/>
      <c r="Q136" s="182"/>
      <c r="R136"/>
      <c r="S136"/>
      <c r="T136"/>
      <c r="U136"/>
      <c r="V136"/>
      <c r="W136"/>
      <c r="X136"/>
      <c r="Y136" s="53"/>
      <c r="Z136"/>
      <c r="AA136" s="212"/>
      <c r="AB136"/>
    </row>
    <row r="137" spans="1:30" x14ac:dyDescent="0.25">
      <c r="A137" s="34"/>
      <c r="B137" s="58"/>
      <c r="D137" s="211"/>
      <c r="E137" s="216"/>
      <c r="F137" s="217"/>
      <c r="H137" s="270"/>
      <c r="I137" s="58"/>
      <c r="J137" s="58"/>
      <c r="L137" s="252"/>
      <c r="M137" s="253"/>
      <c r="N137" s="252"/>
      <c r="O137" s="259"/>
      <c r="P137" s="305"/>
      <c r="Q137" s="58"/>
    </row>
    <row r="138" spans="1:30" x14ac:dyDescent="0.25">
      <c r="A138" s="34"/>
      <c r="B138" s="58"/>
      <c r="D138" s="211"/>
      <c r="E138" s="58"/>
      <c r="F138" s="58"/>
      <c r="H138" s="270"/>
      <c r="I138" s="58"/>
      <c r="J138" s="58"/>
      <c r="L138" s="252"/>
      <c r="M138" s="253"/>
      <c r="N138" s="252"/>
      <c r="O138" s="259"/>
      <c r="P138" s="305"/>
      <c r="Q138" s="58"/>
    </row>
    <row r="139" spans="1:30" x14ac:dyDescent="0.25">
      <c r="A139" s="34"/>
      <c r="B139" s="58"/>
      <c r="D139" s="211"/>
      <c r="E139"/>
      <c r="F139" s="58"/>
      <c r="H139" s="270"/>
      <c r="I139" s="58"/>
      <c r="J139" s="58"/>
      <c r="L139" s="252"/>
      <c r="M139" s="253"/>
      <c r="N139" s="252"/>
      <c r="O139" s="259"/>
      <c r="P139" s="305"/>
      <c r="Q139" s="58"/>
    </row>
    <row r="140" spans="1:30" x14ac:dyDescent="0.25">
      <c r="A140" s="34"/>
      <c r="B140" s="58"/>
      <c r="C140" s="208"/>
      <c r="D140" s="58"/>
      <c r="F140" s="58"/>
      <c r="H140" s="270"/>
      <c r="I140" s="58"/>
      <c r="J140" s="58"/>
      <c r="L140" s="252"/>
      <c r="M140" s="253"/>
      <c r="N140" s="260"/>
      <c r="O140" s="259"/>
      <c r="P140" s="305"/>
      <c r="Y140" s="58"/>
      <c r="Z140" s="97"/>
    </row>
    <row r="141" spans="1:30" x14ac:dyDescent="0.25">
      <c r="A141" s="69"/>
      <c r="B141" s="58"/>
      <c r="C141" s="208"/>
      <c r="D141" s="58"/>
      <c r="F141" s="58"/>
      <c r="H141" s="270"/>
      <c r="I141" s="58"/>
      <c r="J141" s="58"/>
      <c r="L141" s="252"/>
      <c r="M141" s="253"/>
      <c r="N141" s="252"/>
      <c r="O141" s="261"/>
      <c r="P141" s="306"/>
      <c r="Z141" s="97"/>
    </row>
    <row r="142" spans="1:30" x14ac:dyDescent="0.25">
      <c r="A142" s="69"/>
      <c r="B142" s="58"/>
      <c r="C142" s="208"/>
      <c r="D142" s="58"/>
      <c r="E142" s="175"/>
      <c r="F142" s="58"/>
      <c r="H142" s="270"/>
      <c r="I142" s="58"/>
      <c r="J142" s="58"/>
      <c r="L142" s="252"/>
      <c r="M142" s="254"/>
      <c r="N142" s="252"/>
      <c r="O142" s="259"/>
      <c r="P142" s="305"/>
      <c r="Z142" s="97"/>
    </row>
    <row r="143" spans="1:30" x14ac:dyDescent="0.25">
      <c r="A143" s="201"/>
      <c r="B143" s="58"/>
      <c r="C143" s="208"/>
      <c r="D143" s="58"/>
      <c r="F143" s="58"/>
      <c r="H143" s="270"/>
      <c r="I143" s="58"/>
      <c r="J143" s="58"/>
      <c r="L143" s="252"/>
      <c r="M143" s="254"/>
      <c r="O143" s="261"/>
      <c r="P143" s="306"/>
      <c r="R143"/>
      <c r="Z143" s="97"/>
    </row>
    <row r="144" spans="1:30" x14ac:dyDescent="0.25">
      <c r="A144" s="201"/>
      <c r="B144" s="58"/>
      <c r="C144" s="208"/>
      <c r="D144" s="58"/>
      <c r="F144" s="58"/>
      <c r="H144" s="270"/>
      <c r="I144" s="58"/>
      <c r="J144" s="58"/>
      <c r="N144" s="252"/>
      <c r="O144" s="262"/>
      <c r="P144" s="307"/>
      <c r="X144" s="100"/>
      <c r="Z144" s="97"/>
    </row>
    <row r="145" spans="1:28" x14ac:dyDescent="0.25">
      <c r="A145" s="201"/>
      <c r="B145" s="58"/>
      <c r="C145" s="208"/>
      <c r="D145" s="58"/>
      <c r="F145" s="58"/>
      <c r="H145" s="270"/>
      <c r="I145" s="58"/>
      <c r="J145" s="58"/>
      <c r="N145" s="252"/>
      <c r="O145" s="259"/>
      <c r="P145" s="305"/>
      <c r="Q145" s="264"/>
      <c r="X145" s="100"/>
      <c r="Z145" s="97"/>
    </row>
    <row r="146" spans="1:28" x14ac:dyDescent="0.25">
      <c r="B146" s="58"/>
      <c r="C146" s="208"/>
      <c r="D146" s="58"/>
      <c r="F146" s="58"/>
      <c r="H146" s="270"/>
      <c r="I146" s="264"/>
      <c r="J146" s="58"/>
      <c r="N146" s="252"/>
      <c r="O146" s="261"/>
      <c r="P146" s="306"/>
    </row>
    <row r="147" spans="1:28" x14ac:dyDescent="0.25">
      <c r="A147" s="201"/>
      <c r="B147" s="58"/>
      <c r="C147" s="208"/>
      <c r="D147" s="58"/>
      <c r="F147" s="58"/>
      <c r="H147" s="270"/>
      <c r="I147" s="217"/>
      <c r="J147" s="58"/>
      <c r="O147" s="263"/>
      <c r="P147" s="308"/>
    </row>
    <row r="148" spans="1:28" x14ac:dyDescent="0.25">
      <c r="A148" s="201"/>
      <c r="B148" s="58"/>
      <c r="C148" s="208"/>
      <c r="D148" s="58"/>
      <c r="F148" s="58"/>
      <c r="H148" s="270"/>
      <c r="I148" s="58"/>
      <c r="J148" s="58"/>
      <c r="O148" s="206"/>
      <c r="P148" s="309"/>
    </row>
    <row r="149" spans="1:28" x14ac:dyDescent="0.25">
      <c r="A149" s="203"/>
      <c r="B149" s="58"/>
      <c r="C149" s="208"/>
      <c r="D149" s="58"/>
      <c r="F149" s="58"/>
      <c r="H149" s="54"/>
      <c r="I149" s="58"/>
      <c r="J149" s="58"/>
      <c r="N149" s="204"/>
      <c r="O149" s="205"/>
      <c r="P149" s="310"/>
    </row>
    <row r="150" spans="1:28" x14ac:dyDescent="0.25">
      <c r="A150" s="201"/>
      <c r="B150" s="58"/>
      <c r="C150" s="208"/>
      <c r="D150" s="58"/>
      <c r="F150" s="58"/>
      <c r="H150" s="54"/>
      <c r="I150" s="58"/>
      <c r="J150" s="58"/>
    </row>
    <row r="151" spans="1:28" s="54" customFormat="1" hidden="1" x14ac:dyDescent="0.25">
      <c r="A151" s="34"/>
      <c r="B151" s="58"/>
      <c r="C151" s="208"/>
      <c r="D151" s="58"/>
      <c r="F151" s="58"/>
      <c r="H151"/>
      <c r="I151" s="58"/>
      <c r="J151" s="58"/>
      <c r="L151" s="55"/>
      <c r="M151" s="55"/>
      <c r="P151" s="301"/>
    </row>
    <row r="152" spans="1:28" s="54" customFormat="1" x14ac:dyDescent="0.25">
      <c r="A152" s="34"/>
      <c r="B152" s="58"/>
      <c r="C152" s="208"/>
      <c r="D152" s="58"/>
      <c r="F152" s="58"/>
      <c r="I152" s="58"/>
      <c r="J152" s="58"/>
      <c r="L152" s="55"/>
      <c r="M152" s="55"/>
      <c r="P152" s="301"/>
    </row>
    <row r="153" spans="1:28" x14ac:dyDescent="0.25">
      <c r="A153" s="201"/>
      <c r="B153" s="58"/>
      <c r="C153" s="208"/>
      <c r="D153" s="58"/>
      <c r="E153" s="175"/>
      <c r="F153" s="58"/>
      <c r="H153"/>
      <c r="I153" s="224"/>
      <c r="J153" s="58"/>
      <c r="O153"/>
      <c r="P153" s="311"/>
      <c r="Q153"/>
      <c r="R153"/>
      <c r="S153"/>
      <c r="T153"/>
      <c r="U153"/>
      <c r="V153"/>
      <c r="W153"/>
      <c r="X153"/>
      <c r="Y153"/>
      <c r="Z153"/>
      <c r="AB153"/>
    </row>
    <row r="154" spans="1:28" x14ac:dyDescent="0.25">
      <c r="A154" s="201"/>
      <c r="B154" s="58"/>
      <c r="C154" s="208"/>
      <c r="D154" s="58"/>
      <c r="F154" s="58"/>
      <c r="G154"/>
      <c r="H154" s="58"/>
      <c r="J154" s="58"/>
      <c r="O154"/>
      <c r="P154" s="311"/>
      <c r="Q154"/>
      <c r="R154"/>
      <c r="S154"/>
      <c r="T154"/>
      <c r="U154"/>
      <c r="V154"/>
      <c r="W154"/>
      <c r="X154"/>
      <c r="Y154"/>
      <c r="Z154"/>
      <c r="AB154"/>
    </row>
    <row r="155" spans="1:28" x14ac:dyDescent="0.25">
      <c r="A155" s="201"/>
      <c r="B155" s="58"/>
      <c r="C155" s="208"/>
      <c r="D155" s="58"/>
      <c r="F155" s="58"/>
      <c r="G155"/>
      <c r="H155" s="58"/>
      <c r="J155" s="58"/>
      <c r="O155"/>
      <c r="P155" s="311"/>
      <c r="Q155"/>
      <c r="R155"/>
      <c r="S155"/>
      <c r="T155"/>
      <c r="U155"/>
      <c r="V155"/>
      <c r="W155"/>
      <c r="X155"/>
      <c r="Y155"/>
      <c r="Z155"/>
      <c r="AB155"/>
    </row>
    <row r="156" spans="1:28" x14ac:dyDescent="0.25">
      <c r="A156" s="201"/>
      <c r="B156" s="58"/>
      <c r="C156" s="208"/>
      <c r="D156" s="58"/>
      <c r="F156" s="58"/>
      <c r="G156"/>
      <c r="H156" s="58"/>
      <c r="J156" s="58"/>
      <c r="O156"/>
      <c r="P156" s="311"/>
      <c r="Q156"/>
      <c r="R156"/>
      <c r="S156"/>
      <c r="T156"/>
      <c r="U156"/>
      <c r="V156"/>
      <c r="W156"/>
      <c r="X156"/>
      <c r="Y156"/>
      <c r="Z156"/>
      <c r="AB156"/>
    </row>
    <row r="157" spans="1:28" x14ac:dyDescent="0.25">
      <c r="A157" s="201"/>
      <c r="B157" s="58"/>
      <c r="C157" s="175"/>
      <c r="D157" s="58"/>
      <c r="F157" s="58"/>
      <c r="G157"/>
      <c r="H157" s="58"/>
      <c r="J157" s="58"/>
      <c r="O157"/>
      <c r="P157" s="311"/>
      <c r="Q157"/>
      <c r="R157"/>
      <c r="S157"/>
      <c r="T157"/>
      <c r="U157"/>
      <c r="V157"/>
      <c r="W157"/>
      <c r="X157"/>
      <c r="Y157"/>
      <c r="Z157"/>
      <c r="AB157"/>
    </row>
    <row r="158" spans="1:28" x14ac:dyDescent="0.25">
      <c r="A158" s="201"/>
      <c r="B158" s="58"/>
      <c r="C158" s="175"/>
      <c r="D158" s="58"/>
      <c r="F158" s="58"/>
      <c r="G158"/>
      <c r="H158" s="58"/>
      <c r="J158" s="58"/>
      <c r="O158"/>
      <c r="P158" s="311"/>
      <c r="Q158"/>
      <c r="R158"/>
      <c r="S158"/>
      <c r="T158"/>
      <c r="U158"/>
      <c r="V158"/>
      <c r="W158"/>
      <c r="X158"/>
      <c r="Y158"/>
      <c r="Z158"/>
      <c r="AB158"/>
    </row>
    <row r="159" spans="1:28" x14ac:dyDescent="0.25">
      <c r="A159" s="201"/>
      <c r="B159" s="58"/>
      <c r="C159" s="175"/>
      <c r="D159" s="58"/>
      <c r="F159" s="58"/>
      <c r="G159"/>
      <c r="H159" s="58"/>
      <c r="J159" s="58"/>
      <c r="O159"/>
      <c r="P159" s="311"/>
      <c r="Q159"/>
      <c r="R159"/>
      <c r="S159"/>
      <c r="T159"/>
      <c r="U159"/>
      <c r="V159"/>
      <c r="W159"/>
      <c r="X159"/>
      <c r="Y159"/>
      <c r="Z159"/>
      <c r="AB159"/>
    </row>
    <row r="160" spans="1:28" x14ac:dyDescent="0.25">
      <c r="A160" s="201"/>
      <c r="B160" s="58"/>
      <c r="C160" s="175"/>
      <c r="D160" s="58"/>
      <c r="F160" s="58"/>
      <c r="G160"/>
      <c r="H160" s="58"/>
      <c r="J160" s="58"/>
      <c r="O160"/>
      <c r="P160" s="311"/>
      <c r="Q160"/>
      <c r="R160"/>
      <c r="S160"/>
      <c r="T160"/>
      <c r="U160"/>
      <c r="V160"/>
      <c r="W160"/>
      <c r="X160"/>
      <c r="Y160"/>
      <c r="Z160"/>
      <c r="AB160"/>
    </row>
    <row r="161" spans="1:28" x14ac:dyDescent="0.25">
      <c r="A161" s="202"/>
      <c r="B161" s="58"/>
      <c r="D161" s="58"/>
      <c r="F161" s="58"/>
      <c r="H161" s="58"/>
      <c r="J161" s="58"/>
      <c r="N161"/>
      <c r="O161"/>
      <c r="P161" s="311"/>
      <c r="Q161"/>
      <c r="R161"/>
      <c r="S161"/>
      <c r="T161"/>
      <c r="U161"/>
      <c r="V161"/>
      <c r="W161"/>
      <c r="X161"/>
      <c r="Y161"/>
      <c r="Z161"/>
      <c r="AB161"/>
    </row>
    <row r="162" spans="1:28" x14ac:dyDescent="0.25">
      <c r="A162" s="201"/>
      <c r="B162" s="58"/>
      <c r="D162" s="58"/>
      <c r="F162" s="58"/>
      <c r="H162" s="58"/>
      <c r="J162" s="58"/>
      <c r="N162"/>
      <c r="O162"/>
      <c r="P162" s="311"/>
      <c r="Q162"/>
      <c r="R162"/>
      <c r="S162"/>
      <c r="T162"/>
      <c r="U162"/>
      <c r="V162"/>
      <c r="W162"/>
      <c r="X162"/>
      <c r="Y162"/>
      <c r="Z162"/>
      <c r="AB162"/>
    </row>
    <row r="163" spans="1:28" x14ac:dyDescent="0.25">
      <c r="A163" s="34"/>
      <c r="B163" s="58"/>
      <c r="D163" s="58"/>
      <c r="F163" s="58"/>
      <c r="H163" s="58"/>
      <c r="J163" s="58"/>
      <c r="N163"/>
      <c r="O163"/>
      <c r="P163" s="311"/>
      <c r="Q163"/>
      <c r="R163"/>
      <c r="S163"/>
      <c r="T163"/>
      <c r="U163"/>
      <c r="V163"/>
      <c r="W163"/>
      <c r="X163"/>
      <c r="Y163"/>
      <c r="Z163"/>
      <c r="AB163"/>
    </row>
    <row r="164" spans="1:28" x14ac:dyDescent="0.25">
      <c r="A164" s="34"/>
      <c r="B164" s="58"/>
      <c r="D164" s="58"/>
      <c r="F164" s="58"/>
      <c r="H164" s="58"/>
      <c r="J164" s="58"/>
      <c r="N164"/>
      <c r="O164"/>
      <c r="P164" s="311"/>
      <c r="Q164"/>
      <c r="R164"/>
      <c r="S164"/>
      <c r="T164"/>
      <c r="U164"/>
      <c r="V164"/>
      <c r="W164"/>
      <c r="X164"/>
      <c r="Y164"/>
      <c r="Z164"/>
      <c r="AB164"/>
    </row>
    <row r="165" spans="1:28" x14ac:dyDescent="0.25">
      <c r="A165" s="34"/>
      <c r="B165" s="58"/>
      <c r="D165" s="58"/>
      <c r="F165" s="58"/>
      <c r="H165" s="58"/>
      <c r="J165" s="58"/>
      <c r="N165"/>
      <c r="O165"/>
      <c r="P165" s="311"/>
      <c r="Q165"/>
      <c r="R165"/>
      <c r="S165"/>
      <c r="T165"/>
      <c r="U165"/>
      <c r="V165"/>
      <c r="W165"/>
      <c r="X165"/>
      <c r="Y165"/>
      <c r="Z165"/>
      <c r="AB165"/>
    </row>
    <row r="166" spans="1:28" x14ac:dyDescent="0.25">
      <c r="A166" s="34"/>
      <c r="B166" s="58"/>
      <c r="D166" s="58"/>
      <c r="F166" s="58"/>
      <c r="H166" s="58"/>
      <c r="J166" s="58"/>
      <c r="N166"/>
      <c r="O166"/>
      <c r="P166" s="311"/>
      <c r="Q166"/>
      <c r="R166"/>
      <c r="S166"/>
      <c r="T166"/>
      <c r="U166"/>
      <c r="V166"/>
      <c r="W166"/>
      <c r="X166"/>
      <c r="Y166"/>
      <c r="Z166"/>
      <c r="AB166"/>
    </row>
    <row r="167" spans="1:28" x14ac:dyDescent="0.25">
      <c r="A167" s="34"/>
      <c r="B167" s="58"/>
      <c r="D167" s="58"/>
      <c r="F167" s="58"/>
      <c r="H167" s="58"/>
      <c r="J167" s="58"/>
      <c r="N167"/>
      <c r="O167"/>
      <c r="P167" s="311"/>
      <c r="Q167"/>
      <c r="R167"/>
      <c r="S167"/>
      <c r="T167"/>
      <c r="U167"/>
      <c r="V167"/>
      <c r="W167"/>
      <c r="X167"/>
      <c r="Y167"/>
      <c r="Z167"/>
      <c r="AB167"/>
    </row>
    <row r="168" spans="1:28" x14ac:dyDescent="0.25">
      <c r="A168" s="34"/>
      <c r="B168" s="58"/>
      <c r="D168" s="58"/>
      <c r="F168" s="58"/>
      <c r="H168" s="58"/>
      <c r="J168" s="58"/>
      <c r="N168"/>
      <c r="O168"/>
      <c r="P168" s="311"/>
      <c r="Q168"/>
      <c r="R168"/>
      <c r="S168"/>
      <c r="T168"/>
      <c r="U168"/>
      <c r="V168"/>
      <c r="W168"/>
      <c r="X168"/>
      <c r="Y168"/>
      <c r="Z168"/>
      <c r="AB168"/>
    </row>
    <row r="174" spans="1:28" x14ac:dyDescent="0.2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 s="311"/>
      <c r="Q174"/>
      <c r="R174"/>
      <c r="S174"/>
      <c r="T174"/>
      <c r="U174"/>
      <c r="V174"/>
      <c r="W174"/>
      <c r="X174"/>
      <c r="Y174"/>
      <c r="Z174"/>
      <c r="AB174"/>
    </row>
  </sheetData>
  <sheetProtection selectLockedCells="1"/>
  <mergeCells count="56">
    <mergeCell ref="A3:A4"/>
    <mergeCell ref="B3:C3"/>
    <mergeCell ref="D3:E3"/>
    <mergeCell ref="F3:G3"/>
    <mergeCell ref="AA3:AB3"/>
    <mergeCell ref="N3:O3"/>
    <mergeCell ref="Q3:R3"/>
    <mergeCell ref="S3:T3"/>
    <mergeCell ref="U3:V3"/>
    <mergeCell ref="W3:X3"/>
    <mergeCell ref="Y3:Z3"/>
    <mergeCell ref="L3:M3"/>
    <mergeCell ref="J3:K3"/>
    <mergeCell ref="H3:I3"/>
    <mergeCell ref="A39:A40"/>
    <mergeCell ref="B39:C39"/>
    <mergeCell ref="D39:E39"/>
    <mergeCell ref="F39:G39"/>
    <mergeCell ref="H39:I39"/>
    <mergeCell ref="J39:K39"/>
    <mergeCell ref="L39:M39"/>
    <mergeCell ref="N39:O39"/>
    <mergeCell ref="Q39:R39"/>
    <mergeCell ref="S39:T39"/>
    <mergeCell ref="U39:V39"/>
    <mergeCell ref="W39:X39"/>
    <mergeCell ref="Y39:Z39"/>
    <mergeCell ref="AA39:AB39"/>
    <mergeCell ref="A77:A78"/>
    <mergeCell ref="B77:C77"/>
    <mergeCell ref="D77:E77"/>
    <mergeCell ref="F77:G77"/>
    <mergeCell ref="H77:I77"/>
    <mergeCell ref="J77:K77"/>
    <mergeCell ref="L77:M77"/>
    <mergeCell ref="N77:O77"/>
    <mergeCell ref="Q77:R77"/>
    <mergeCell ref="S77:T77"/>
    <mergeCell ref="U77:V77"/>
    <mergeCell ref="W77:X77"/>
    <mergeCell ref="Y77:Z77"/>
    <mergeCell ref="AA77:AB77"/>
    <mergeCell ref="A112:A113"/>
    <mergeCell ref="B112:C112"/>
    <mergeCell ref="D112:E112"/>
    <mergeCell ref="F112:G112"/>
    <mergeCell ref="H112:I112"/>
    <mergeCell ref="J112:K112"/>
    <mergeCell ref="L112:M112"/>
    <mergeCell ref="N112:O112"/>
    <mergeCell ref="Q112:R112"/>
    <mergeCell ref="S112:T112"/>
    <mergeCell ref="U112:V112"/>
    <mergeCell ref="W112:X112"/>
    <mergeCell ref="Y112:Z112"/>
    <mergeCell ref="AA112:AB112"/>
  </mergeCells>
  <pageMargins left="0.7" right="0.63" top="0.75" bottom="0.57999999999999996" header="0.3" footer="0.3"/>
  <pageSetup paperSize="5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VOLUME OF FISH TRADED,BROKER</vt:lpstr>
      <vt:lpstr>SOURCE OF FISH UNLOADED BY.F.G</vt:lpstr>
      <vt:lpstr>FISH UNLOADING OVER LND VEHICLS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PC-2</cp:lastModifiedBy>
  <cp:lastPrinted>2020-01-31T06:58:59Z</cp:lastPrinted>
  <dcterms:created xsi:type="dcterms:W3CDTF">2010-07-07T09:12:52Z</dcterms:created>
  <dcterms:modified xsi:type="dcterms:W3CDTF">2023-05-18T02:46:08Z</dcterms:modified>
</cp:coreProperties>
</file>