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8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<sst xmlns="http://schemas.openxmlformats.org/spreadsheetml/2006/main" count="337" uniqueCount="172">
  <si>
    <r>
      <rPr>
        <sz val="11"/>
        <rFont val="Arial"/>
        <charset val="134"/>
      </rPr>
      <t xml:space="preserve">MONTHLY VOLUME OF FISH UNLOADED and TRANSSHIPED (in M.T.) PER SPECIE  </t>
    </r>
    <r>
      <rPr>
        <b/>
        <sz val="11"/>
        <rFont val="Arial"/>
        <charset val="134"/>
      </rPr>
      <t>CY - 2022</t>
    </r>
    <r>
      <rPr>
        <sz val="11"/>
        <rFont val="Arial"/>
        <charset val="134"/>
      </rPr>
      <t>.</t>
    </r>
  </si>
  <si>
    <t>Lucena Fish Port Complex</t>
  </si>
  <si>
    <t>SPECIES</t>
  </si>
  <si>
    <t>TOTAL VOLUME</t>
  </si>
  <si>
    <t>JAN</t>
  </si>
  <si>
    <t>FEB</t>
  </si>
  <si>
    <t>MAR</t>
  </si>
  <si>
    <t>APR</t>
  </si>
  <si>
    <t xml:space="preserve"> M AY</t>
  </si>
  <si>
    <t xml:space="preserve"> JUNE</t>
  </si>
  <si>
    <t>JULY</t>
  </si>
  <si>
    <t>AUG</t>
  </si>
  <si>
    <t>SEPT</t>
  </si>
  <si>
    <t>OCT</t>
  </si>
  <si>
    <t>NOV</t>
  </si>
  <si>
    <t>DEC</t>
  </si>
  <si>
    <t>PRICE</t>
  </si>
  <si>
    <r>
      <rPr>
        <b/>
        <sz val="10"/>
        <rFont val="Arial"/>
        <charset val="134"/>
      </rPr>
      <t xml:space="preserve">ALAMANG    </t>
    </r>
    <r>
      <rPr>
        <sz val="10"/>
        <rFont val="Arial"/>
        <charset val="134"/>
      </rPr>
      <t>(Acetes)</t>
    </r>
  </si>
  <si>
    <r>
      <rPr>
        <b/>
        <sz val="10"/>
        <rFont val="Arial"/>
        <charset val="134"/>
      </rPr>
      <t xml:space="preserve">ALIMASAG    </t>
    </r>
    <r>
      <rPr>
        <sz val="10"/>
        <rFont val="Arial"/>
        <charset val="134"/>
      </rPr>
      <t>(Blue Crab)</t>
    </r>
  </si>
  <si>
    <t>ALUMAHAN (Long-jawed Mackerel)</t>
  </si>
  <si>
    <r>
      <rPr>
        <b/>
        <sz val="10"/>
        <rFont val="Arial"/>
        <charset val="134"/>
      </rPr>
      <t>BANAK</t>
    </r>
    <r>
      <rPr>
        <sz val="10"/>
        <rFont val="Arial"/>
        <charset val="134"/>
      </rPr>
      <t xml:space="preserve"> (Mullet/ Snouted Mullet)</t>
    </r>
  </si>
  <si>
    <r>
      <rPr>
        <b/>
        <sz val="10"/>
        <rFont val="Arial"/>
        <charset val="134"/>
      </rPr>
      <t xml:space="preserve">BANGUS               </t>
    </r>
    <r>
      <rPr>
        <sz val="10"/>
        <rFont val="Arial"/>
        <charset val="134"/>
      </rPr>
      <t>(Milk Fish)</t>
    </r>
  </si>
  <si>
    <t>BATALAY</t>
  </si>
  <si>
    <t>(Needle Fish)</t>
  </si>
  <si>
    <r>
      <rPr>
        <b/>
        <sz val="10"/>
        <rFont val="Arial"/>
        <charset val="134"/>
      </rPr>
      <t xml:space="preserve">BISUGO </t>
    </r>
    <r>
      <rPr>
        <sz val="10"/>
        <rFont val="Arial"/>
        <charset val="134"/>
      </rPr>
      <t>(Threadfin Bream)</t>
    </r>
  </si>
  <si>
    <t>BUNAK</t>
  </si>
  <si>
    <r>
      <rPr>
        <b/>
        <sz val="8"/>
        <rFont val="Arial"/>
        <charset val="134"/>
      </rPr>
      <t>BURAO</t>
    </r>
    <r>
      <rPr>
        <b/>
        <sz val="10"/>
        <rFont val="Arial"/>
        <charset val="134"/>
      </rPr>
      <t>/</t>
    </r>
    <r>
      <rPr>
        <sz val="8"/>
        <rFont val="Arial Narrow Special G1"/>
        <charset val="2"/>
      </rPr>
      <t>MATANGBAKA</t>
    </r>
    <r>
      <rPr>
        <b/>
        <sz val="8"/>
        <rFont val="Arial Narrow Special G1"/>
        <charset val="2"/>
      </rPr>
      <t xml:space="preserve">                           </t>
    </r>
    <r>
      <rPr>
        <sz val="10"/>
        <rFont val="Arial"/>
        <charset val="134"/>
      </rPr>
      <t>(Purse-eyed scad)</t>
    </r>
  </si>
  <si>
    <t>BUROT</t>
  </si>
  <si>
    <t>CARPA/Imelda</t>
  </si>
  <si>
    <t>continuation of Fish Unloaded per Specie CY-2022.</t>
  </si>
  <si>
    <r>
      <rPr>
        <b/>
        <sz val="9"/>
        <rFont val="Arial"/>
        <charset val="134"/>
      </rPr>
      <t xml:space="preserve">DALAGANG BUKID </t>
    </r>
    <r>
      <rPr>
        <b/>
        <sz val="8"/>
        <rFont val="Arial"/>
        <charset val="134"/>
      </rPr>
      <t xml:space="preserve"> </t>
    </r>
    <r>
      <rPr>
        <sz val="10"/>
        <rFont val="Arial"/>
        <charset val="134"/>
      </rPr>
      <t>(Yellow Tail Fusilier/Caesio)</t>
    </r>
  </si>
  <si>
    <r>
      <rPr>
        <b/>
        <sz val="10"/>
        <rFont val="Arial"/>
        <charset val="134"/>
      </rPr>
      <t xml:space="preserve">DILIS   </t>
    </r>
    <r>
      <rPr>
        <sz val="11"/>
        <rFont val="Arial"/>
        <charset val="134"/>
      </rPr>
      <t>(Anchovy)</t>
    </r>
  </si>
  <si>
    <r>
      <rPr>
        <b/>
        <sz val="10"/>
        <rFont val="Arial"/>
        <charset val="134"/>
      </rPr>
      <t xml:space="preserve">DORADO            </t>
    </r>
    <r>
      <rPr>
        <sz val="10"/>
        <rFont val="Arial"/>
        <charset val="134"/>
      </rPr>
      <t>(Dolphin Fish)</t>
    </r>
  </si>
  <si>
    <r>
      <rPr>
        <b/>
        <sz val="10"/>
        <rFont val="Arial"/>
        <charset val="134"/>
      </rPr>
      <t xml:space="preserve">ESPADA          </t>
    </r>
    <r>
      <rPr>
        <sz val="10"/>
        <rFont val="Arial"/>
        <charset val="134"/>
      </rPr>
      <t>(Belt Fish/Hairtail)</t>
    </r>
  </si>
  <si>
    <r>
      <rPr>
        <b/>
        <sz val="10"/>
        <rFont val="Arial"/>
        <charset val="134"/>
      </rPr>
      <t xml:space="preserve">GALUNGGONG </t>
    </r>
    <r>
      <rPr>
        <sz val="10.5"/>
        <rFont val="Arial"/>
        <charset val="134"/>
      </rPr>
      <t>(Hard Tail Mackerel)</t>
    </r>
  </si>
  <si>
    <r>
      <rPr>
        <b/>
        <sz val="10"/>
        <rFont val="Arial"/>
        <charset val="134"/>
      </rPr>
      <t xml:space="preserve">GULYASAN </t>
    </r>
    <r>
      <rPr>
        <sz val="10"/>
        <rFont val="Arial"/>
        <charset val="134"/>
      </rPr>
      <t>(Skipjack Tuna/ Stripped Tuna)</t>
    </r>
  </si>
  <si>
    <t>HIPON</t>
  </si>
  <si>
    <r>
      <rPr>
        <b/>
        <sz val="10"/>
        <rFont val="Arial"/>
        <charset val="134"/>
      </rPr>
      <t xml:space="preserve">HIWAS/CHABITA        </t>
    </r>
    <r>
      <rPr>
        <sz val="10.5"/>
        <rFont val="Arial"/>
        <charset val="134"/>
      </rPr>
      <t>(Moon Fish)</t>
    </r>
  </si>
  <si>
    <r>
      <rPr>
        <b/>
        <sz val="10"/>
        <rFont val="Arial"/>
        <charset val="134"/>
      </rPr>
      <t>Iliw/</t>
    </r>
    <r>
      <rPr>
        <b/>
        <sz val="9"/>
        <rFont val="Arial"/>
        <charset val="134"/>
      </rPr>
      <t xml:space="preserve">Bugiw            </t>
    </r>
    <r>
      <rPr>
        <b/>
        <sz val="10"/>
        <rFont val="Arial"/>
        <charset val="134"/>
      </rPr>
      <t xml:space="preserve">   (</t>
    </r>
    <r>
      <rPr>
        <b/>
        <sz val="9"/>
        <rFont val="Arial"/>
        <charset val="134"/>
      </rPr>
      <t>Flying fish)</t>
    </r>
  </si>
  <si>
    <t>KALAPATO</t>
  </si>
  <si>
    <t>KALASO</t>
  </si>
  <si>
    <t>KANUPING</t>
  </si>
  <si>
    <r>
      <rPr>
        <b/>
        <sz val="10"/>
        <rFont val="Arial"/>
        <charset val="134"/>
      </rPr>
      <t xml:space="preserve">LABAHITA </t>
    </r>
    <r>
      <rPr>
        <sz val="10"/>
        <rFont val="Arial"/>
        <charset val="134"/>
      </rPr>
      <t>(Unicorn Fish or Surgeon Fish)</t>
    </r>
  </si>
  <si>
    <r>
      <rPr>
        <b/>
        <sz val="10"/>
        <rFont val="Arial"/>
        <charset val="134"/>
      </rPr>
      <t xml:space="preserve">LAPU-LAPU </t>
    </r>
    <r>
      <rPr>
        <sz val="11"/>
        <rFont val="Arial"/>
        <charset val="134"/>
      </rPr>
      <t>(Grouper)</t>
    </r>
  </si>
  <si>
    <r>
      <rPr>
        <b/>
        <sz val="10"/>
        <rFont val="Arial"/>
        <charset val="134"/>
      </rPr>
      <t xml:space="preserve">MALASUGUI </t>
    </r>
    <r>
      <rPr>
        <sz val="9"/>
        <rFont val="Arial"/>
        <charset val="134"/>
      </rPr>
      <t>(Black or White Marlin/Sword Fish</t>
    </r>
    <r>
      <rPr>
        <sz val="9.5"/>
        <rFont val="Arial"/>
        <charset val="134"/>
      </rPr>
      <t>)</t>
    </r>
  </si>
  <si>
    <r>
      <rPr>
        <b/>
        <sz val="10"/>
        <rFont val="Arial"/>
        <charset val="134"/>
      </rPr>
      <t xml:space="preserve">MAYA-MAYA </t>
    </r>
    <r>
      <rPr>
        <sz val="10.5"/>
        <rFont val="Arial"/>
        <charset val="134"/>
      </rPr>
      <t>(Red Snapper)</t>
    </r>
  </si>
  <si>
    <t>NING-NING</t>
  </si>
  <si>
    <t>PARGO</t>
  </si>
  <si>
    <t xml:space="preserve">PUSIT  </t>
  </si>
  <si>
    <t>PUSIT(Carpet)</t>
  </si>
  <si>
    <t>RUMPI</t>
  </si>
  <si>
    <r>
      <rPr>
        <b/>
        <sz val="10"/>
        <rFont val="Arial"/>
        <charset val="134"/>
      </rPr>
      <t xml:space="preserve">SAGUISE     </t>
    </r>
    <r>
      <rPr>
        <sz val="10"/>
        <rFont val="Arial"/>
        <charset val="134"/>
      </rPr>
      <t>(Deep red water/Long tail red snapper/</t>
    </r>
  </si>
  <si>
    <t>SALAY GUINTO</t>
  </si>
  <si>
    <t>(Scad)</t>
  </si>
  <si>
    <t>SALMON</t>
  </si>
  <si>
    <t>SAMARAL</t>
  </si>
  <si>
    <r>
      <rPr>
        <b/>
        <sz val="10"/>
        <rFont val="Arial"/>
        <charset val="134"/>
      </rPr>
      <t>SAPSAP</t>
    </r>
    <r>
      <rPr>
        <sz val="8.5"/>
        <rFont val="Arial"/>
        <charset val="134"/>
      </rPr>
      <t>(Small Flat Fish/Slipmouth, Ponyfish)</t>
    </r>
  </si>
  <si>
    <t>Saramulyete/ Manitis</t>
  </si>
  <si>
    <t>SCALLOP</t>
  </si>
  <si>
    <t>SIGA</t>
  </si>
  <si>
    <r>
      <rPr>
        <b/>
        <sz val="10"/>
        <rFont val="Arial"/>
        <charset val="134"/>
      </rPr>
      <t xml:space="preserve">SUGPO </t>
    </r>
    <r>
      <rPr>
        <sz val="10"/>
        <rFont val="Arial"/>
        <charset val="134"/>
      </rPr>
      <t>(Prawn)</t>
    </r>
  </si>
  <si>
    <t>TAHONG</t>
  </si>
  <si>
    <r>
      <rPr>
        <b/>
        <sz val="10"/>
        <rFont val="Arial"/>
        <charset val="134"/>
      </rPr>
      <t xml:space="preserve">TALAKITOK/ MALIPUTO </t>
    </r>
    <r>
      <rPr>
        <sz val="8"/>
        <rFont val="Arial"/>
        <charset val="134"/>
      </rPr>
      <t>(Trevally,Jack,Cavalla)</t>
    </r>
  </si>
  <si>
    <r>
      <rPr>
        <b/>
        <sz val="10"/>
        <rFont val="Arial"/>
        <charset val="134"/>
      </rPr>
      <t xml:space="preserve">TAMBAKOL </t>
    </r>
    <r>
      <rPr>
        <sz val="10.5"/>
        <rFont val="Arial"/>
        <charset val="134"/>
      </rPr>
      <t>(Skipjack Tuna)</t>
    </r>
  </si>
  <si>
    <r>
      <rPr>
        <b/>
        <sz val="10"/>
        <rFont val="Arial"/>
        <charset val="134"/>
      </rPr>
      <t xml:space="preserve">TAMBAN </t>
    </r>
    <r>
      <rPr>
        <sz val="10"/>
        <rFont val="Arial"/>
        <charset val="134"/>
      </rPr>
      <t xml:space="preserve"> (Sardinella/Indian sardines)</t>
    </r>
  </si>
  <si>
    <r>
      <rPr>
        <b/>
        <sz val="10"/>
        <rFont val="Arial"/>
        <charset val="134"/>
      </rPr>
      <t xml:space="preserve">TAMPAL </t>
    </r>
    <r>
      <rPr>
        <sz val="10.5"/>
        <rFont val="Arial"/>
        <charset val="134"/>
      </rPr>
      <t>(Peacock Sole)</t>
    </r>
  </si>
  <si>
    <t>TANASIA</t>
  </si>
  <si>
    <r>
      <rPr>
        <b/>
        <sz val="10"/>
        <rFont val="Arial"/>
        <charset val="134"/>
      </rPr>
      <t xml:space="preserve">TANIGUE </t>
    </r>
    <r>
      <rPr>
        <sz val="10.5"/>
        <rFont val="Arial"/>
        <charset val="134"/>
      </rPr>
      <t>(Spanish Mackerel)</t>
    </r>
  </si>
  <si>
    <t>TANIGUE/ (aswang)</t>
  </si>
  <si>
    <r>
      <rPr>
        <b/>
        <sz val="10"/>
        <rFont val="Arial"/>
        <charset val="134"/>
      </rPr>
      <t xml:space="preserve">TAWILIS               </t>
    </r>
    <r>
      <rPr>
        <sz val="10.5"/>
        <rFont val="Arial"/>
        <charset val="134"/>
      </rPr>
      <t>(Herring)</t>
    </r>
  </si>
  <si>
    <r>
      <rPr>
        <b/>
        <sz val="10"/>
        <rFont val="Arial"/>
        <charset val="134"/>
      </rPr>
      <t xml:space="preserve">TILAPIA                 </t>
    </r>
    <r>
      <rPr>
        <sz val="10"/>
        <rFont val="Arial"/>
        <charset val="134"/>
      </rPr>
      <t>(St. Peter Fish)</t>
    </r>
  </si>
  <si>
    <t>TORCILLO</t>
  </si>
  <si>
    <t>TULINGAN (Frigate Tuna)</t>
  </si>
  <si>
    <t>TULIS</t>
  </si>
  <si>
    <t>TOTAL</t>
  </si>
  <si>
    <t>TRANSSHIPMENT</t>
  </si>
  <si>
    <t>GRAND TOTAL</t>
  </si>
  <si>
    <t>TUBS</t>
  </si>
  <si>
    <t xml:space="preserve">TABLE  03.  </t>
  </si>
  <si>
    <r>
      <rPr>
        <sz val="10"/>
        <rFont val="Arial"/>
        <charset val="134"/>
      </rPr>
      <t xml:space="preserve">MONTHLY VOLUME </t>
    </r>
    <r>
      <rPr>
        <b/>
        <sz val="10"/>
        <rFont val="Arial"/>
        <charset val="134"/>
      </rPr>
      <t>(in kgs.</t>
    </r>
    <r>
      <rPr>
        <sz val="10"/>
        <rFont val="Arial"/>
        <charset val="134"/>
      </rPr>
      <t>) OF FISH UNLOADED PER SPECIE,  LUCENA FISHING PORT COMPLEX, DALAHICAN, LUCENA CITY:</t>
    </r>
  </si>
  <si>
    <t>CALENDAR YEAR 2006.</t>
  </si>
  <si>
    <t>VOLUME</t>
  </si>
  <si>
    <t>AWP</t>
  </si>
  <si>
    <t>FEB.</t>
  </si>
  <si>
    <t xml:space="preserve"> MARCH</t>
  </si>
  <si>
    <t xml:space="preserve">  APRIL</t>
  </si>
  <si>
    <t>AUGUST</t>
  </si>
  <si>
    <t>Alatan</t>
  </si>
  <si>
    <t>Alimango</t>
  </si>
  <si>
    <t>Alimasag</t>
  </si>
  <si>
    <t>Alumahan</t>
  </si>
  <si>
    <t>Asohos</t>
  </si>
  <si>
    <t>Aswang</t>
  </si>
  <si>
    <t>Bagulan</t>
  </si>
  <si>
    <t>Baliwis</t>
  </si>
  <si>
    <t>Banak</t>
  </si>
  <si>
    <t>Bangus</t>
  </si>
  <si>
    <t xml:space="preserve">  MARCH</t>
  </si>
  <si>
    <t xml:space="preserve"> APRIL</t>
  </si>
  <si>
    <t>M AY</t>
  </si>
  <si>
    <t>JUNE</t>
  </si>
  <si>
    <t>Batalay</t>
  </si>
  <si>
    <t>Bidbid</t>
  </si>
  <si>
    <t>Big Head</t>
  </si>
  <si>
    <t>(Karpa)</t>
  </si>
  <si>
    <t>Bisugo</t>
  </si>
  <si>
    <t>Bugaong</t>
  </si>
  <si>
    <t>Bugiw</t>
  </si>
  <si>
    <t>Bunak</t>
  </si>
  <si>
    <t>Burao</t>
  </si>
  <si>
    <t>Burara</t>
  </si>
  <si>
    <t>Butete</t>
  </si>
  <si>
    <t>- 2 -</t>
  </si>
  <si>
    <t>Dalagang Bukid</t>
  </si>
  <si>
    <t>Dilat/siga</t>
  </si>
  <si>
    <t>Dilis</t>
  </si>
  <si>
    <t>Dorado</t>
  </si>
  <si>
    <t>Dulong</t>
  </si>
  <si>
    <t>Espada</t>
  </si>
  <si>
    <t>Galunggong</t>
  </si>
  <si>
    <t>Ginto--ginto</t>
  </si>
  <si>
    <t>Gulyasan</t>
  </si>
  <si>
    <t>- 3 -</t>
  </si>
  <si>
    <t>Hipon</t>
  </si>
  <si>
    <t>Hiwas</t>
  </si>
  <si>
    <t>Kalapato</t>
  </si>
  <si>
    <t>Kalaso</t>
  </si>
  <si>
    <t>Kanuping</t>
  </si>
  <si>
    <t>Kapis(Scallop)</t>
  </si>
  <si>
    <t>Labahita</t>
  </si>
  <si>
    <t>Lapu-lapu</t>
  </si>
  <si>
    <t>Malasugui</t>
  </si>
  <si>
    <t>Mais-mais</t>
  </si>
  <si>
    <t>- 4 -</t>
  </si>
  <si>
    <t>Manitis</t>
  </si>
  <si>
    <t>Maya-maya</t>
  </si>
  <si>
    <t>Ning-ning</t>
  </si>
  <si>
    <t>Oriles</t>
  </si>
  <si>
    <t>Pagi</t>
  </si>
  <si>
    <t>Pargo</t>
  </si>
  <si>
    <t>Patalay</t>
  </si>
  <si>
    <t>Pating</t>
  </si>
  <si>
    <t>Pugita</t>
  </si>
  <si>
    <t>Pusit</t>
  </si>
  <si>
    <t>Pusit (carpet)</t>
  </si>
  <si>
    <t>Sagisi</t>
  </si>
  <si>
    <t>Salay-salay</t>
  </si>
  <si>
    <t>Salmon</t>
  </si>
  <si>
    <t>Samaral</t>
  </si>
  <si>
    <t>Sapsap</t>
  </si>
  <si>
    <t>Saramulyete</t>
  </si>
  <si>
    <t>Siga</t>
  </si>
  <si>
    <t>Siwarik</t>
  </si>
  <si>
    <t>Sugpo</t>
  </si>
  <si>
    <t>Tahong</t>
  </si>
  <si>
    <t>Talakitok</t>
  </si>
  <si>
    <t>Tambakol</t>
  </si>
  <si>
    <t>Tambakulis</t>
  </si>
  <si>
    <t>Tamban</t>
  </si>
  <si>
    <t>Tanigue</t>
  </si>
  <si>
    <t xml:space="preserve">Tanigue </t>
  </si>
  <si>
    <t>(Aswang)</t>
  </si>
  <si>
    <t>Tilapia</t>
  </si>
  <si>
    <t>Torcillo</t>
  </si>
  <si>
    <t>Tulingan</t>
  </si>
  <si>
    <t>Yamas</t>
  </si>
  <si>
    <t>GRAND  TOTAL</t>
  </si>
  <si>
    <t xml:space="preserve">               AWP</t>
  </si>
  <si>
    <t>Jan</t>
  </si>
  <si>
    <t>Feb</t>
  </si>
  <si>
    <t>MONTHLY VOLUME OF FISH per BROKER</t>
  </si>
  <si>
    <t xml:space="preserve">                    CY - 2005</t>
  </si>
</sst>
</file>

<file path=xl/styles.xml><?xml version="1.0" encoding="utf-8"?>
<styleSheet xmlns="http://schemas.openxmlformats.org/spreadsheetml/2006/main" xmlns:xr9="http://schemas.microsoft.com/office/spreadsheetml/2016/revision9">
  <numFmts count="13">
    <numFmt numFmtId="41" formatCode="_-* #,##0_-;\-* #,##0_-;_-* &quot;-&quot;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176" formatCode="_(* #,##0.00_);_(* \(#,##0.00\);_(* &quot;-&quot;??_);_(@_)"/>
    <numFmt numFmtId="177" formatCode="_(* #,##0_);_(* \(#,##0\);_(* &quot;-&quot;??_);_(@_)"/>
    <numFmt numFmtId="178" formatCode="#,##0.000_);\(#,##0.000\)"/>
    <numFmt numFmtId="179" formatCode="0.000"/>
    <numFmt numFmtId="180" formatCode="#,##0.00;[Red]#,##0.00"/>
    <numFmt numFmtId="181" formatCode="#,##0.000;[Red]#,##0.000"/>
    <numFmt numFmtId="182" formatCode="0.00;[Red]0.00"/>
    <numFmt numFmtId="183" formatCode="_(* #,##0.000_);_(* \(#,##0.000\);_(* &quot;-&quot;??_);_(@_)"/>
    <numFmt numFmtId="184" formatCode="_(* #,##0.0_);_(* \(#,##0.0\);_(* &quot;-&quot;??_);_(@_)"/>
    <numFmt numFmtId="185" formatCode="#,##0;[Red]#,##0"/>
  </numFmts>
  <fonts count="48">
    <font>
      <sz val="10"/>
      <name val="Arial"/>
      <charset val="134"/>
    </font>
    <font>
      <b/>
      <sz val="36"/>
      <name val="Comic Sans MS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8"/>
      <name val="Arial"/>
      <charset val="134"/>
    </font>
    <font>
      <b/>
      <sz val="10"/>
      <color rgb="FF00B050"/>
      <name val="Arial"/>
      <charset val="134"/>
    </font>
    <font>
      <sz val="11"/>
      <name val="Arial"/>
      <charset val="134"/>
    </font>
    <font>
      <b/>
      <sz val="12"/>
      <name val="Times New Roman"/>
      <charset val="134"/>
    </font>
    <font>
      <b/>
      <sz val="8"/>
      <name val="Calibri"/>
      <charset val="134"/>
      <scheme val="minor"/>
    </font>
    <font>
      <b/>
      <i/>
      <sz val="12"/>
      <color rgb="FFFF0000"/>
      <name val="Calibri"/>
      <charset val="134"/>
      <scheme val="minor"/>
    </font>
    <font>
      <b/>
      <sz val="10"/>
      <color rgb="FFFF0000"/>
      <name val="Arial"/>
      <charset val="134"/>
    </font>
    <font>
      <b/>
      <i/>
      <sz val="10"/>
      <color rgb="FFFF0000"/>
      <name val="Arial"/>
      <charset val="134"/>
    </font>
    <font>
      <sz val="10"/>
      <color rgb="FFFF0000"/>
      <name val="Arial"/>
      <charset val="134"/>
    </font>
    <font>
      <b/>
      <sz val="9"/>
      <name val="Arial"/>
      <charset val="134"/>
    </font>
    <font>
      <b/>
      <i/>
      <sz val="8"/>
      <name val="Arial"/>
      <charset val="134"/>
    </font>
    <font>
      <b/>
      <sz val="12"/>
      <color rgb="FFFF0000"/>
      <name val="Calibri"/>
      <charset val="134"/>
      <scheme val="minor"/>
    </font>
    <font>
      <b/>
      <i/>
      <sz val="10"/>
      <name val="Arial"/>
      <charset val="134"/>
    </font>
    <font>
      <b/>
      <sz val="12"/>
      <name val="Arial"/>
      <charset val="134"/>
    </font>
    <font>
      <b/>
      <sz val="9"/>
      <color rgb="FFFF0000"/>
      <name val="Arial"/>
      <charset val="134"/>
    </font>
    <font>
      <b/>
      <i/>
      <sz val="10"/>
      <color rgb="FF00B050"/>
      <name val="Arial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name val="Arial"/>
      <charset val="134"/>
    </font>
    <font>
      <sz val="8"/>
      <name val="Arial Narrow Special G1"/>
      <charset val="2"/>
    </font>
    <font>
      <b/>
      <sz val="8"/>
      <name val="Arial Narrow Special G1"/>
      <charset val="2"/>
    </font>
    <font>
      <sz val="10.5"/>
      <name val="Arial"/>
      <charset val="134"/>
    </font>
    <font>
      <sz val="9.5"/>
      <name val="Arial"/>
      <charset val="134"/>
    </font>
    <font>
      <sz val="8.5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E9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/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5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19" applyNumberFormat="0" applyAlignment="0" applyProtection="0">
      <alignment vertical="center"/>
    </xf>
    <xf numFmtId="0" fontId="32" fillId="7" borderId="20" applyNumberFormat="0" applyAlignment="0" applyProtection="0">
      <alignment vertical="center"/>
    </xf>
    <xf numFmtId="0" fontId="33" fillId="7" borderId="19" applyNumberFormat="0" applyAlignment="0" applyProtection="0">
      <alignment vertical="center"/>
    </xf>
    <xf numFmtId="0" fontId="34" fillId="8" borderId="21" applyNumberFormat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</cellStyleXfs>
  <cellXfs count="2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77" fontId="2" fillId="0" borderId="4" xfId="1" applyNumberFormat="1" applyFont="1" applyBorder="1"/>
    <xf numFmtId="0" fontId="2" fillId="0" borderId="4" xfId="0" applyFont="1" applyBorder="1"/>
    <xf numFmtId="2" fontId="2" fillId="0" borderId="4" xfId="0" applyNumberFormat="1" applyFont="1" applyBorder="1"/>
    <xf numFmtId="37" fontId="3" fillId="0" borderId="4" xfId="0" applyNumberFormat="1" applyFont="1" applyBorder="1" applyAlignment="1">
      <alignment horizontal="left"/>
    </xf>
    <xf numFmtId="177" fontId="0" fillId="0" borderId="4" xfId="1" applyNumberFormat="1" applyFont="1" applyBorder="1"/>
    <xf numFmtId="178" fontId="3" fillId="0" borderId="4" xfId="0" applyNumberFormat="1" applyFont="1" applyBorder="1" applyAlignment="1">
      <alignment horizontal="left"/>
    </xf>
    <xf numFmtId="2" fontId="0" fillId="0" borderId="4" xfId="0" applyNumberFormat="1" applyBorder="1"/>
    <xf numFmtId="176" fontId="0" fillId="0" borderId="4" xfId="1" applyFont="1" applyBorder="1"/>
    <xf numFmtId="177" fontId="0" fillId="0" borderId="4" xfId="0" applyNumberFormat="1" applyBorder="1"/>
    <xf numFmtId="177" fontId="0" fillId="0" borderId="0" xfId="1" applyNumberFormat="1" applyFont="1"/>
    <xf numFmtId="37" fontId="0" fillId="0" borderId="5" xfId="0" applyNumberFormat="1" applyBorder="1"/>
    <xf numFmtId="177" fontId="0" fillId="0" borderId="1" xfId="1" applyNumberFormat="1" applyFont="1" applyBorder="1"/>
    <xf numFmtId="177" fontId="0" fillId="0" borderId="0" xfId="1" applyNumberFormat="1" applyFont="1" applyAlignment="1">
      <alignment horizontal="center"/>
    </xf>
    <xf numFmtId="0" fontId="0" fillId="0" borderId="6" xfId="0" applyBorder="1"/>
    <xf numFmtId="177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77" fontId="0" fillId="0" borderId="7" xfId="1" applyNumberFormat="1" applyFont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177" fontId="2" fillId="0" borderId="9" xfId="1" applyNumberFormat="1" applyFont="1" applyBorder="1"/>
    <xf numFmtId="0" fontId="2" fillId="0" borderId="9" xfId="0" applyFont="1" applyBorder="1"/>
    <xf numFmtId="37" fontId="3" fillId="0" borderId="4" xfId="1" applyNumberFormat="1" applyFont="1" applyBorder="1" applyAlignment="1">
      <alignment horizontal="left"/>
    </xf>
    <xf numFmtId="178" fontId="3" fillId="0" borderId="9" xfId="1" applyNumberFormat="1" applyFont="1" applyBorder="1" applyAlignment="1">
      <alignment horizontal="left"/>
    </xf>
    <xf numFmtId="178" fontId="3" fillId="0" borderId="4" xfId="1" applyNumberFormat="1" applyFont="1" applyBorder="1" applyAlignment="1">
      <alignment horizontal="left"/>
    </xf>
    <xf numFmtId="37" fontId="3" fillId="0" borderId="4" xfId="1" applyNumberFormat="1" applyFont="1" applyBorder="1" applyAlignment="1" applyProtection="1">
      <alignment horizontal="left"/>
    </xf>
    <xf numFmtId="178" fontId="3" fillId="0" borderId="4" xfId="1" applyNumberFormat="1" applyFont="1" applyBorder="1" applyAlignment="1" applyProtection="1">
      <alignment horizontal="left"/>
    </xf>
    <xf numFmtId="0" fontId="0" fillId="0" borderId="4" xfId="0" applyBorder="1" applyAlignment="1">
      <alignment horizontal="right"/>
    </xf>
    <xf numFmtId="177" fontId="0" fillId="0" borderId="3" xfId="1" applyNumberFormat="1" applyFont="1" applyBorder="1"/>
    <xf numFmtId="177" fontId="0" fillId="0" borderId="6" xfId="1" applyNumberFormat="1" applyFont="1" applyBorder="1" applyAlignment="1">
      <alignment horizontal="center"/>
    </xf>
    <xf numFmtId="0" fontId="0" fillId="0" borderId="10" xfId="0" applyBorder="1"/>
    <xf numFmtId="177" fontId="0" fillId="0" borderId="10" xfId="1" applyNumberFormat="1" applyFont="1" applyBorder="1"/>
    <xf numFmtId="177" fontId="0" fillId="0" borderId="8" xfId="1" applyNumberFormat="1" applyFont="1" applyBorder="1"/>
    <xf numFmtId="177" fontId="0" fillId="0" borderId="9" xfId="1" applyNumberFormat="1" applyFont="1" applyBorder="1"/>
    <xf numFmtId="3" fontId="0" fillId="0" borderId="4" xfId="0" applyNumberForma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76" fontId="0" fillId="0" borderId="0" xfId="1" applyFont="1"/>
    <xf numFmtId="37" fontId="0" fillId="0" borderId="0" xfId="0" applyNumberFormat="1"/>
    <xf numFmtId="2" fontId="0" fillId="0" borderId="4" xfId="1" applyNumberFormat="1" applyFont="1" applyBorder="1"/>
    <xf numFmtId="177" fontId="0" fillId="0" borderId="0" xfId="1" applyNumberFormat="1" applyFont="1" applyBorder="1"/>
    <xf numFmtId="177" fontId="0" fillId="0" borderId="4" xfId="1" applyNumberFormat="1" applyFont="1" applyBorder="1" applyAlignment="1">
      <alignment horizontal="left"/>
    </xf>
    <xf numFmtId="177" fontId="2" fillId="0" borderId="1" xfId="1" applyNumberFormat="1" applyFont="1" applyBorder="1"/>
    <xf numFmtId="0" fontId="2" fillId="0" borderId="6" xfId="0" applyFont="1" applyBorder="1"/>
    <xf numFmtId="0" fontId="4" fillId="0" borderId="3" xfId="0" applyFont="1" applyBorder="1" applyAlignment="1">
      <alignment horizontal="center"/>
    </xf>
    <xf numFmtId="177" fontId="2" fillId="0" borderId="3" xfId="1" applyNumberFormat="1" applyFont="1" applyBorder="1"/>
    <xf numFmtId="177" fontId="2" fillId="0" borderId="0" xfId="0" applyNumberFormat="1" applyFont="1"/>
    <xf numFmtId="176" fontId="2" fillId="0" borderId="3" xfId="1" applyFont="1" applyBorder="1"/>
    <xf numFmtId="0" fontId="2" fillId="0" borderId="6" xfId="0" applyFont="1" applyBorder="1" applyAlignment="1">
      <alignment horizontal="left"/>
    </xf>
    <xf numFmtId="177" fontId="2" fillId="0" borderId="6" xfId="1" applyNumberFormat="1" applyFont="1" applyBorder="1"/>
    <xf numFmtId="2" fontId="2" fillId="0" borderId="6" xfId="0" applyNumberFormat="1" applyFont="1" applyBorder="1"/>
    <xf numFmtId="2" fontId="2" fillId="0" borderId="1" xfId="0" applyNumberFormat="1" applyFont="1" applyBorder="1"/>
    <xf numFmtId="176" fontId="2" fillId="0" borderId="0" xfId="1" applyFont="1" applyBorder="1"/>
    <xf numFmtId="37" fontId="0" fillId="0" borderId="1" xfId="0" applyNumberFormat="1" applyBorder="1"/>
    <xf numFmtId="179" fontId="0" fillId="0" borderId="0" xfId="0" applyNumberFormat="1"/>
    <xf numFmtId="177" fontId="0" fillId="0" borderId="6" xfId="1" applyNumberFormat="1" applyFont="1" applyBorder="1"/>
    <xf numFmtId="177" fontId="2" fillId="0" borderId="3" xfId="0" applyNumberFormat="1" applyFont="1" applyBorder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right"/>
    </xf>
    <xf numFmtId="0" fontId="2" fillId="3" borderId="6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left" vertical="center" wrapText="1"/>
    </xf>
    <xf numFmtId="177" fontId="10" fillId="0" borderId="4" xfId="1" applyNumberFormat="1" applyFont="1" applyBorder="1"/>
    <xf numFmtId="178" fontId="10" fillId="0" borderId="4" xfId="0" applyNumberFormat="1" applyFont="1" applyBorder="1"/>
    <xf numFmtId="0" fontId="10" fillId="0" borderId="4" xfId="0" applyFont="1" applyBorder="1"/>
    <xf numFmtId="0" fontId="2" fillId="2" borderId="3" xfId="0" applyFont="1" applyFill="1" applyBorder="1" applyAlignment="1">
      <alignment horizontal="left" vertical="center" wrapText="1"/>
    </xf>
    <xf numFmtId="179" fontId="2" fillId="0" borderId="9" xfId="1" applyNumberFormat="1" applyFont="1" applyBorder="1" applyAlignment="1">
      <alignment horizontal="left"/>
    </xf>
    <xf numFmtId="178" fontId="2" fillId="0" borderId="4" xfId="0" applyNumberFormat="1" applyFont="1" applyBorder="1" applyAlignment="1">
      <alignment horizontal="left"/>
    </xf>
    <xf numFmtId="0" fontId="2" fillId="2" borderId="9" xfId="0" applyFont="1" applyFill="1" applyBorder="1" applyAlignment="1">
      <alignment horizontal="left" vertical="center" wrapText="1"/>
    </xf>
    <xf numFmtId="2" fontId="11" fillId="0" borderId="4" xfId="0" applyNumberFormat="1" applyFont="1" applyBorder="1"/>
    <xf numFmtId="180" fontId="11" fillId="0" borderId="4" xfId="0" applyNumberFormat="1" applyFont="1" applyBorder="1"/>
    <xf numFmtId="37" fontId="10" fillId="0" borderId="4" xfId="0" applyNumberFormat="1" applyFont="1" applyBorder="1"/>
    <xf numFmtId="179" fontId="2" fillId="0" borderId="0" xfId="0" applyNumberFormat="1" applyFont="1" applyAlignment="1">
      <alignment horizontal="left"/>
    </xf>
    <xf numFmtId="0" fontId="2" fillId="2" borderId="11" xfId="0" applyFont="1" applyFill="1" applyBorder="1" applyAlignment="1">
      <alignment horizontal="left" vertical="top" wrapText="1"/>
    </xf>
    <xf numFmtId="39" fontId="10" fillId="0" borderId="4" xfId="0" applyNumberFormat="1" applyFont="1" applyBorder="1"/>
    <xf numFmtId="2" fontId="10" fillId="0" borderId="4" xfId="0" applyNumberFormat="1" applyFont="1" applyBorder="1"/>
    <xf numFmtId="0" fontId="2" fillId="2" borderId="3" xfId="0" applyFont="1" applyFill="1" applyBorder="1" applyAlignment="1">
      <alignment horizontal="left" vertical="top" wrapText="1"/>
    </xf>
    <xf numFmtId="178" fontId="2" fillId="0" borderId="4" xfId="1" applyNumberFormat="1" applyFont="1" applyBorder="1" applyAlignment="1">
      <alignment horizontal="left"/>
    </xf>
    <xf numFmtId="179" fontId="2" fillId="0" borderId="4" xfId="0" applyNumberFormat="1" applyFont="1" applyBorder="1" applyAlignment="1">
      <alignment horizontal="left"/>
    </xf>
    <xf numFmtId="0" fontId="2" fillId="2" borderId="9" xfId="0" applyFont="1" applyFill="1" applyBorder="1" applyAlignment="1">
      <alignment horizontal="left" vertical="top" wrapText="1"/>
    </xf>
    <xf numFmtId="2" fontId="11" fillId="0" borderId="9" xfId="0" applyNumberFormat="1" applyFont="1" applyBorder="1"/>
    <xf numFmtId="39" fontId="11" fillId="0" borderId="4" xfId="0" applyNumberFormat="1" applyFont="1" applyBorder="1"/>
    <xf numFmtId="39" fontId="12" fillId="0" borderId="4" xfId="0" applyNumberFormat="1" applyFont="1" applyBorder="1"/>
    <xf numFmtId="37" fontId="12" fillId="0" borderId="4" xfId="0" applyNumberFormat="1" applyFont="1" applyBorder="1"/>
    <xf numFmtId="181" fontId="2" fillId="0" borderId="9" xfId="1" applyNumberFormat="1" applyFont="1" applyBorder="1" applyAlignment="1">
      <alignment horizontal="left"/>
    </xf>
    <xf numFmtId="182" fontId="11" fillId="0" borderId="4" xfId="0" applyNumberFormat="1" applyFont="1" applyBorder="1"/>
    <xf numFmtId="0" fontId="0" fillId="2" borderId="3" xfId="0" applyFill="1" applyBorder="1"/>
    <xf numFmtId="177" fontId="12" fillId="0" borderId="4" xfId="1" applyNumberFormat="1" applyFont="1" applyBorder="1"/>
    <xf numFmtId="39" fontId="10" fillId="0" borderId="3" xfId="0" applyNumberFormat="1" applyFont="1" applyBorder="1"/>
    <xf numFmtId="0" fontId="10" fillId="0" borderId="3" xfId="0" applyFont="1" applyBorder="1"/>
    <xf numFmtId="0" fontId="12" fillId="0" borderId="0" xfId="0" applyFont="1"/>
    <xf numFmtId="0" fontId="10" fillId="0" borderId="0" xfId="0" applyFont="1"/>
    <xf numFmtId="0" fontId="2" fillId="2" borderId="3" xfId="0" applyFont="1" applyFill="1" applyBorder="1"/>
    <xf numFmtId="0" fontId="3" fillId="2" borderId="9" xfId="0" applyFont="1" applyFill="1" applyBorder="1"/>
    <xf numFmtId="178" fontId="10" fillId="0" borderId="4" xfId="1" applyNumberFormat="1" applyFont="1" applyBorder="1" applyAlignment="1">
      <alignment horizontal="left"/>
    </xf>
    <xf numFmtId="179" fontId="2" fillId="0" borderId="4" xfId="1" applyNumberFormat="1" applyFont="1" applyBorder="1" applyAlignment="1">
      <alignment horizontal="left"/>
    </xf>
    <xf numFmtId="179" fontId="11" fillId="0" borderId="4" xfId="0" applyNumberFormat="1" applyFont="1" applyBorder="1"/>
    <xf numFmtId="0" fontId="0" fillId="2" borderId="11" xfId="0" applyFill="1" applyBorder="1"/>
    <xf numFmtId="0" fontId="0" fillId="2" borderId="9" xfId="0" applyFill="1" applyBorder="1"/>
    <xf numFmtId="0" fontId="13" fillId="2" borderId="3" xfId="0" applyFont="1" applyFill="1" applyBorder="1"/>
    <xf numFmtId="0" fontId="0" fillId="2" borderId="12" xfId="0" applyFill="1" applyBorder="1"/>
    <xf numFmtId="2" fontId="11" fillId="0" borderId="12" xfId="0" applyNumberFormat="1" applyFont="1" applyBorder="1"/>
    <xf numFmtId="0" fontId="0" fillId="2" borderId="0" xfId="0" applyFill="1"/>
    <xf numFmtId="2" fontId="11" fillId="0" borderId="0" xfId="0" applyNumberFormat="1" applyFont="1"/>
    <xf numFmtId="0" fontId="14" fillId="2" borderId="0" xfId="0" applyFont="1" applyFill="1"/>
    <xf numFmtId="2" fontId="11" fillId="0" borderId="5" xfId="0" applyNumberFormat="1" applyFont="1" applyBorder="1"/>
    <xf numFmtId="0" fontId="4" fillId="2" borderId="11" xfId="0" applyFont="1" applyFill="1" applyBorder="1" applyAlignment="1">
      <alignment horizontal="left" vertical="top" wrapText="1"/>
    </xf>
    <xf numFmtId="0" fontId="12" fillId="0" borderId="9" xfId="0" applyFont="1" applyBorder="1"/>
    <xf numFmtId="0" fontId="12" fillId="0" borderId="3" xfId="0" applyFont="1" applyBorder="1" applyAlignment="1">
      <alignment horizontal="center"/>
    </xf>
    <xf numFmtId="2" fontId="10" fillId="0" borderId="9" xfId="0" applyNumberFormat="1" applyFont="1" applyBorder="1"/>
    <xf numFmtId="0" fontId="12" fillId="0" borderId="0" xfId="0" applyFont="1" applyAlignment="1">
      <alignment horizontal="center"/>
    </xf>
    <xf numFmtId="0" fontId="4" fillId="2" borderId="3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176" fontId="10" fillId="0" borderId="4" xfId="1" applyFont="1" applyBorder="1"/>
    <xf numFmtId="0" fontId="2" fillId="2" borderId="2" xfId="0" applyFont="1" applyFill="1" applyBorder="1" applyAlignment="1">
      <alignment horizontal="left" vertical="center" wrapText="1"/>
    </xf>
    <xf numFmtId="178" fontId="2" fillId="0" borderId="4" xfId="1" applyNumberFormat="1" applyFont="1" applyBorder="1" applyAlignment="1" applyProtection="1">
      <alignment horizontal="left"/>
    </xf>
    <xf numFmtId="178" fontId="3" fillId="0" borderId="0" xfId="0" applyNumberFormat="1" applyFont="1"/>
    <xf numFmtId="2" fontId="11" fillId="0" borderId="4" xfId="0" applyNumberFormat="1" applyFont="1" applyBorder="1" applyAlignment="1">
      <alignment horizontal="right"/>
    </xf>
    <xf numFmtId="39" fontId="3" fillId="0" borderId="0" xfId="0" applyNumberFormat="1" applyFont="1"/>
    <xf numFmtId="177" fontId="10" fillId="0" borderId="0" xfId="1" applyNumberFormat="1" applyFont="1"/>
    <xf numFmtId="177" fontId="10" fillId="0" borderId="3" xfId="1" applyNumberFormat="1" applyFont="1" applyBorder="1"/>
    <xf numFmtId="179" fontId="3" fillId="0" borderId="0" xfId="0" applyNumberFormat="1" applyFont="1"/>
    <xf numFmtId="2" fontId="11" fillId="0" borderId="12" xfId="0" applyNumberFormat="1" applyFont="1" applyBorder="1" applyAlignment="1">
      <alignment horizontal="right"/>
    </xf>
    <xf numFmtId="2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2" fontId="11" fillId="0" borderId="4" xfId="1" applyNumberFormat="1" applyFont="1" applyBorder="1"/>
    <xf numFmtId="178" fontId="2" fillId="0" borderId="9" xfId="1" applyNumberFormat="1" applyFont="1" applyBorder="1" applyAlignment="1" applyProtection="1">
      <alignment horizontal="left"/>
    </xf>
    <xf numFmtId="179" fontId="2" fillId="0" borderId="9" xfId="0" applyNumberFormat="1" applyFont="1" applyBorder="1" applyAlignment="1">
      <alignment horizontal="left"/>
    </xf>
    <xf numFmtId="177" fontId="10" fillId="0" borderId="13" xfId="1" applyNumberFormat="1" applyFont="1" applyBorder="1"/>
    <xf numFmtId="0" fontId="12" fillId="0" borderId="4" xfId="0" applyFont="1" applyBorder="1"/>
    <xf numFmtId="0" fontId="12" fillId="0" borderId="4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top" wrapText="1"/>
    </xf>
    <xf numFmtId="177" fontId="10" fillId="0" borderId="14" xfId="1" applyNumberFormat="1" applyFont="1" applyBorder="1"/>
    <xf numFmtId="2" fontId="12" fillId="0" borderId="9" xfId="0" applyNumberFormat="1" applyFont="1" applyBorder="1"/>
    <xf numFmtId="2" fontId="12" fillId="0" borderId="9" xfId="0" applyNumberFormat="1" applyFont="1" applyBorder="1" applyAlignment="1">
      <alignment horizontal="left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37" fontId="10" fillId="0" borderId="4" xfId="1" applyNumberFormat="1" applyFont="1" applyBorder="1" applyAlignment="1" applyProtection="1">
      <alignment horizontal="left"/>
    </xf>
    <xf numFmtId="177" fontId="10" fillId="0" borderId="9" xfId="1" applyNumberFormat="1" applyFont="1" applyBorder="1"/>
    <xf numFmtId="0" fontId="10" fillId="0" borderId="9" xfId="0" applyFont="1" applyBorder="1"/>
    <xf numFmtId="37" fontId="2" fillId="0" borderId="4" xfId="1" applyNumberFormat="1" applyFont="1" applyBorder="1" applyAlignment="1" applyProtection="1">
      <alignment horizontal="left"/>
    </xf>
    <xf numFmtId="0" fontId="0" fillId="2" borderId="1" xfId="0" applyFill="1" applyBorder="1"/>
    <xf numFmtId="0" fontId="12" fillId="0" borderId="1" xfId="0" applyFont="1" applyBorder="1"/>
    <xf numFmtId="0" fontId="10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right"/>
    </xf>
    <xf numFmtId="0" fontId="10" fillId="3" borderId="6" xfId="0" applyFont="1" applyFill="1" applyBorder="1" applyAlignment="1">
      <alignment vertical="center" wrapText="1"/>
    </xf>
    <xf numFmtId="178" fontId="2" fillId="0" borderId="9" xfId="0" applyNumberFormat="1" applyFont="1" applyBorder="1" applyAlignment="1">
      <alignment horizontal="left"/>
    </xf>
    <xf numFmtId="2" fontId="10" fillId="0" borderId="5" xfId="0" applyNumberFormat="1" applyFont="1" applyBorder="1" applyAlignment="1">
      <alignment horizontal="right"/>
    </xf>
    <xf numFmtId="2" fontId="10" fillId="0" borderId="4" xfId="1" applyNumberFormat="1" applyFont="1" applyBorder="1"/>
    <xf numFmtId="2" fontId="12" fillId="0" borderId="9" xfId="1" applyNumberFormat="1" applyFont="1" applyBorder="1"/>
    <xf numFmtId="176" fontId="12" fillId="0" borderId="9" xfId="1" applyFont="1" applyBorder="1"/>
    <xf numFmtId="0" fontId="10" fillId="0" borderId="4" xfId="0" applyFont="1" applyBorder="1" applyAlignment="1">
      <alignment horizontal="right"/>
    </xf>
    <xf numFmtId="2" fontId="12" fillId="0" borderId="4" xfId="0" applyNumberFormat="1" applyFont="1" applyBorder="1"/>
    <xf numFmtId="0" fontId="3" fillId="2" borderId="3" xfId="0" applyFont="1" applyFill="1" applyBorder="1"/>
    <xf numFmtId="0" fontId="12" fillId="0" borderId="4" xfId="0" applyFont="1" applyBorder="1" applyAlignment="1">
      <alignment horizontal="right"/>
    </xf>
    <xf numFmtId="0" fontId="0" fillId="2" borderId="15" xfId="0" applyFill="1" applyBorder="1"/>
    <xf numFmtId="179" fontId="16" fillId="0" borderId="4" xfId="0" applyNumberFormat="1" applyFont="1" applyBorder="1" applyAlignment="1">
      <alignment horizontal="left"/>
    </xf>
    <xf numFmtId="2" fontId="16" fillId="0" borderId="4" xfId="0" applyNumberFormat="1" applyFont="1" applyBorder="1"/>
    <xf numFmtId="177" fontId="12" fillId="0" borderId="1" xfId="1" applyNumberFormat="1" applyFont="1" applyBorder="1"/>
    <xf numFmtId="0" fontId="2" fillId="2" borderId="6" xfId="0" applyFont="1" applyFill="1" applyBorder="1" applyAlignment="1">
      <alignment horizontal="left" vertical="top" wrapText="1"/>
    </xf>
    <xf numFmtId="2" fontId="16" fillId="0" borderId="4" xfId="0" applyNumberFormat="1" applyFont="1" applyBorder="1" applyAlignment="1">
      <alignment horizontal="left"/>
    </xf>
    <xf numFmtId="0" fontId="10" fillId="0" borderId="0" xfId="0" applyFont="1" applyAlignment="1">
      <alignment horizontal="right"/>
    </xf>
    <xf numFmtId="177" fontId="12" fillId="0" borderId="0" xfId="1" applyNumberFormat="1" applyFont="1"/>
    <xf numFmtId="0" fontId="17" fillId="4" borderId="11" xfId="0" applyFont="1" applyFill="1" applyBorder="1" applyAlignment="1">
      <alignment horizontal="center" vertical="center"/>
    </xf>
    <xf numFmtId="178" fontId="2" fillId="4" borderId="11" xfId="1" applyNumberFormat="1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178" fontId="2" fillId="4" borderId="9" xfId="1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181" fontId="16" fillId="0" borderId="11" xfId="1" applyNumberFormat="1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181" fontId="16" fillId="0" borderId="9" xfId="1" applyNumberFormat="1" applyFont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178" fontId="10" fillId="4" borderId="11" xfId="1" applyNumberFormat="1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178" fontId="10" fillId="4" borderId="9" xfId="1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/>
    <xf numFmtId="183" fontId="0" fillId="0" borderId="0" xfId="1" applyNumberFormat="1" applyFont="1"/>
    <xf numFmtId="178" fontId="0" fillId="0" borderId="0" xfId="0" applyNumberFormat="1"/>
    <xf numFmtId="176" fontId="0" fillId="0" borderId="0" xfId="0" applyNumberFormat="1"/>
    <xf numFmtId="181" fontId="0" fillId="0" borderId="0" xfId="0" applyNumberFormat="1"/>
    <xf numFmtId="184" fontId="0" fillId="0" borderId="0" xfId="1" applyNumberFormat="1" applyFont="1"/>
    <xf numFmtId="181" fontId="0" fillId="0" borderId="0" xfId="1" applyNumberFormat="1" applyFont="1"/>
    <xf numFmtId="181" fontId="20" fillId="0" borderId="0" xfId="1" applyNumberFormat="1" applyFont="1"/>
    <xf numFmtId="183" fontId="20" fillId="0" borderId="0" xfId="0" applyNumberFormat="1" applyFont="1"/>
    <xf numFmtId="183" fontId="21" fillId="0" borderId="0" xfId="0" applyNumberFormat="1" applyFont="1"/>
    <xf numFmtId="185" fontId="0" fillId="0" borderId="0" xfId="1" applyNumberFormat="1" applyFont="1"/>
    <xf numFmtId="183" fontId="0" fillId="0" borderId="0" xfId="0" applyNumberFormat="1"/>
    <xf numFmtId="18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83" fontId="20" fillId="0" borderId="0" xfId="1" applyNumberFormat="1" applyFont="1"/>
    <xf numFmtId="176" fontId="20" fillId="0" borderId="0" xfId="1" applyFont="1"/>
    <xf numFmtId="176" fontId="20" fillId="0" borderId="0" xfId="0" applyNumberFormat="1" applyFont="1"/>
    <xf numFmtId="39" fontId="0" fillId="0" borderId="0" xfId="0" applyNumberFormat="1"/>
    <xf numFmtId="2" fontId="16" fillId="0" borderId="0" xfId="0" applyNumberFormat="1" applyFont="1"/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37" fontId="0" fillId="0" borderId="0" xfId="1" applyNumberFormat="1" applyFont="1"/>
    <xf numFmtId="177" fontId="0" fillId="0" borderId="0" xfId="0" applyNumberFormat="1"/>
    <xf numFmtId="0" fontId="0" fillId="0" borderId="0" xfId="0" applyAlignment="1" quotePrefix="1">
      <alignment horizontal="center"/>
    </xf>
    <xf numFmtId="2" fontId="0" fillId="0" borderId="0" xfId="0" applyNumberForma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CCECFF"/>
      <color rgb="00000099"/>
      <color rgb="00E0E9C9"/>
      <color rgb="00FFFFFF"/>
      <color rgb="00FFFFCC"/>
      <color rgb="00FFFF99"/>
      <color rgb="00FFFF66"/>
      <color rgb="00CC99FF"/>
      <color rgb="00FF6699"/>
      <color rgb="00E4EF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390525</xdr:colOff>
      <xdr:row>0</xdr:row>
      <xdr:rowOff>19050</xdr:rowOff>
    </xdr:from>
    <xdr:to>
      <xdr:col>2</xdr:col>
      <xdr:colOff>390525</xdr:colOff>
      <xdr:row>3</xdr:row>
      <xdr:rowOff>95249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1000" contrast="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7800" y="19050"/>
          <a:ext cx="752475" cy="628015"/>
        </a:xfrm>
        <a:prstGeom prst="rect">
          <a:avLst/>
        </a:prstGeom>
        <a:noFill/>
        <a:ln>
          <a:noFill/>
        </a:ln>
        <a:effectLst>
          <a:outerShdw algn="ctr" rotWithShape="0">
            <a:srgbClr val="000000">
              <a:alpha val="43137"/>
            </a:srgbClr>
          </a:outerShdw>
          <a:reflection endPos="0" dir="5400000" sy="-100000" algn="bl" rotWithShape="0"/>
        </a:effectLst>
      </xdr:spPr>
    </xdr:pic>
    <xdr:clientData fPrintsWithSheet="0"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239"/>
  <sheetViews>
    <sheetView topLeftCell="A85" workbookViewId="0">
      <pane xSplit="2" topLeftCell="C1" activePane="topRight" state="frozen"/>
      <selection/>
      <selection pane="topRight" activeCell="A31" sqref="A31:A33"/>
    </sheetView>
  </sheetViews>
  <sheetFormatPr defaultColWidth="9" defaultRowHeight="12.75"/>
  <cols>
    <col min="1" max="1" width="15.8571428571429" customWidth="1"/>
    <col min="2" max="2" width="11.2857142857143" customWidth="1"/>
    <col min="3" max="4" width="10.7142857142857" customWidth="1"/>
    <col min="5" max="5" width="10.2857142857143" customWidth="1"/>
    <col min="6" max="7" width="10.7142857142857" customWidth="1"/>
    <col min="8" max="8" width="10.2857142857143" customWidth="1"/>
    <col min="9" max="14" width="10.7142857142857" customWidth="1"/>
    <col min="15" max="15" width="11.2857142857143" customWidth="1"/>
    <col min="16" max="16" width="13" customWidth="1"/>
    <col min="19" max="19" width="11.2857142857143" customWidth="1"/>
    <col min="20" max="20" width="15.8571428571429" customWidth="1"/>
  </cols>
  <sheetData>
    <row r="2" ht="15" spans="1:14">
      <c r="A2" s="70" t="s">
        <v>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ht="15.75" customHeight="1" spans="1:14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ht="13.5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3.5" spans="1:14">
      <c r="A5" s="72" t="s">
        <v>2</v>
      </c>
      <c r="B5" s="73" t="s">
        <v>3</v>
      </c>
      <c r="C5" s="74" t="s">
        <v>4</v>
      </c>
      <c r="D5" s="74" t="s">
        <v>5</v>
      </c>
      <c r="E5" s="74" t="s">
        <v>6</v>
      </c>
      <c r="F5" s="74" t="s">
        <v>7</v>
      </c>
      <c r="G5" s="74" t="s">
        <v>8</v>
      </c>
      <c r="H5" s="74" t="s">
        <v>9</v>
      </c>
      <c r="I5" s="74" t="s">
        <v>10</v>
      </c>
      <c r="J5" s="74" t="s">
        <v>11</v>
      </c>
      <c r="K5" s="74" t="s">
        <v>12</v>
      </c>
      <c r="L5" s="74" t="s">
        <v>13</v>
      </c>
      <c r="M5" s="74" t="s">
        <v>14</v>
      </c>
      <c r="N5" s="74" t="s">
        <v>15</v>
      </c>
    </row>
    <row r="6" ht="16.5" spans="1:14">
      <c r="A6" s="75"/>
      <c r="B6" s="76" t="s">
        <v>16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ht="13.5" spans="1:14">
      <c r="A7" s="78" t="s">
        <v>17</v>
      </c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88"/>
    </row>
    <row r="8" s="68" customFormat="1" spans="1:16">
      <c r="A8" s="82"/>
      <c r="B8" s="83">
        <f>SUM(C8:N8)</f>
        <v>3.78</v>
      </c>
      <c r="C8" s="84">
        <v>0.9</v>
      </c>
      <c r="D8" s="84">
        <v>0.225</v>
      </c>
      <c r="E8" s="84">
        <v>0.45</v>
      </c>
      <c r="F8" s="84"/>
      <c r="G8" s="84"/>
      <c r="H8" s="84"/>
      <c r="I8" s="84"/>
      <c r="J8" s="84"/>
      <c r="K8" s="84"/>
      <c r="L8" s="84"/>
      <c r="M8" s="84">
        <v>0.675</v>
      </c>
      <c r="N8" s="84">
        <v>1.53</v>
      </c>
      <c r="P8" s="133"/>
    </row>
    <row r="9" spans="1:14">
      <c r="A9" s="85"/>
      <c r="B9" s="86">
        <f>SUM(C9:N9)/5</f>
        <v>90</v>
      </c>
      <c r="C9" s="87">
        <v>100</v>
      </c>
      <c r="D9" s="86">
        <v>35</v>
      </c>
      <c r="E9" s="86">
        <v>40</v>
      </c>
      <c r="F9" s="86"/>
      <c r="G9" s="86"/>
      <c r="H9" s="86"/>
      <c r="I9" s="86"/>
      <c r="J9" s="86"/>
      <c r="K9" s="86"/>
      <c r="L9" s="86"/>
      <c r="M9" s="86">
        <v>200</v>
      </c>
      <c r="N9" s="98">
        <v>75</v>
      </c>
    </row>
    <row r="10" spans="1:14">
      <c r="A10" s="78" t="s">
        <v>18</v>
      </c>
      <c r="B10" s="79"/>
      <c r="C10" s="88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8"/>
    </row>
    <row r="11" s="68" customFormat="1" spans="1:16">
      <c r="A11" s="82"/>
      <c r="B11" s="83">
        <f>SUM(C11:N11)</f>
        <v>153.99</v>
      </c>
      <c r="C11" s="84">
        <v>10.89</v>
      </c>
      <c r="D11" s="84">
        <v>11.565</v>
      </c>
      <c r="E11" s="89">
        <v>14.94</v>
      </c>
      <c r="F11" s="84">
        <v>9.405</v>
      </c>
      <c r="G11" s="84">
        <v>5.76</v>
      </c>
      <c r="H11" s="84">
        <v>11.205</v>
      </c>
      <c r="I11" s="84">
        <v>18.135</v>
      </c>
      <c r="J11" s="84">
        <v>23.805</v>
      </c>
      <c r="K11" s="84">
        <v>17.235</v>
      </c>
      <c r="L11" s="84">
        <v>13.05</v>
      </c>
      <c r="M11" s="84">
        <v>10.305</v>
      </c>
      <c r="N11" s="84">
        <v>7.695</v>
      </c>
      <c r="P11" s="133"/>
    </row>
    <row r="12" spans="1:14">
      <c r="A12" s="85"/>
      <c r="B12" s="86">
        <f>SUM(C12:N12)/12</f>
        <v>395.949166666667</v>
      </c>
      <c r="C12" s="87">
        <v>355.56</v>
      </c>
      <c r="D12" s="86">
        <v>370.81</v>
      </c>
      <c r="E12" s="86">
        <v>377.21</v>
      </c>
      <c r="F12" s="86">
        <v>393.46</v>
      </c>
      <c r="G12" s="86">
        <v>405.33</v>
      </c>
      <c r="H12" s="86">
        <v>390.53</v>
      </c>
      <c r="I12" s="86">
        <v>357.45</v>
      </c>
      <c r="J12" s="86">
        <v>375.53</v>
      </c>
      <c r="K12" s="86">
        <v>413.42</v>
      </c>
      <c r="L12" s="86">
        <v>415</v>
      </c>
      <c r="M12" s="86">
        <v>435.19</v>
      </c>
      <c r="N12" s="86">
        <v>461.9</v>
      </c>
    </row>
    <row r="13" spans="1:14">
      <c r="A13" s="90" t="s">
        <v>19</v>
      </c>
      <c r="B13" s="79"/>
      <c r="C13" s="91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1"/>
    </row>
    <row r="14" s="68" customFormat="1" spans="1:16">
      <c r="A14" s="93"/>
      <c r="B14" s="83">
        <f>SUM(C14:N14)</f>
        <v>428.895</v>
      </c>
      <c r="C14" s="84">
        <v>21.375</v>
      </c>
      <c r="D14" s="94">
        <v>13.05</v>
      </c>
      <c r="E14" s="89">
        <v>17.325</v>
      </c>
      <c r="F14" s="95">
        <v>26.865</v>
      </c>
      <c r="G14" s="95">
        <v>12.015</v>
      </c>
      <c r="H14" s="95">
        <v>29.43</v>
      </c>
      <c r="I14" s="95">
        <v>22.95</v>
      </c>
      <c r="J14" s="95">
        <v>50.175</v>
      </c>
      <c r="K14" s="95">
        <v>66.06</v>
      </c>
      <c r="L14" s="95">
        <v>96.66</v>
      </c>
      <c r="M14" s="95">
        <v>46.665</v>
      </c>
      <c r="N14" s="84">
        <v>26.325</v>
      </c>
      <c r="P14" s="133"/>
    </row>
    <row r="15" spans="1:14">
      <c r="A15" s="96"/>
      <c r="B15" s="86">
        <f>SUM(C15:N15)/12</f>
        <v>201.91</v>
      </c>
      <c r="C15" s="87">
        <v>192.38</v>
      </c>
      <c r="D15" s="86">
        <v>197.5</v>
      </c>
      <c r="E15" s="86">
        <v>198</v>
      </c>
      <c r="F15" s="86">
        <v>188.55</v>
      </c>
      <c r="G15" s="86">
        <v>190</v>
      </c>
      <c r="H15" s="86">
        <v>207.2</v>
      </c>
      <c r="I15" s="86">
        <v>202.5</v>
      </c>
      <c r="J15" s="86">
        <v>242.09</v>
      </c>
      <c r="K15" s="86">
        <v>194.29</v>
      </c>
      <c r="L15" s="86">
        <v>193.19</v>
      </c>
      <c r="M15" s="86">
        <v>205</v>
      </c>
      <c r="N15" s="86">
        <v>212.22</v>
      </c>
    </row>
    <row r="16" spans="1:14">
      <c r="A16" s="78" t="s">
        <v>20</v>
      </c>
      <c r="B16" s="97"/>
      <c r="C16" s="87"/>
      <c r="D16" s="86"/>
      <c r="E16" s="86"/>
      <c r="F16" s="86"/>
      <c r="G16" s="86"/>
      <c r="H16" s="86"/>
      <c r="I16" s="134"/>
      <c r="J16" s="134"/>
      <c r="K16" s="134"/>
      <c r="L16" s="134"/>
      <c r="M16" s="86"/>
      <c r="N16" s="86"/>
    </row>
    <row r="17" s="68" customFormat="1" customHeight="1" spans="1:16">
      <c r="A17" s="82"/>
      <c r="B17" s="83">
        <f>SUM(C17:N17)</f>
        <v>0.9</v>
      </c>
      <c r="C17" s="84"/>
      <c r="D17" s="84"/>
      <c r="E17" s="95"/>
      <c r="F17" s="84"/>
      <c r="G17" s="84"/>
      <c r="H17" s="95"/>
      <c r="I17" s="84"/>
      <c r="J17" s="84"/>
      <c r="K17" s="84">
        <v>0.9</v>
      </c>
      <c r="L17" s="95"/>
      <c r="M17" s="95"/>
      <c r="N17" s="84"/>
      <c r="P17" s="133"/>
    </row>
    <row r="18" spans="1:20">
      <c r="A18" s="85"/>
      <c r="B18" s="86">
        <f>((SUM(C18:N18)))</f>
        <v>170</v>
      </c>
      <c r="C18" s="87"/>
      <c r="D18" s="86"/>
      <c r="E18" s="98"/>
      <c r="F18" s="98"/>
      <c r="G18" s="86"/>
      <c r="H18" s="86"/>
      <c r="I18" s="134"/>
      <c r="J18" s="86"/>
      <c r="K18" s="134">
        <v>170</v>
      </c>
      <c r="L18" s="134"/>
      <c r="M18" s="86"/>
      <c r="N18" s="86"/>
      <c r="T18" s="68"/>
    </row>
    <row r="19" spans="1:20">
      <c r="A19" s="78" t="s">
        <v>21</v>
      </c>
      <c r="B19" s="79"/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99"/>
      <c r="T19" s="68"/>
    </row>
    <row r="20" s="68" customFormat="1" spans="1:16">
      <c r="A20" s="82"/>
      <c r="B20" s="101">
        <f>SUM(C20:N20)</f>
        <v>2748.015</v>
      </c>
      <c r="C20" s="84">
        <v>193.905</v>
      </c>
      <c r="D20" s="84">
        <v>198.855</v>
      </c>
      <c r="E20" s="89">
        <v>260.955</v>
      </c>
      <c r="F20" s="84">
        <v>206.415</v>
      </c>
      <c r="G20" s="84">
        <v>234.9</v>
      </c>
      <c r="H20" s="95">
        <v>236.655</v>
      </c>
      <c r="I20" s="84">
        <v>235.44</v>
      </c>
      <c r="J20" s="84">
        <v>256.455</v>
      </c>
      <c r="K20" s="84">
        <v>256.005</v>
      </c>
      <c r="L20" s="84">
        <v>233.955</v>
      </c>
      <c r="M20" s="95">
        <v>184.455</v>
      </c>
      <c r="N20" s="84">
        <v>250.02</v>
      </c>
      <c r="P20" s="135"/>
    </row>
    <row r="21" spans="1:20">
      <c r="A21" s="85"/>
      <c r="B21" s="86">
        <f>SUM(C21:N21)/12</f>
        <v>158.483333333333</v>
      </c>
      <c r="C21" s="102">
        <v>155.59</v>
      </c>
      <c r="D21" s="86">
        <v>156.1</v>
      </c>
      <c r="E21" s="86">
        <v>156.62</v>
      </c>
      <c r="F21" s="86">
        <v>160.03</v>
      </c>
      <c r="G21" s="86">
        <v>158.4</v>
      </c>
      <c r="H21" s="86">
        <v>157.16</v>
      </c>
      <c r="I21" s="86">
        <v>154.34</v>
      </c>
      <c r="J21" s="86">
        <v>154.82</v>
      </c>
      <c r="K21" s="86">
        <v>160.64</v>
      </c>
      <c r="L21" s="86">
        <v>160.49</v>
      </c>
      <c r="M21" s="86">
        <v>163.69</v>
      </c>
      <c r="N21" s="86">
        <v>163.92</v>
      </c>
      <c r="T21" s="68"/>
    </row>
    <row r="22" spans="1:14">
      <c r="A22" s="103"/>
      <c r="B22" s="104"/>
      <c r="C22" s="105"/>
      <c r="D22" s="106"/>
      <c r="E22" s="107"/>
      <c r="F22" s="106"/>
      <c r="G22" s="108"/>
      <c r="H22" s="106"/>
      <c r="I22" s="108"/>
      <c r="J22" s="106"/>
      <c r="K22" s="136"/>
      <c r="L22" s="137"/>
      <c r="M22" s="136"/>
      <c r="N22" s="105"/>
    </row>
    <row r="23" s="68" customFormat="1" spans="1:16">
      <c r="A23" s="109" t="s">
        <v>22</v>
      </c>
      <c r="B23" s="83">
        <f>SUM(C23:N23)</f>
        <v>2.025</v>
      </c>
      <c r="C23" s="95"/>
      <c r="D23" s="95"/>
      <c r="E23" s="95"/>
      <c r="F23" s="94"/>
      <c r="G23" s="94"/>
      <c r="H23" s="95">
        <v>0.225</v>
      </c>
      <c r="I23" s="95"/>
      <c r="J23" s="95"/>
      <c r="K23" s="112">
        <v>1.8</v>
      </c>
      <c r="L23" s="84"/>
      <c r="M23" s="95"/>
      <c r="N23" s="94"/>
      <c r="P23" s="133"/>
    </row>
    <row r="24" spans="1:14">
      <c r="A24" s="110" t="s">
        <v>23</v>
      </c>
      <c r="B24" s="86">
        <f>(SUM(C24:N24))/2</f>
        <v>115</v>
      </c>
      <c r="C24" s="102"/>
      <c r="D24" s="86"/>
      <c r="E24" s="86"/>
      <c r="F24" s="86"/>
      <c r="G24" s="86"/>
      <c r="H24" s="86">
        <v>110</v>
      </c>
      <c r="I24" s="86"/>
      <c r="J24" s="86"/>
      <c r="K24" s="86">
        <v>120</v>
      </c>
      <c r="L24" s="86"/>
      <c r="M24" s="86"/>
      <c r="N24" s="86"/>
    </row>
    <row r="25" spans="1:14">
      <c r="A25" s="78" t="s">
        <v>24</v>
      </c>
      <c r="B25" s="79"/>
      <c r="C25" s="81"/>
      <c r="D25" s="81"/>
      <c r="E25" s="81"/>
      <c r="F25" s="81"/>
      <c r="G25" s="111"/>
      <c r="H25" s="81"/>
      <c r="I25" s="81"/>
      <c r="J25" s="81"/>
      <c r="K25" s="79"/>
      <c r="L25" s="79"/>
      <c r="M25" s="79"/>
      <c r="N25" s="81"/>
    </row>
    <row r="26" s="68" customFormat="1" spans="1:16">
      <c r="A26" s="82"/>
      <c r="B26" s="101">
        <f>SUM(C26:N26)</f>
        <v>1182.51</v>
      </c>
      <c r="C26" s="94">
        <v>79.515</v>
      </c>
      <c r="D26" s="94">
        <v>56.43</v>
      </c>
      <c r="E26" s="89">
        <v>81.675</v>
      </c>
      <c r="F26" s="94">
        <v>64.44</v>
      </c>
      <c r="G26" s="95">
        <v>50.355</v>
      </c>
      <c r="H26" s="112">
        <v>130.5</v>
      </c>
      <c r="I26" s="112">
        <v>159.795</v>
      </c>
      <c r="J26" s="112">
        <v>126.81</v>
      </c>
      <c r="K26" s="112">
        <v>119.925</v>
      </c>
      <c r="L26" s="112">
        <v>122.985</v>
      </c>
      <c r="M26" s="112">
        <v>112.905</v>
      </c>
      <c r="N26" s="94">
        <v>77.175</v>
      </c>
      <c r="P26" s="133"/>
    </row>
    <row r="27" spans="1:14">
      <c r="A27" s="85"/>
      <c r="B27" s="86">
        <f>SUM(C27:N27)/12</f>
        <v>255.249166666667</v>
      </c>
      <c r="C27" s="102">
        <v>269.07</v>
      </c>
      <c r="D27" s="113">
        <v>253.67</v>
      </c>
      <c r="E27" s="86">
        <v>263.36</v>
      </c>
      <c r="F27" s="86">
        <v>259.77</v>
      </c>
      <c r="G27" s="86">
        <v>248.87</v>
      </c>
      <c r="H27" s="86">
        <v>252.52</v>
      </c>
      <c r="I27" s="86">
        <v>252.59</v>
      </c>
      <c r="J27" s="86">
        <v>254.29</v>
      </c>
      <c r="K27" s="86">
        <v>255.29</v>
      </c>
      <c r="L27" s="86">
        <v>244.21</v>
      </c>
      <c r="M27" s="86">
        <v>262.84</v>
      </c>
      <c r="N27" s="86">
        <v>246.51</v>
      </c>
    </row>
    <row r="28" spans="1:14">
      <c r="A28" s="114"/>
      <c r="B28" s="79"/>
      <c r="C28" s="81"/>
      <c r="D28" s="81"/>
      <c r="E28" s="81"/>
      <c r="F28" s="81"/>
      <c r="G28" s="81"/>
      <c r="H28" s="81"/>
      <c r="I28" s="81"/>
      <c r="J28" s="81"/>
      <c r="K28" s="79"/>
      <c r="L28" s="79"/>
      <c r="M28" s="79"/>
      <c r="N28" s="81"/>
    </row>
    <row r="29" s="68" customFormat="1" spans="1:16">
      <c r="A29" s="109" t="s">
        <v>25</v>
      </c>
      <c r="B29" s="101">
        <f>SUM(C29:N29)</f>
        <v>21.735</v>
      </c>
      <c r="C29" s="94">
        <v>0.9</v>
      </c>
      <c r="D29" s="94">
        <v>0.09</v>
      </c>
      <c r="E29" s="89">
        <v>0.36</v>
      </c>
      <c r="F29" s="94"/>
      <c r="G29" s="94">
        <v>0.765</v>
      </c>
      <c r="H29" s="112">
        <v>1.125</v>
      </c>
      <c r="I29" s="112">
        <v>2.88</v>
      </c>
      <c r="J29" s="112">
        <v>2.79</v>
      </c>
      <c r="K29" s="112">
        <v>2.25</v>
      </c>
      <c r="L29" s="112">
        <v>4.95</v>
      </c>
      <c r="M29" s="112">
        <v>0.45</v>
      </c>
      <c r="N29" s="94">
        <v>5.175</v>
      </c>
      <c r="P29" s="133"/>
    </row>
    <row r="30" spans="1:14">
      <c r="A30" s="115"/>
      <c r="B30" s="86">
        <f>(SUM(C30:N30))/11</f>
        <v>132.057272727273</v>
      </c>
      <c r="C30" s="102">
        <v>140</v>
      </c>
      <c r="D30" s="86">
        <v>100</v>
      </c>
      <c r="E30" s="86">
        <v>120</v>
      </c>
      <c r="F30" s="86"/>
      <c r="G30" s="86">
        <v>140</v>
      </c>
      <c r="H30" s="86">
        <v>148.33</v>
      </c>
      <c r="I30" s="86">
        <v>158.75</v>
      </c>
      <c r="J30" s="86">
        <v>146.67</v>
      </c>
      <c r="K30" s="86">
        <v>125</v>
      </c>
      <c r="L30" s="86">
        <v>132</v>
      </c>
      <c r="M30" s="86">
        <v>120</v>
      </c>
      <c r="N30" s="86">
        <v>121.88</v>
      </c>
    </row>
    <row r="31" spans="1:14">
      <c r="A31" s="78" t="s">
        <v>26</v>
      </c>
      <c r="B31" s="79"/>
      <c r="C31" s="81"/>
      <c r="D31" s="81"/>
      <c r="E31" s="81"/>
      <c r="F31" s="81"/>
      <c r="G31" s="111"/>
      <c r="H31" s="81"/>
      <c r="I31" s="81"/>
      <c r="J31" s="81"/>
      <c r="K31" s="79"/>
      <c r="L31" s="79"/>
      <c r="M31" s="79"/>
      <c r="N31" s="81"/>
    </row>
    <row r="32" s="68" customFormat="1" spans="1:18">
      <c r="A32" s="82"/>
      <c r="B32" s="101">
        <f>SUM(C32:N32)</f>
        <v>897.615</v>
      </c>
      <c r="C32" s="84">
        <v>23.985</v>
      </c>
      <c r="D32" s="84">
        <v>13.905</v>
      </c>
      <c r="E32" s="89">
        <v>58.68</v>
      </c>
      <c r="F32" s="84">
        <v>84.825</v>
      </c>
      <c r="G32" s="95">
        <v>85.86</v>
      </c>
      <c r="H32" s="112">
        <v>203.265</v>
      </c>
      <c r="I32" s="112">
        <v>99.945</v>
      </c>
      <c r="J32" s="112">
        <v>139.41</v>
      </c>
      <c r="K32" s="112">
        <v>55.8</v>
      </c>
      <c r="L32" s="112">
        <v>48.69</v>
      </c>
      <c r="M32" s="112">
        <v>46.53</v>
      </c>
      <c r="N32" s="84">
        <v>36.72</v>
      </c>
      <c r="O32" s="138"/>
      <c r="P32" s="133"/>
      <c r="R32" s="138"/>
    </row>
    <row r="33" spans="1:14">
      <c r="A33" s="85"/>
      <c r="B33" s="86">
        <f>SUM(C33:N33)/12</f>
        <v>172.346666666667</v>
      </c>
      <c r="C33" s="102">
        <v>229</v>
      </c>
      <c r="D33" s="86">
        <v>172.14</v>
      </c>
      <c r="E33" s="86">
        <v>178.24</v>
      </c>
      <c r="F33" s="86">
        <v>162.78</v>
      </c>
      <c r="G33" s="86">
        <v>170.7</v>
      </c>
      <c r="H33" s="86">
        <v>163.9</v>
      </c>
      <c r="I33" s="86">
        <v>160.23</v>
      </c>
      <c r="J33" s="86">
        <v>170.78</v>
      </c>
      <c r="K33" s="86">
        <v>168.75</v>
      </c>
      <c r="L33" s="86">
        <v>161.28</v>
      </c>
      <c r="M33" s="86">
        <v>161.94</v>
      </c>
      <c r="N33" s="86">
        <v>168.42</v>
      </c>
    </row>
    <row r="34" spans="1:15">
      <c r="A34" s="114"/>
      <c r="B34" s="79"/>
      <c r="C34" s="81"/>
      <c r="D34" s="81"/>
      <c r="E34" s="81"/>
      <c r="F34" s="81"/>
      <c r="G34" s="111"/>
      <c r="H34" s="81"/>
      <c r="I34" s="81"/>
      <c r="J34" s="81"/>
      <c r="K34" s="79"/>
      <c r="L34" s="79"/>
      <c r="M34" s="79"/>
      <c r="N34" s="81"/>
      <c r="O34" s="65"/>
    </row>
    <row r="35" s="68" customFormat="1" spans="1:16">
      <c r="A35" s="109" t="s">
        <v>27</v>
      </c>
      <c r="B35" s="101">
        <f>SUM(C35:N35)</f>
        <v>404.685</v>
      </c>
      <c r="C35" s="84">
        <v>106.74</v>
      </c>
      <c r="D35" s="84">
        <v>63.135</v>
      </c>
      <c r="E35" s="89">
        <v>83.16</v>
      </c>
      <c r="F35" s="84">
        <v>33.12</v>
      </c>
      <c r="G35" s="95">
        <v>30.015</v>
      </c>
      <c r="H35" s="112">
        <v>36.45</v>
      </c>
      <c r="I35" s="112">
        <v>5.625</v>
      </c>
      <c r="J35" s="112">
        <v>15.3</v>
      </c>
      <c r="K35" s="112"/>
      <c r="L35" s="112">
        <v>3.105</v>
      </c>
      <c r="M35" s="112">
        <v>12.06</v>
      </c>
      <c r="N35" s="84">
        <v>15.975</v>
      </c>
      <c r="P35" s="133"/>
    </row>
    <row r="36" spans="1:14">
      <c r="A36" s="115"/>
      <c r="B36" s="86">
        <f>SUM(C36:N36)/11</f>
        <v>156.98</v>
      </c>
      <c r="C36" s="102">
        <v>147.35</v>
      </c>
      <c r="D36" s="86">
        <v>144.64</v>
      </c>
      <c r="E36" s="86">
        <v>152.86</v>
      </c>
      <c r="F36" s="86">
        <v>158.67</v>
      </c>
      <c r="G36" s="86">
        <v>154.44</v>
      </c>
      <c r="H36" s="86">
        <v>166.15</v>
      </c>
      <c r="I36" s="86">
        <v>150</v>
      </c>
      <c r="J36" s="86">
        <v>156</v>
      </c>
      <c r="K36" s="86"/>
      <c r="L36" s="86">
        <v>160</v>
      </c>
      <c r="M36" s="86">
        <v>166.67</v>
      </c>
      <c r="N36" s="86">
        <v>170</v>
      </c>
    </row>
    <row r="37" spans="1:14">
      <c r="A37" s="114"/>
      <c r="B37" s="79"/>
      <c r="C37" s="81"/>
      <c r="D37" s="81"/>
      <c r="E37" s="81"/>
      <c r="F37" s="81"/>
      <c r="G37" s="81"/>
      <c r="H37" s="81"/>
      <c r="I37" s="81"/>
      <c r="J37" s="79"/>
      <c r="K37" s="79"/>
      <c r="L37" s="79"/>
      <c r="M37" s="79"/>
      <c r="N37" s="79"/>
    </row>
    <row r="38" s="68" customFormat="1" spans="1:16">
      <c r="A38" s="116" t="s">
        <v>28</v>
      </c>
      <c r="B38" s="101">
        <f>SUM(C38:N38)</f>
        <v>27.54</v>
      </c>
      <c r="C38" s="95"/>
      <c r="D38" s="84"/>
      <c r="E38" s="89"/>
      <c r="F38" s="84"/>
      <c r="G38" s="94">
        <v>1.485</v>
      </c>
      <c r="H38" s="112">
        <v>2.07</v>
      </c>
      <c r="I38" s="95">
        <v>3.285</v>
      </c>
      <c r="J38" s="95">
        <v>2.16</v>
      </c>
      <c r="K38" s="112">
        <v>6.255</v>
      </c>
      <c r="L38" s="112">
        <v>1.935</v>
      </c>
      <c r="M38" s="112">
        <v>5.58</v>
      </c>
      <c r="N38" s="84">
        <v>4.77</v>
      </c>
      <c r="P38" s="133"/>
    </row>
    <row r="39" spans="1:14">
      <c r="A39" s="115"/>
      <c r="B39" s="86">
        <f>(SUM(C39:N39))/8</f>
        <v>59.6775</v>
      </c>
      <c r="C39" s="86"/>
      <c r="D39" s="86"/>
      <c r="E39" s="86"/>
      <c r="F39" s="86"/>
      <c r="G39" s="86">
        <v>83.33</v>
      </c>
      <c r="H39" s="86">
        <v>63.33</v>
      </c>
      <c r="I39" s="86">
        <v>77.5</v>
      </c>
      <c r="J39" s="86">
        <v>63.33</v>
      </c>
      <c r="K39" s="86">
        <v>54.44</v>
      </c>
      <c r="L39" s="86">
        <v>47</v>
      </c>
      <c r="M39" s="86">
        <v>42.78</v>
      </c>
      <c r="N39" s="134">
        <v>45.71</v>
      </c>
    </row>
    <row r="40" spans="1:14">
      <c r="A40" s="117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39"/>
    </row>
    <row r="41" spans="1:14">
      <c r="A41" s="119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40"/>
    </row>
    <row r="42" spans="1:14">
      <c r="A42" s="119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40"/>
    </row>
    <row r="43" spans="1:14">
      <c r="A43" s="121" t="s">
        <v>29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40"/>
    </row>
    <row r="44" ht="13.5" spans="1:14">
      <c r="A44" s="121"/>
      <c r="B44" s="122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40"/>
    </row>
    <row r="45" ht="13.5" spans="1:14">
      <c r="A45" s="72" t="s">
        <v>2</v>
      </c>
      <c r="B45" s="73" t="s">
        <v>3</v>
      </c>
      <c r="C45" s="74" t="s">
        <v>4</v>
      </c>
      <c r="D45" s="74" t="s">
        <v>5</v>
      </c>
      <c r="E45" s="74" t="s">
        <v>6</v>
      </c>
      <c r="F45" s="74" t="s">
        <v>7</v>
      </c>
      <c r="G45" s="74" t="s">
        <v>8</v>
      </c>
      <c r="H45" s="74" t="s">
        <v>9</v>
      </c>
      <c r="I45" s="74" t="s">
        <v>10</v>
      </c>
      <c r="J45" s="74" t="s">
        <v>11</v>
      </c>
      <c r="K45" s="74" t="s">
        <v>12</v>
      </c>
      <c r="L45" s="74" t="s">
        <v>13</v>
      </c>
      <c r="M45" s="74" t="s">
        <v>14</v>
      </c>
      <c r="N45" s="74" t="s">
        <v>15</v>
      </c>
    </row>
    <row r="46" ht="16.5" spans="1:14">
      <c r="A46" s="75"/>
      <c r="B46" s="76" t="s">
        <v>16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ht="13.5" spans="1:14">
      <c r="A47" s="123" t="s">
        <v>30</v>
      </c>
      <c r="B47" s="124"/>
      <c r="C47" s="107"/>
      <c r="D47" s="125"/>
      <c r="E47" s="126"/>
      <c r="F47" s="125"/>
      <c r="G47" s="127"/>
      <c r="H47" s="125"/>
      <c r="I47" s="127"/>
      <c r="J47" s="125"/>
      <c r="K47" s="127"/>
      <c r="L47" s="125"/>
      <c r="M47" s="141"/>
      <c r="N47" s="125"/>
    </row>
    <row r="48" s="68" customFormat="1" spans="1:16">
      <c r="A48" s="128"/>
      <c r="B48" s="101">
        <f>SUM(C48:N48)</f>
        <v>95.445</v>
      </c>
      <c r="C48" s="84">
        <v>1.89</v>
      </c>
      <c r="D48" s="84">
        <v>2.34</v>
      </c>
      <c r="E48" s="95">
        <v>6.12</v>
      </c>
      <c r="F48" s="84">
        <v>6.435</v>
      </c>
      <c r="G48" s="84">
        <v>2.295</v>
      </c>
      <c r="H48" s="112">
        <v>9.72</v>
      </c>
      <c r="I48" s="112">
        <v>17.37</v>
      </c>
      <c r="J48" s="112">
        <v>28.395</v>
      </c>
      <c r="K48" s="112">
        <v>5.535</v>
      </c>
      <c r="L48" s="112">
        <v>6.57</v>
      </c>
      <c r="M48" s="112">
        <v>7.02</v>
      </c>
      <c r="N48" s="84">
        <v>1.755</v>
      </c>
      <c r="P48" s="133"/>
    </row>
    <row r="49" spans="1:14">
      <c r="A49" s="129"/>
      <c r="B49" s="86">
        <f>SUM(C49:N49)/12</f>
        <v>280.734166666667</v>
      </c>
      <c r="C49" s="102">
        <v>297.78</v>
      </c>
      <c r="D49" s="86">
        <v>296.36</v>
      </c>
      <c r="E49" s="86">
        <v>284.07</v>
      </c>
      <c r="F49" s="86">
        <v>277.89</v>
      </c>
      <c r="G49" s="86">
        <v>293.85</v>
      </c>
      <c r="H49" s="86">
        <v>255</v>
      </c>
      <c r="I49" s="86">
        <v>267.2</v>
      </c>
      <c r="J49" s="86">
        <v>271.58</v>
      </c>
      <c r="K49" s="86">
        <v>293.85</v>
      </c>
      <c r="L49" s="86">
        <v>274.62</v>
      </c>
      <c r="M49" s="86">
        <v>253.75</v>
      </c>
      <c r="N49" s="134">
        <v>302.86</v>
      </c>
    </row>
    <row r="50" spans="1:14">
      <c r="A50" s="78" t="s">
        <v>31</v>
      </c>
      <c r="B50" s="79"/>
      <c r="C50" s="81"/>
      <c r="D50" s="81"/>
      <c r="E50" s="81"/>
      <c r="F50" s="81"/>
      <c r="G50" s="81"/>
      <c r="H50" s="81"/>
      <c r="I50" s="81"/>
      <c r="J50" s="79"/>
      <c r="K50" s="79"/>
      <c r="L50" s="79"/>
      <c r="M50" s="79"/>
      <c r="N50" s="79"/>
    </row>
    <row r="51" s="68" customFormat="1" spans="1:16">
      <c r="A51" s="82"/>
      <c r="B51" s="101">
        <f>SUM(C51:N51)</f>
        <v>172.755</v>
      </c>
      <c r="C51" s="84">
        <v>40.14</v>
      </c>
      <c r="D51" s="84">
        <v>21.105</v>
      </c>
      <c r="E51" s="89">
        <v>18.9</v>
      </c>
      <c r="F51" s="84">
        <v>9.045</v>
      </c>
      <c r="G51" s="84">
        <v>18.225</v>
      </c>
      <c r="H51" s="112">
        <v>8.955</v>
      </c>
      <c r="I51" s="112">
        <v>1.35</v>
      </c>
      <c r="J51" s="112">
        <v>2.025</v>
      </c>
      <c r="K51" s="112">
        <v>5.445</v>
      </c>
      <c r="L51" s="112">
        <v>1.665</v>
      </c>
      <c r="M51" s="112">
        <v>20.745</v>
      </c>
      <c r="N51" s="84">
        <v>25.155</v>
      </c>
      <c r="P51" s="133"/>
    </row>
    <row r="52" spans="1:14">
      <c r="A52" s="85"/>
      <c r="B52" s="86">
        <f>SUM(C52:N52)/12</f>
        <v>121.721666666667</v>
      </c>
      <c r="C52" s="86">
        <v>86.49</v>
      </c>
      <c r="D52" s="86">
        <v>80</v>
      </c>
      <c r="E52" s="86">
        <v>91.43</v>
      </c>
      <c r="F52" s="86">
        <v>88.5</v>
      </c>
      <c r="G52" s="86">
        <v>95.19</v>
      </c>
      <c r="H52" s="86">
        <v>100</v>
      </c>
      <c r="I52" s="86">
        <v>95</v>
      </c>
      <c r="J52" s="86">
        <v>90</v>
      </c>
      <c r="K52" s="86">
        <v>100</v>
      </c>
      <c r="L52" s="86">
        <v>433.33</v>
      </c>
      <c r="M52" s="86">
        <v>94.67</v>
      </c>
      <c r="N52" s="134">
        <v>106.05</v>
      </c>
    </row>
    <row r="53" spans="1:14">
      <c r="A53" s="78" t="s">
        <v>32</v>
      </c>
      <c r="B53" s="79"/>
      <c r="C53" s="81"/>
      <c r="D53" s="81"/>
      <c r="E53" s="81"/>
      <c r="F53" s="81"/>
      <c r="G53" s="81"/>
      <c r="H53" s="81"/>
      <c r="I53" s="81"/>
      <c r="J53" s="81"/>
      <c r="K53" s="79"/>
      <c r="L53" s="79"/>
      <c r="M53" s="79"/>
      <c r="N53" s="79"/>
    </row>
    <row r="54" s="68" customFormat="1" spans="1:16">
      <c r="A54" s="82"/>
      <c r="B54" s="101">
        <f>SUM(C54:N54)</f>
        <v>44.325</v>
      </c>
      <c r="C54" s="95"/>
      <c r="D54" s="94">
        <v>0.495</v>
      </c>
      <c r="E54" s="89"/>
      <c r="F54" s="84">
        <v>0.495</v>
      </c>
      <c r="G54" s="84">
        <v>0.72</v>
      </c>
      <c r="H54" s="112">
        <v>8.37</v>
      </c>
      <c r="I54" s="95">
        <v>12.15</v>
      </c>
      <c r="J54" s="95">
        <v>13.68</v>
      </c>
      <c r="K54" s="112">
        <v>0.54</v>
      </c>
      <c r="L54" s="112">
        <v>2.385</v>
      </c>
      <c r="M54" s="112">
        <v>5.49</v>
      </c>
      <c r="N54" s="112"/>
      <c r="P54" s="133"/>
    </row>
    <row r="55" spans="1:14">
      <c r="A55" s="85"/>
      <c r="B55" s="86">
        <f>(SUM(C55:N55))/9</f>
        <v>212.836666666667</v>
      </c>
      <c r="C55" s="86"/>
      <c r="D55" s="86">
        <v>200</v>
      </c>
      <c r="E55" s="86"/>
      <c r="F55" s="86">
        <v>230</v>
      </c>
      <c r="G55" s="86">
        <v>230</v>
      </c>
      <c r="H55" s="86">
        <v>215</v>
      </c>
      <c r="I55" s="86">
        <v>205</v>
      </c>
      <c r="J55" s="86">
        <v>206</v>
      </c>
      <c r="K55" s="142">
        <v>200</v>
      </c>
      <c r="L55" s="134">
        <v>216.67</v>
      </c>
      <c r="M55" s="134">
        <v>212.86</v>
      </c>
      <c r="N55" s="134"/>
    </row>
    <row r="56" spans="1:14">
      <c r="A56" s="78" t="s">
        <v>33</v>
      </c>
      <c r="B56" s="79"/>
      <c r="C56" s="92"/>
      <c r="D56" s="130"/>
      <c r="E56" s="92"/>
      <c r="F56" s="130"/>
      <c r="G56" s="130"/>
      <c r="H56" s="81"/>
      <c r="I56" s="130"/>
      <c r="J56" s="79"/>
      <c r="K56" s="130"/>
      <c r="L56" s="130"/>
      <c r="M56" s="130"/>
      <c r="N56" s="130"/>
    </row>
    <row r="57" s="68" customFormat="1" spans="1:16">
      <c r="A57" s="82"/>
      <c r="B57" s="101">
        <f>SUM(C57:N57)</f>
        <v>69.345</v>
      </c>
      <c r="C57" s="84">
        <v>4.545</v>
      </c>
      <c r="D57" s="84">
        <v>3.555</v>
      </c>
      <c r="E57" s="89">
        <v>3.24</v>
      </c>
      <c r="F57" s="84">
        <v>6.21</v>
      </c>
      <c r="G57" s="84">
        <v>5.535</v>
      </c>
      <c r="H57" s="112">
        <v>6.705</v>
      </c>
      <c r="I57" s="112">
        <v>13.77</v>
      </c>
      <c r="J57" s="112">
        <v>8.46</v>
      </c>
      <c r="K57" s="112">
        <v>12.96</v>
      </c>
      <c r="L57" s="112">
        <v>3.33</v>
      </c>
      <c r="M57" s="112"/>
      <c r="N57" s="84">
        <v>1.035</v>
      </c>
      <c r="P57" s="133"/>
    </row>
    <row r="58" ht="13.5" spans="1:14">
      <c r="A58" s="85"/>
      <c r="B58" s="86">
        <f>(SUM(C58:N58))/11</f>
        <v>226.291818181818</v>
      </c>
      <c r="C58" s="102">
        <v>208</v>
      </c>
      <c r="D58" s="86">
        <v>211.67</v>
      </c>
      <c r="E58" s="86">
        <v>220</v>
      </c>
      <c r="F58" s="86">
        <v>221.25</v>
      </c>
      <c r="G58" s="86">
        <v>240</v>
      </c>
      <c r="H58" s="86">
        <v>244.29</v>
      </c>
      <c r="I58" s="86">
        <v>236.67</v>
      </c>
      <c r="J58" s="86">
        <v>233</v>
      </c>
      <c r="K58" s="86">
        <v>231</v>
      </c>
      <c r="L58" s="86">
        <v>233.33</v>
      </c>
      <c r="M58" s="86"/>
      <c r="N58" s="134">
        <v>210</v>
      </c>
    </row>
    <row r="59" ht="13.5" spans="1:14">
      <c r="A59" s="131" t="s">
        <v>34</v>
      </c>
      <c r="B59" s="79"/>
      <c r="C59" s="81"/>
      <c r="D59" s="81"/>
      <c r="E59" s="81"/>
      <c r="F59" s="81"/>
      <c r="G59" s="81"/>
      <c r="H59" s="81"/>
      <c r="I59" s="81"/>
      <c r="J59" s="79"/>
      <c r="K59" s="79"/>
      <c r="L59" s="79"/>
      <c r="M59" s="79"/>
      <c r="N59" s="130"/>
    </row>
    <row r="60" s="68" customFormat="1" spans="1:16">
      <c r="A60" s="82"/>
      <c r="B60" s="101">
        <f>SUM(C60:N60)</f>
        <v>3347.1</v>
      </c>
      <c r="C60" s="132">
        <v>401.355</v>
      </c>
      <c r="D60" s="132">
        <v>544.59</v>
      </c>
      <c r="E60" s="89">
        <v>281.835</v>
      </c>
      <c r="F60" s="132">
        <v>357.66</v>
      </c>
      <c r="G60" s="132">
        <v>481.635</v>
      </c>
      <c r="H60" s="112">
        <v>231.39</v>
      </c>
      <c r="I60" s="112">
        <v>184.86</v>
      </c>
      <c r="J60" s="112">
        <v>118.305</v>
      </c>
      <c r="K60" s="112">
        <v>113.22</v>
      </c>
      <c r="L60" s="112">
        <v>155.16</v>
      </c>
      <c r="M60" s="112">
        <v>332.01</v>
      </c>
      <c r="N60" s="84">
        <v>145.08</v>
      </c>
      <c r="O60" s="138"/>
      <c r="P60" s="133"/>
    </row>
    <row r="61" spans="1:14">
      <c r="A61" s="85"/>
      <c r="B61" s="86">
        <f>(SUM(C61:N61))/12</f>
        <v>159.3375</v>
      </c>
      <c r="C61" s="86">
        <v>158.01</v>
      </c>
      <c r="D61" s="86">
        <v>146.23</v>
      </c>
      <c r="E61" s="86">
        <v>158.12</v>
      </c>
      <c r="F61" s="86">
        <v>154.62</v>
      </c>
      <c r="G61" s="86">
        <v>159.51</v>
      </c>
      <c r="H61" s="86">
        <v>159.52</v>
      </c>
      <c r="I61" s="86">
        <v>157.54</v>
      </c>
      <c r="J61" s="86">
        <v>159.77</v>
      </c>
      <c r="K61" s="86">
        <v>165.62</v>
      </c>
      <c r="L61" s="86">
        <v>156.98</v>
      </c>
      <c r="M61" s="86">
        <v>166.57</v>
      </c>
      <c r="N61" s="134">
        <v>169.56</v>
      </c>
    </row>
    <row r="62" spans="1:14">
      <c r="A62" s="90" t="s">
        <v>35</v>
      </c>
      <c r="B62" s="79"/>
      <c r="C62" s="81"/>
      <c r="D62" s="81"/>
      <c r="E62" s="81"/>
      <c r="F62" s="81"/>
      <c r="G62" s="81"/>
      <c r="H62" s="81"/>
      <c r="I62" s="81"/>
      <c r="J62" s="79"/>
      <c r="K62" s="79"/>
      <c r="L62" s="79"/>
      <c r="M62" s="79"/>
      <c r="N62" s="130"/>
    </row>
    <row r="63" s="68" customFormat="1" spans="1:16">
      <c r="A63" s="93"/>
      <c r="B63" s="101">
        <f>SUM(C63:N63)</f>
        <v>1114.74</v>
      </c>
      <c r="C63" s="84">
        <v>37.44</v>
      </c>
      <c r="D63" s="84">
        <v>39.825</v>
      </c>
      <c r="E63" s="89">
        <v>55.215</v>
      </c>
      <c r="F63" s="84">
        <v>54.495</v>
      </c>
      <c r="G63" s="84">
        <v>43.695</v>
      </c>
      <c r="H63" s="112">
        <v>85.905</v>
      </c>
      <c r="I63" s="112">
        <v>109.98</v>
      </c>
      <c r="J63" s="112">
        <v>170.325</v>
      </c>
      <c r="K63" s="112">
        <v>135.495</v>
      </c>
      <c r="L63" s="112">
        <v>119.295</v>
      </c>
      <c r="M63" s="112">
        <v>165.33</v>
      </c>
      <c r="N63" s="84">
        <v>97.74</v>
      </c>
      <c r="P63" s="133"/>
    </row>
    <row r="64" spans="1:14">
      <c r="A64" s="96"/>
      <c r="B64" s="86">
        <f>(SUM(C64:N64))/12</f>
        <v>160.609166666667</v>
      </c>
      <c r="C64" s="86">
        <v>156.67</v>
      </c>
      <c r="D64" s="86">
        <v>141.61</v>
      </c>
      <c r="E64" s="113">
        <v>164.84</v>
      </c>
      <c r="F64" s="86">
        <v>162.36</v>
      </c>
      <c r="G64" s="86">
        <v>160.86</v>
      </c>
      <c r="H64" s="86">
        <v>160.82</v>
      </c>
      <c r="I64" s="86">
        <v>161.82</v>
      </c>
      <c r="J64" s="86">
        <v>165</v>
      </c>
      <c r="K64" s="86">
        <v>162.96</v>
      </c>
      <c r="L64" s="86">
        <v>159.41</v>
      </c>
      <c r="M64" s="86">
        <v>149.77</v>
      </c>
      <c r="N64" s="134">
        <v>181.19</v>
      </c>
    </row>
    <row r="65" spans="1:14">
      <c r="A65" s="90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134"/>
    </row>
    <row r="66" s="68" customFormat="1" spans="1:16">
      <c r="A66" s="109" t="s">
        <v>36</v>
      </c>
      <c r="B66" s="101">
        <f>SUM(C66:N66)</f>
        <v>1146.33</v>
      </c>
      <c r="C66" s="143">
        <v>46.26</v>
      </c>
      <c r="D66" s="143">
        <v>50.805</v>
      </c>
      <c r="E66" s="144">
        <v>58.815</v>
      </c>
      <c r="F66" s="143">
        <v>58.95</v>
      </c>
      <c r="G66" s="83">
        <v>82.98</v>
      </c>
      <c r="H66" s="83">
        <v>108.63</v>
      </c>
      <c r="I66" s="83">
        <v>139.365</v>
      </c>
      <c r="J66" s="83">
        <v>135.495</v>
      </c>
      <c r="K66" s="83">
        <v>119.655</v>
      </c>
      <c r="L66" s="83">
        <v>130.59</v>
      </c>
      <c r="M66" s="83">
        <v>115.155</v>
      </c>
      <c r="N66" s="168">
        <v>99.63</v>
      </c>
      <c r="P66" s="133"/>
    </row>
    <row r="67" spans="1:14">
      <c r="A67" s="115"/>
      <c r="B67" s="86">
        <f>(SUM(C67:N67))/12</f>
        <v>397.283333333333</v>
      </c>
      <c r="C67" s="102">
        <v>401.23</v>
      </c>
      <c r="D67" s="86">
        <v>404.83</v>
      </c>
      <c r="E67" s="86">
        <v>396.41</v>
      </c>
      <c r="F67" s="86">
        <v>403.97</v>
      </c>
      <c r="G67" s="134">
        <v>403.68</v>
      </c>
      <c r="H67" s="86">
        <v>394.47</v>
      </c>
      <c r="I67" s="86">
        <v>381.28</v>
      </c>
      <c r="J67" s="86">
        <v>387.41</v>
      </c>
      <c r="K67" s="86">
        <v>361.76</v>
      </c>
      <c r="L67" s="86">
        <v>382.42</v>
      </c>
      <c r="M67" s="86">
        <v>403.12</v>
      </c>
      <c r="N67" s="134">
        <v>446.82</v>
      </c>
    </row>
    <row r="68" spans="1:14">
      <c r="A68" s="78" t="s">
        <v>37</v>
      </c>
      <c r="B68" s="145"/>
      <c r="C68" s="146"/>
      <c r="D68" s="146"/>
      <c r="E68" s="146"/>
      <c r="F68" s="146"/>
      <c r="G68" s="147"/>
      <c r="H68" s="146"/>
      <c r="I68" s="146"/>
      <c r="J68" s="104"/>
      <c r="K68" s="104"/>
      <c r="L68" s="104"/>
      <c r="M68" s="104"/>
      <c r="N68" s="104"/>
    </row>
    <row r="69" s="68" customFormat="1" spans="1:16">
      <c r="A69" s="82"/>
      <c r="B69" s="101">
        <f>C69+D69+E69+F69+G69+H69+I69+J69+K69+L69+M69+N69</f>
        <v>291.645</v>
      </c>
      <c r="C69" s="132">
        <v>108.81</v>
      </c>
      <c r="D69" s="132">
        <v>81.045</v>
      </c>
      <c r="E69" s="89">
        <v>33.21</v>
      </c>
      <c r="F69" s="132">
        <v>11.16</v>
      </c>
      <c r="G69" s="112">
        <v>3.15</v>
      </c>
      <c r="H69" s="112"/>
      <c r="I69" s="112">
        <v>11.925</v>
      </c>
      <c r="J69" s="112"/>
      <c r="K69" s="112"/>
      <c r="L69" s="112"/>
      <c r="M69" s="112">
        <v>10.575</v>
      </c>
      <c r="N69" s="84">
        <v>31.77</v>
      </c>
      <c r="P69" s="133"/>
    </row>
    <row r="70" spans="1:14">
      <c r="A70" s="85"/>
      <c r="B70" s="86">
        <f>(SUM(C70:N70))/8</f>
        <v>161.67125</v>
      </c>
      <c r="C70" s="86">
        <v>146.49</v>
      </c>
      <c r="D70" s="86">
        <v>121.67</v>
      </c>
      <c r="E70" s="86">
        <v>153.64</v>
      </c>
      <c r="F70" s="86">
        <v>181.43</v>
      </c>
      <c r="G70" s="134">
        <v>165</v>
      </c>
      <c r="H70" s="86"/>
      <c r="I70" s="86">
        <v>200</v>
      </c>
      <c r="J70" s="142"/>
      <c r="K70" s="142"/>
      <c r="L70" s="142"/>
      <c r="M70" s="142">
        <v>155.56</v>
      </c>
      <c r="N70" s="134">
        <v>169.58</v>
      </c>
    </row>
    <row r="71" spans="1:14">
      <c r="A71" s="82" t="s">
        <v>38</v>
      </c>
      <c r="B71" s="148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</row>
    <row r="72" s="68" customFormat="1" spans="1:16">
      <c r="A72" s="82"/>
      <c r="B72" s="101">
        <f>C72+D72+E72+F72+G72+H72+I72+J72+K72+L72+M72+N72</f>
        <v>253.44</v>
      </c>
      <c r="C72" s="132">
        <v>9</v>
      </c>
      <c r="D72" s="132"/>
      <c r="E72" s="89"/>
      <c r="F72" s="132"/>
      <c r="G72" s="132">
        <v>0.9</v>
      </c>
      <c r="H72" s="132">
        <v>20.25</v>
      </c>
      <c r="I72" s="132">
        <f>1.8+29.7</f>
        <v>31.5</v>
      </c>
      <c r="J72" s="132">
        <f>3.6+5.895+15.75</f>
        <v>25.245</v>
      </c>
      <c r="K72" s="132">
        <f>6.75+15.75+67.77</f>
        <v>90.27</v>
      </c>
      <c r="L72" s="132">
        <f>14.4+33.75</f>
        <v>48.15</v>
      </c>
      <c r="M72" s="132">
        <f>7.65</f>
        <v>7.65</v>
      </c>
      <c r="N72" s="132">
        <v>20.475</v>
      </c>
      <c r="P72" s="133"/>
    </row>
    <row r="73" spans="1:14">
      <c r="A73" s="85"/>
      <c r="B73" s="86">
        <f>SUM(C73:N73)/9</f>
        <v>59.8446296296296</v>
      </c>
      <c r="C73" s="86">
        <v>60</v>
      </c>
      <c r="D73" s="86"/>
      <c r="E73" s="86"/>
      <c r="F73" s="86"/>
      <c r="G73" s="86">
        <v>70</v>
      </c>
      <c r="H73" s="86">
        <v>70</v>
      </c>
      <c r="I73" s="86">
        <f>(50+73.75)/2</f>
        <v>61.875</v>
      </c>
      <c r="J73" s="86">
        <f>(50+45+62.5)/3</f>
        <v>52.5</v>
      </c>
      <c r="K73" s="86">
        <f>(70+50+52.67)/3</f>
        <v>57.5566666666667</v>
      </c>
      <c r="L73" s="86">
        <f>(53.33+56.67)/2</f>
        <v>55</v>
      </c>
      <c r="M73" s="86">
        <v>65</v>
      </c>
      <c r="N73" s="86">
        <v>46.67</v>
      </c>
    </row>
    <row r="74" spans="1:14">
      <c r="A74" s="103"/>
      <c r="B74" s="148"/>
      <c r="C74" s="150"/>
      <c r="D74" s="151"/>
      <c r="E74" s="150"/>
      <c r="F74" s="151"/>
      <c r="G74" s="150"/>
      <c r="H74" s="151"/>
      <c r="I74" s="150"/>
      <c r="J74" s="151"/>
      <c r="K74" s="169"/>
      <c r="L74" s="151"/>
      <c r="M74" s="150"/>
      <c r="N74" s="151"/>
    </row>
    <row r="75" s="68" customFormat="1" spans="1:16">
      <c r="A75" s="109" t="s">
        <v>39</v>
      </c>
      <c r="B75" s="101">
        <f>C75+D75+E75+F75+G75+H75+I75+J75+K75+L75+M75+N75</f>
        <v>1.305</v>
      </c>
      <c r="C75" s="132"/>
      <c r="D75" s="132"/>
      <c r="E75" s="89"/>
      <c r="F75" s="132">
        <v>0.9</v>
      </c>
      <c r="G75" s="132"/>
      <c r="H75" s="132"/>
      <c r="I75" s="132"/>
      <c r="J75" s="132"/>
      <c r="K75" s="132"/>
      <c r="L75" s="132"/>
      <c r="M75" s="132">
        <v>0.405</v>
      </c>
      <c r="N75" s="132"/>
      <c r="P75" s="133"/>
    </row>
    <row r="76" spans="1:14">
      <c r="A76" s="115"/>
      <c r="B76" s="86">
        <f>(SUM(C76:N76))/2</f>
        <v>247.5</v>
      </c>
      <c r="C76" s="86"/>
      <c r="D76" s="86"/>
      <c r="E76" s="86"/>
      <c r="F76" s="86">
        <v>255</v>
      </c>
      <c r="G76" s="86"/>
      <c r="H76" s="86"/>
      <c r="I76" s="86"/>
      <c r="J76" s="86"/>
      <c r="K76" s="86"/>
      <c r="L76" s="86"/>
      <c r="M76" s="86">
        <v>240</v>
      </c>
      <c r="N76" s="86"/>
    </row>
    <row r="77" spans="1:14">
      <c r="A77" s="103"/>
      <c r="B77" s="145"/>
      <c r="C77" s="81"/>
      <c r="D77" s="81"/>
      <c r="E77" s="81"/>
      <c r="F77" s="81"/>
      <c r="G77" s="152"/>
      <c r="H77" s="81"/>
      <c r="I77" s="81"/>
      <c r="J77" s="79"/>
      <c r="K77" s="79"/>
      <c r="L77" s="79"/>
      <c r="M77" s="79"/>
      <c r="N77" s="170"/>
    </row>
    <row r="78" s="68" customFormat="1" spans="1:16">
      <c r="A78" s="109" t="s">
        <v>40</v>
      </c>
      <c r="B78" s="101">
        <f>C78+D78+E78+F78+G78+H78+I78+J78+K78+L78+M78+N78</f>
        <v>103.185</v>
      </c>
      <c r="C78" s="132">
        <v>4.05</v>
      </c>
      <c r="D78" s="132">
        <v>4.905</v>
      </c>
      <c r="E78" s="89">
        <v>0.45</v>
      </c>
      <c r="F78" s="132"/>
      <c r="G78" s="132">
        <v>2.925</v>
      </c>
      <c r="H78" s="132">
        <v>4.185</v>
      </c>
      <c r="I78" s="132">
        <v>9.675</v>
      </c>
      <c r="J78" s="132">
        <v>13.725</v>
      </c>
      <c r="K78" s="132">
        <v>22.5</v>
      </c>
      <c r="L78" s="132">
        <v>20.835</v>
      </c>
      <c r="M78" s="132">
        <v>16.11</v>
      </c>
      <c r="N78" s="132">
        <v>3.825</v>
      </c>
      <c r="P78" s="133"/>
    </row>
    <row r="79" spans="1:14">
      <c r="A79" s="115"/>
      <c r="B79" s="86">
        <f>(SUM(C79:N79))/11</f>
        <v>121.392727272727</v>
      </c>
      <c r="C79" s="86">
        <v>140</v>
      </c>
      <c r="D79" s="86">
        <v>125.56</v>
      </c>
      <c r="E79" s="86">
        <v>100</v>
      </c>
      <c r="F79" s="86"/>
      <c r="G79" s="86">
        <v>116.67</v>
      </c>
      <c r="H79" s="86">
        <v>110</v>
      </c>
      <c r="I79" s="86">
        <v>131.67</v>
      </c>
      <c r="J79" s="86">
        <v>128</v>
      </c>
      <c r="K79" s="86">
        <v>134</v>
      </c>
      <c r="L79" s="86">
        <v>126.92</v>
      </c>
      <c r="M79" s="86">
        <v>120</v>
      </c>
      <c r="N79" s="86">
        <v>102.5</v>
      </c>
    </row>
    <row r="81" s="68" customFormat="1"/>
    <row r="83" spans="1:14">
      <c r="A83" s="119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</row>
    <row r="84" spans="1:14">
      <c r="A84" s="121" t="s">
        <v>29</v>
      </c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</row>
    <row r="85" ht="13.5" spans="1:14">
      <c r="A85" s="121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</row>
    <row r="86" ht="13.5" spans="1:14">
      <c r="A86" s="72" t="s">
        <v>2</v>
      </c>
      <c r="B86" s="73" t="s">
        <v>3</v>
      </c>
      <c r="C86" s="74" t="s">
        <v>4</v>
      </c>
      <c r="D86" s="74" t="s">
        <v>5</v>
      </c>
      <c r="E86" s="74" t="s">
        <v>6</v>
      </c>
      <c r="F86" s="74" t="s">
        <v>7</v>
      </c>
      <c r="G86" s="74" t="s">
        <v>8</v>
      </c>
      <c r="H86" s="74" t="s">
        <v>9</v>
      </c>
      <c r="I86" s="74" t="s">
        <v>10</v>
      </c>
      <c r="J86" s="74" t="s">
        <v>11</v>
      </c>
      <c r="K86" s="74" t="s">
        <v>12</v>
      </c>
      <c r="L86" s="74" t="s">
        <v>13</v>
      </c>
      <c r="M86" s="74" t="s">
        <v>14</v>
      </c>
      <c r="N86" s="74" t="s">
        <v>15</v>
      </c>
    </row>
    <row r="87" ht="16.5" spans="1:14">
      <c r="A87" s="75"/>
      <c r="B87" s="76" t="s">
        <v>16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ht="13.5" spans="1:14">
      <c r="A88" s="103"/>
      <c r="B88" s="145"/>
      <c r="C88" s="81"/>
      <c r="D88" s="81"/>
      <c r="E88" s="81"/>
      <c r="F88" s="81"/>
      <c r="G88" s="152"/>
      <c r="H88" s="81"/>
      <c r="I88" s="81"/>
      <c r="J88" s="79"/>
      <c r="K88" s="79"/>
      <c r="L88" s="79"/>
      <c r="M88" s="79"/>
      <c r="N88" s="170"/>
    </row>
    <row r="89" spans="1:17">
      <c r="A89" s="109" t="s">
        <v>41</v>
      </c>
      <c r="B89" s="101">
        <f>C89+D89+E89+F89+G89+H89+I89+J89+K89+L89+M89+N89</f>
        <v>240.705</v>
      </c>
      <c r="C89" s="132">
        <v>4.41</v>
      </c>
      <c r="D89" s="132">
        <v>11.88</v>
      </c>
      <c r="E89" s="89">
        <v>15.03</v>
      </c>
      <c r="F89" s="132">
        <v>13.275</v>
      </c>
      <c r="G89" s="132">
        <v>15.84</v>
      </c>
      <c r="H89" s="132">
        <v>36.99</v>
      </c>
      <c r="I89" s="132">
        <v>27.9</v>
      </c>
      <c r="J89" s="132">
        <v>24.75</v>
      </c>
      <c r="K89" s="132">
        <v>8.01</v>
      </c>
      <c r="L89" s="132">
        <v>26.415</v>
      </c>
      <c r="M89" s="132">
        <v>33.48</v>
      </c>
      <c r="N89" s="132">
        <v>22.725</v>
      </c>
      <c r="O89" s="68"/>
      <c r="P89" s="133"/>
      <c r="Q89" s="68"/>
    </row>
    <row r="90" spans="1:14">
      <c r="A90" s="115"/>
      <c r="B90" s="86">
        <f>(SUM(C90:N90))/12</f>
        <v>220.944166666667</v>
      </c>
      <c r="C90" s="86">
        <v>222.5</v>
      </c>
      <c r="D90" s="86">
        <v>225</v>
      </c>
      <c r="E90" s="86">
        <v>236.25</v>
      </c>
      <c r="F90" s="86">
        <v>270.62</v>
      </c>
      <c r="G90" s="86">
        <v>240</v>
      </c>
      <c r="H90" s="86">
        <v>242.33</v>
      </c>
      <c r="I90" s="86">
        <v>238.33</v>
      </c>
      <c r="J90" s="86">
        <v>206</v>
      </c>
      <c r="K90" s="86">
        <v>190</v>
      </c>
      <c r="L90" s="86">
        <v>195.45</v>
      </c>
      <c r="M90" s="86">
        <v>195.38</v>
      </c>
      <c r="N90" s="86">
        <v>189.47</v>
      </c>
    </row>
    <row r="91" spans="1:14">
      <c r="A91" s="90" t="s">
        <v>42</v>
      </c>
      <c r="B91" s="145"/>
      <c r="C91" s="81"/>
      <c r="D91" s="81"/>
      <c r="E91" s="81"/>
      <c r="F91" s="81"/>
      <c r="G91" s="152"/>
      <c r="H91" s="81"/>
      <c r="I91" s="81"/>
      <c r="J91" s="79"/>
      <c r="K91" s="79"/>
      <c r="L91" s="79"/>
      <c r="M91" s="79"/>
      <c r="N91" s="170"/>
    </row>
    <row r="92" s="68" customFormat="1" spans="1:16">
      <c r="A92" s="93"/>
      <c r="B92" s="101">
        <f>C92+D92+E92+F92+G92+H92+I92+J92+K92+L92+M92+N92</f>
        <v>1.89</v>
      </c>
      <c r="C92" s="132"/>
      <c r="D92" s="132"/>
      <c r="E92" s="89"/>
      <c r="F92" s="132"/>
      <c r="G92" s="132">
        <v>0.045</v>
      </c>
      <c r="H92" s="132">
        <v>0.72</v>
      </c>
      <c r="I92" s="132">
        <v>0.945</v>
      </c>
      <c r="J92" s="132"/>
      <c r="K92" s="132"/>
      <c r="L92" s="132"/>
      <c r="M92" s="132">
        <v>0.18</v>
      </c>
      <c r="N92" s="84"/>
      <c r="P92" s="133"/>
    </row>
    <row r="93" spans="1:14">
      <c r="A93" s="96"/>
      <c r="B93" s="86">
        <f>(SUM(C93:N93))/4</f>
        <v>202.0825</v>
      </c>
      <c r="C93" s="86"/>
      <c r="D93" s="86"/>
      <c r="E93" s="86"/>
      <c r="F93" s="86"/>
      <c r="G93" s="86">
        <v>200</v>
      </c>
      <c r="H93" s="86">
        <v>263.33</v>
      </c>
      <c r="I93" s="86">
        <v>205</v>
      </c>
      <c r="J93" s="86"/>
      <c r="K93" s="86"/>
      <c r="L93" s="86"/>
      <c r="M93" s="86">
        <v>140</v>
      </c>
      <c r="N93" s="134"/>
    </row>
    <row r="94" spans="1:14">
      <c r="A94" s="78" t="s">
        <v>43</v>
      </c>
      <c r="B94" s="145"/>
      <c r="C94" s="81"/>
      <c r="D94" s="81"/>
      <c r="E94" s="81"/>
      <c r="F94" s="81"/>
      <c r="G94" s="152"/>
      <c r="H94" s="81"/>
      <c r="I94" s="81"/>
      <c r="J94" s="79"/>
      <c r="K94" s="79"/>
      <c r="L94" s="79"/>
      <c r="M94" s="79"/>
      <c r="N94" s="170"/>
    </row>
    <row r="95" s="68" customFormat="1" spans="1:16">
      <c r="A95" s="82"/>
      <c r="B95" s="101">
        <f>C95+D95+E95+F95+G95+H95+I95+J95+K95+L95+M95+N95</f>
        <v>68.31</v>
      </c>
      <c r="C95" s="132">
        <v>0.81</v>
      </c>
      <c r="D95" s="132">
        <v>1.08</v>
      </c>
      <c r="E95" s="89">
        <v>2.025</v>
      </c>
      <c r="F95" s="132">
        <v>1.53</v>
      </c>
      <c r="G95" s="132">
        <v>4.365</v>
      </c>
      <c r="H95" s="132">
        <v>12.915</v>
      </c>
      <c r="I95" s="132">
        <v>15.03</v>
      </c>
      <c r="J95" s="132">
        <v>16.965</v>
      </c>
      <c r="K95" s="132">
        <v>3.285</v>
      </c>
      <c r="L95" s="132">
        <v>3.825</v>
      </c>
      <c r="M95" s="132">
        <v>1.26</v>
      </c>
      <c r="N95" s="132">
        <v>5.22</v>
      </c>
      <c r="P95" s="133"/>
    </row>
    <row r="96" ht="13.5" spans="1:14">
      <c r="A96" s="85"/>
      <c r="B96" s="86">
        <f>(SUM(C96:N96))/12</f>
        <v>315.379166666667</v>
      </c>
      <c r="C96" s="86">
        <v>366.67</v>
      </c>
      <c r="D96" s="86">
        <v>375</v>
      </c>
      <c r="E96" s="86">
        <v>321.67</v>
      </c>
      <c r="F96" s="86">
        <v>380</v>
      </c>
      <c r="G96" s="86">
        <v>325</v>
      </c>
      <c r="H96" s="86">
        <v>291.67</v>
      </c>
      <c r="I96" s="86">
        <v>265.56</v>
      </c>
      <c r="J96" s="86">
        <v>272.31</v>
      </c>
      <c r="K96" s="86">
        <v>266.67</v>
      </c>
      <c r="L96" s="86">
        <v>250</v>
      </c>
      <c r="M96" s="86">
        <v>280</v>
      </c>
      <c r="N96" s="86">
        <v>390</v>
      </c>
    </row>
    <row r="97" ht="13.5" customHeight="1" spans="1:14">
      <c r="A97" s="153" t="s">
        <v>44</v>
      </c>
      <c r="B97" s="145"/>
      <c r="C97" s="92"/>
      <c r="D97" s="92"/>
      <c r="E97" s="92"/>
      <c r="F97" s="81"/>
      <c r="G97" s="152"/>
      <c r="H97" s="81"/>
      <c r="I97" s="81"/>
      <c r="J97" s="79"/>
      <c r="K97" s="79"/>
      <c r="L97" s="79"/>
      <c r="M97" s="79"/>
      <c r="N97" s="170"/>
    </row>
    <row r="98" s="68" customFormat="1" spans="1:16">
      <c r="A98" s="93"/>
      <c r="B98" s="101">
        <f>C98+D98+E98+F98+G98+H98+I98+J98+K98+L98+M98+N98</f>
        <v>0.135</v>
      </c>
      <c r="C98" s="132"/>
      <c r="D98" s="132"/>
      <c r="E98" s="89"/>
      <c r="F98" s="132"/>
      <c r="G98" s="132"/>
      <c r="H98" s="132"/>
      <c r="I98" s="132"/>
      <c r="J98" s="132"/>
      <c r="K98" s="132"/>
      <c r="L98" s="132"/>
      <c r="M98" s="132"/>
      <c r="N98" s="132">
        <v>0.135</v>
      </c>
      <c r="O98" s="138"/>
      <c r="P98" s="133"/>
    </row>
    <row r="99" spans="1:14">
      <c r="A99" s="96"/>
      <c r="B99" s="86">
        <f>(SUM(C99:N99))</f>
        <v>360</v>
      </c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>
        <v>360</v>
      </c>
    </row>
    <row r="100" spans="1:14">
      <c r="A100" s="78" t="s">
        <v>45</v>
      </c>
      <c r="B100" s="154"/>
      <c r="C100" s="155"/>
      <c r="D100" s="155"/>
      <c r="E100" s="155"/>
      <c r="F100" s="155"/>
      <c r="G100" s="156"/>
      <c r="H100" s="155"/>
      <c r="I100" s="155"/>
      <c r="J100" s="171"/>
      <c r="K100" s="171"/>
      <c r="L100" s="171"/>
      <c r="M100" s="171"/>
      <c r="N100" s="172"/>
    </row>
    <row r="101" s="68" customFormat="1" spans="1:16">
      <c r="A101" s="82"/>
      <c r="B101" s="101">
        <f>C101+D101+E101+F101+G101+H101+I101+J101+K101+L101+M101+N101</f>
        <v>64.44</v>
      </c>
      <c r="C101" s="132">
        <v>1.44</v>
      </c>
      <c r="D101" s="132">
        <v>1.935</v>
      </c>
      <c r="E101" s="89">
        <v>0.495</v>
      </c>
      <c r="F101" s="132">
        <v>1.845</v>
      </c>
      <c r="G101" s="132">
        <v>2.565</v>
      </c>
      <c r="H101" s="132">
        <v>4.32</v>
      </c>
      <c r="I101" s="132">
        <v>7.605</v>
      </c>
      <c r="J101" s="132">
        <v>12.825</v>
      </c>
      <c r="K101" s="132">
        <v>11.52</v>
      </c>
      <c r="L101" s="132">
        <v>7.065</v>
      </c>
      <c r="M101" s="132">
        <v>2.115</v>
      </c>
      <c r="N101" s="132">
        <v>10.71</v>
      </c>
      <c r="P101" s="133"/>
    </row>
    <row r="102" spans="1:14">
      <c r="A102" s="85"/>
      <c r="B102" s="86">
        <f>(SUM(C102:N102))/12</f>
        <v>326.895</v>
      </c>
      <c r="C102" s="86">
        <v>256.67</v>
      </c>
      <c r="D102" s="86">
        <v>287.5</v>
      </c>
      <c r="E102" s="86">
        <v>315</v>
      </c>
      <c r="F102" s="86">
        <v>315</v>
      </c>
      <c r="G102" s="86">
        <v>318</v>
      </c>
      <c r="H102" s="86">
        <v>365.71</v>
      </c>
      <c r="I102" s="86">
        <v>337.78</v>
      </c>
      <c r="J102" s="86">
        <v>344.5</v>
      </c>
      <c r="K102" s="86">
        <v>337.69</v>
      </c>
      <c r="L102" s="86">
        <v>369</v>
      </c>
      <c r="M102" s="86">
        <v>342</v>
      </c>
      <c r="N102" s="86">
        <v>333.89</v>
      </c>
    </row>
    <row r="103" spans="1:14">
      <c r="A103" s="103"/>
      <c r="B103" s="79"/>
      <c r="C103" s="81"/>
      <c r="D103" s="81"/>
      <c r="E103" s="81"/>
      <c r="F103" s="81"/>
      <c r="G103" s="81"/>
      <c r="H103" s="81"/>
      <c r="I103" s="81"/>
      <c r="J103" s="79"/>
      <c r="K103" s="79"/>
      <c r="L103" s="79"/>
      <c r="M103" s="79"/>
      <c r="N103" s="79"/>
    </row>
    <row r="104" s="68" customFormat="1" spans="1:16">
      <c r="A104" s="109" t="s">
        <v>46</v>
      </c>
      <c r="B104" s="101">
        <f>C104+D104+E104+F104+G104+H104+I104+J104+K104+L104+M104+N104</f>
        <v>166.14</v>
      </c>
      <c r="C104" s="132">
        <v>6.12</v>
      </c>
      <c r="D104" s="132">
        <v>19.035</v>
      </c>
      <c r="E104" s="89">
        <v>7.425</v>
      </c>
      <c r="F104" s="132">
        <v>34.56</v>
      </c>
      <c r="G104" s="132">
        <v>26.595</v>
      </c>
      <c r="H104" s="132">
        <v>41.355</v>
      </c>
      <c r="I104" s="132"/>
      <c r="J104" s="132"/>
      <c r="K104" s="132">
        <v>4.5</v>
      </c>
      <c r="L104" s="132">
        <v>15.525</v>
      </c>
      <c r="M104" s="132">
        <v>4.05</v>
      </c>
      <c r="N104" s="132">
        <v>6.975</v>
      </c>
      <c r="P104" s="133"/>
    </row>
    <row r="105" spans="1:14">
      <c r="A105" s="115"/>
      <c r="B105" s="86">
        <f>(SUM(C105:N105))/10</f>
        <v>65.578</v>
      </c>
      <c r="C105" s="86">
        <v>50</v>
      </c>
      <c r="D105" s="86">
        <v>60</v>
      </c>
      <c r="E105" s="86">
        <v>80</v>
      </c>
      <c r="F105" s="86">
        <v>70</v>
      </c>
      <c r="G105" s="86">
        <v>62.5</v>
      </c>
      <c r="H105" s="86">
        <v>54.62</v>
      </c>
      <c r="I105" s="86"/>
      <c r="J105" s="86"/>
      <c r="K105" s="86">
        <v>50</v>
      </c>
      <c r="L105" s="86">
        <v>82</v>
      </c>
      <c r="M105" s="86">
        <v>73.33</v>
      </c>
      <c r="N105" s="86">
        <v>73.33</v>
      </c>
    </row>
    <row r="106" spans="1:14">
      <c r="A106" s="82"/>
      <c r="B106" s="86"/>
      <c r="C106" s="86"/>
      <c r="D106" s="86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</row>
    <row r="107" spans="1:16">
      <c r="A107" s="109" t="s">
        <v>47</v>
      </c>
      <c r="B107" s="101">
        <f>C107+D107+E107+F107+G107+H107+I107+J107+K107+L107+M107+N107</f>
        <v>4.5</v>
      </c>
      <c r="C107" s="132"/>
      <c r="D107" s="132"/>
      <c r="E107" s="89"/>
      <c r="F107" s="132"/>
      <c r="G107" s="132"/>
      <c r="H107" s="132"/>
      <c r="I107" s="132"/>
      <c r="J107" s="132"/>
      <c r="K107" s="132"/>
      <c r="L107" s="132"/>
      <c r="M107" s="132"/>
      <c r="N107" s="132">
        <v>4.5</v>
      </c>
      <c r="P107" s="133"/>
    </row>
    <row r="108" spans="1:14">
      <c r="A108" s="82"/>
      <c r="B108" s="86">
        <f>(SUM(C108:N108))</f>
        <v>500</v>
      </c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>
        <v>500</v>
      </c>
    </row>
    <row r="109" spans="1:14">
      <c r="A109" s="78" t="s">
        <v>48</v>
      </c>
      <c r="B109" s="148"/>
      <c r="C109" s="157"/>
      <c r="D109" s="158"/>
      <c r="E109" s="159"/>
      <c r="F109" s="158"/>
      <c r="G109" s="157"/>
      <c r="H109" s="158"/>
      <c r="I109" s="157"/>
      <c r="J109" s="158"/>
      <c r="K109" s="157"/>
      <c r="L109" s="158"/>
      <c r="M109" s="157"/>
      <c r="N109" s="158"/>
    </row>
    <row r="110" s="68" customFormat="1" spans="1:16">
      <c r="A110" s="82"/>
      <c r="B110" s="101">
        <f>C110+D110+E110+F110+G110+H110+I110+J110+K110+L110+M110+N110</f>
        <v>809.82</v>
      </c>
      <c r="C110" s="132">
        <v>52.155</v>
      </c>
      <c r="D110" s="132">
        <v>58.365</v>
      </c>
      <c r="E110" s="95">
        <v>54.315</v>
      </c>
      <c r="F110" s="132">
        <v>52.785</v>
      </c>
      <c r="G110" s="132">
        <v>61.155</v>
      </c>
      <c r="H110" s="132">
        <v>71.325</v>
      </c>
      <c r="I110" s="132">
        <v>92.655</v>
      </c>
      <c r="J110" s="132">
        <v>78.21</v>
      </c>
      <c r="K110" s="132">
        <v>79.2</v>
      </c>
      <c r="L110" s="132">
        <v>63.99</v>
      </c>
      <c r="M110" s="132">
        <v>84.6</v>
      </c>
      <c r="N110" s="132">
        <v>61.065</v>
      </c>
      <c r="P110" s="133"/>
    </row>
    <row r="111" spans="1:14">
      <c r="A111" s="85"/>
      <c r="B111" s="86">
        <f>(SUM(C111:N111))/12</f>
        <v>309.778333333333</v>
      </c>
      <c r="C111" s="86">
        <v>325.3</v>
      </c>
      <c r="D111" s="86">
        <v>311.25</v>
      </c>
      <c r="E111" s="86">
        <v>308.72</v>
      </c>
      <c r="F111" s="86">
        <v>316.03</v>
      </c>
      <c r="G111" s="86">
        <v>305.59</v>
      </c>
      <c r="H111" s="86">
        <v>314.16</v>
      </c>
      <c r="I111" s="86">
        <v>307.04</v>
      </c>
      <c r="J111" s="86">
        <v>308.04</v>
      </c>
      <c r="K111" s="86">
        <v>294.66</v>
      </c>
      <c r="L111" s="86">
        <v>288.42</v>
      </c>
      <c r="M111" s="86">
        <v>304.95</v>
      </c>
      <c r="N111" s="86">
        <v>333.18</v>
      </c>
    </row>
    <row r="112" spans="1:14">
      <c r="A112" s="103"/>
      <c r="B112" s="160"/>
      <c r="C112" s="161"/>
      <c r="D112" s="161"/>
      <c r="E112" s="161"/>
      <c r="F112" s="161"/>
      <c r="G112" s="161"/>
      <c r="H112" s="161"/>
      <c r="I112" s="161"/>
      <c r="J112" s="160"/>
      <c r="K112" s="160"/>
      <c r="L112" s="160"/>
      <c r="M112" s="160"/>
      <c r="N112" s="160"/>
    </row>
    <row r="113" s="68" customFormat="1" spans="1:16">
      <c r="A113" s="109" t="s">
        <v>49</v>
      </c>
      <c r="B113" s="101">
        <f>C113+D113+E113+F113+G113+H113+I113+J113+K113+L113+M113+N113</f>
        <v>274.86</v>
      </c>
      <c r="C113" s="132">
        <v>40.455</v>
      </c>
      <c r="D113" s="132">
        <v>20.61</v>
      </c>
      <c r="E113" s="89">
        <v>14.985</v>
      </c>
      <c r="F113" s="132">
        <v>48.42</v>
      </c>
      <c r="G113" s="132">
        <v>13.14</v>
      </c>
      <c r="H113" s="132">
        <v>42.66</v>
      </c>
      <c r="I113" s="132">
        <v>34.245</v>
      </c>
      <c r="J113" s="132">
        <v>1.8</v>
      </c>
      <c r="K113" s="132">
        <v>9.855</v>
      </c>
      <c r="L113" s="132">
        <v>19.53</v>
      </c>
      <c r="M113" s="132">
        <v>21.51</v>
      </c>
      <c r="N113" s="132">
        <v>7.65</v>
      </c>
      <c r="P113" s="133"/>
    </row>
    <row r="114" spans="1:14">
      <c r="A114" s="115"/>
      <c r="B114" s="86">
        <f>(SUM(C114:N114))/12</f>
        <v>154.609166666667</v>
      </c>
      <c r="C114" s="86">
        <v>152.24</v>
      </c>
      <c r="D114" s="86">
        <v>153.46</v>
      </c>
      <c r="E114" s="86">
        <v>157.11</v>
      </c>
      <c r="F114" s="86">
        <v>154.44</v>
      </c>
      <c r="G114" s="86">
        <v>147.22</v>
      </c>
      <c r="H114" s="86">
        <v>150.47</v>
      </c>
      <c r="I114" s="86">
        <v>141.21</v>
      </c>
      <c r="J114" s="86">
        <v>160</v>
      </c>
      <c r="K114" s="86">
        <v>159</v>
      </c>
      <c r="L114" s="86">
        <v>148</v>
      </c>
      <c r="M114" s="86">
        <v>160.83</v>
      </c>
      <c r="N114" s="86">
        <v>171.33</v>
      </c>
    </row>
    <row r="115" spans="1:14">
      <c r="A115" s="103"/>
      <c r="B115" s="148"/>
      <c r="C115" s="157"/>
      <c r="D115" s="158"/>
      <c r="E115" s="107"/>
      <c r="F115" s="158"/>
      <c r="G115" s="157"/>
      <c r="H115" s="158"/>
      <c r="I115" s="157"/>
      <c r="J115" s="158"/>
      <c r="K115" s="157"/>
      <c r="L115" s="158"/>
      <c r="M115" s="157"/>
      <c r="N115" s="158"/>
    </row>
    <row r="116" s="68" customFormat="1" spans="1:16">
      <c r="A116" s="109" t="s">
        <v>50</v>
      </c>
      <c r="B116" s="101">
        <f>C116+D116+E116+F116+G116+H116+I116+J116+K116+L116+M116+N116</f>
        <v>19.935</v>
      </c>
      <c r="C116" s="132"/>
      <c r="D116" s="132"/>
      <c r="E116" s="95">
        <v>0.63</v>
      </c>
      <c r="F116" s="132"/>
      <c r="G116" s="132"/>
      <c r="H116" s="132">
        <v>1.035</v>
      </c>
      <c r="I116" s="132">
        <v>8.73</v>
      </c>
      <c r="J116" s="132">
        <v>3.96</v>
      </c>
      <c r="K116" s="132">
        <f>3.645+1.71</f>
        <v>5.355</v>
      </c>
      <c r="L116" s="132">
        <v>0.225</v>
      </c>
      <c r="M116" s="132"/>
      <c r="N116" s="132"/>
      <c r="P116" s="133"/>
    </row>
    <row r="117" spans="1:14">
      <c r="A117" s="115"/>
      <c r="B117" s="86">
        <f>(SUM(C117:N117))/6</f>
        <v>167.856666666667</v>
      </c>
      <c r="C117" s="86"/>
      <c r="D117" s="86"/>
      <c r="E117" s="86">
        <v>120</v>
      </c>
      <c r="F117" s="86"/>
      <c r="G117" s="86"/>
      <c r="H117" s="86">
        <v>95</v>
      </c>
      <c r="I117" s="86">
        <v>147.14</v>
      </c>
      <c r="J117" s="86">
        <v>150</v>
      </c>
      <c r="K117" s="86">
        <f>(190+200)/2</f>
        <v>195</v>
      </c>
      <c r="L117" s="86">
        <v>300</v>
      </c>
      <c r="M117" s="86"/>
      <c r="N117" s="86"/>
    </row>
    <row r="118" spans="1:14">
      <c r="A118" s="90" t="s">
        <v>51</v>
      </c>
      <c r="B118" s="146"/>
      <c r="C118" s="81"/>
      <c r="D118" s="149"/>
      <c r="E118" s="149"/>
      <c r="F118" s="149"/>
      <c r="G118" s="149"/>
      <c r="H118" s="149"/>
      <c r="I118" s="149"/>
      <c r="J118" s="149"/>
      <c r="K118" s="152"/>
      <c r="L118" s="149"/>
      <c r="M118" s="173"/>
      <c r="N118" s="149"/>
    </row>
    <row r="119" s="68" customFormat="1" spans="1:16">
      <c r="A119" s="93"/>
      <c r="B119" s="101">
        <f>C119+D119+E119+F119+G119+H119+I119+J119+K119+L119+M119+N119</f>
        <v>0.9</v>
      </c>
      <c r="C119" s="132"/>
      <c r="D119" s="132"/>
      <c r="E119" s="89"/>
      <c r="F119" s="162"/>
      <c r="G119" s="132"/>
      <c r="H119" s="132">
        <v>0.9</v>
      </c>
      <c r="I119" s="132"/>
      <c r="J119" s="162"/>
      <c r="K119" s="162"/>
      <c r="L119" s="132"/>
      <c r="M119" s="132"/>
      <c r="N119" s="132"/>
      <c r="P119" s="133"/>
    </row>
    <row r="120" spans="1:14">
      <c r="A120" s="96"/>
      <c r="B120" s="86">
        <f>(SUM(C120:N120))</f>
        <v>100</v>
      </c>
      <c r="C120" s="86"/>
      <c r="D120" s="86"/>
      <c r="E120" s="86"/>
      <c r="F120" s="86"/>
      <c r="G120" s="86"/>
      <c r="H120" s="86">
        <v>100</v>
      </c>
      <c r="I120" s="86"/>
      <c r="J120" s="86"/>
      <c r="K120" s="86"/>
      <c r="L120" s="86"/>
      <c r="M120" s="86"/>
      <c r="N120" s="86"/>
    </row>
    <row r="121" customHeight="1"/>
    <row r="122" s="68" customFormat="1"/>
    <row r="124" spans="1:14">
      <c r="A124" s="119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</row>
    <row r="125" spans="1:14">
      <c r="A125" s="121" t="s">
        <v>29</v>
      </c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</row>
    <row r="126" ht="13.5" spans="1:14">
      <c r="A126" s="163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</row>
    <row r="127" ht="13.5" spans="1:14">
      <c r="A127" s="72" t="s">
        <v>2</v>
      </c>
      <c r="B127" s="73" t="s">
        <v>3</v>
      </c>
      <c r="C127" s="165" t="s">
        <v>4</v>
      </c>
      <c r="D127" s="165" t="s">
        <v>5</v>
      </c>
      <c r="E127" s="165" t="s">
        <v>6</v>
      </c>
      <c r="F127" s="165" t="s">
        <v>7</v>
      </c>
      <c r="G127" s="165" t="s">
        <v>8</v>
      </c>
      <c r="H127" s="165" t="s">
        <v>9</v>
      </c>
      <c r="I127" s="165" t="s">
        <v>10</v>
      </c>
      <c r="J127" s="165" t="s">
        <v>11</v>
      </c>
      <c r="K127" s="165" t="s">
        <v>12</v>
      </c>
      <c r="L127" s="165" t="s">
        <v>13</v>
      </c>
      <c r="M127" s="165" t="s">
        <v>14</v>
      </c>
      <c r="N127" s="165" t="s">
        <v>15</v>
      </c>
    </row>
    <row r="128" ht="16.5" spans="1:14">
      <c r="A128" s="75"/>
      <c r="B128" s="166" t="s">
        <v>16</v>
      </c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</row>
    <row r="129" ht="13.5" spans="1:14">
      <c r="A129" s="109" t="s">
        <v>52</v>
      </c>
      <c r="B129" s="92"/>
      <c r="C129" s="174"/>
      <c r="D129" s="146"/>
      <c r="E129" s="146"/>
      <c r="F129" s="146"/>
      <c r="G129" s="146"/>
      <c r="H129" s="146"/>
      <c r="I129" s="146"/>
      <c r="J129" s="104"/>
      <c r="K129" s="104"/>
      <c r="L129" s="104"/>
      <c r="M129" s="104"/>
      <c r="N129" s="104"/>
    </row>
    <row r="130" spans="1:17">
      <c r="A130" s="175" t="s">
        <v>53</v>
      </c>
      <c r="B130" s="101">
        <f>C130+D130+E130+F130+G130+H130+I130+J130+K130+L130+M130+N130</f>
        <v>86.445</v>
      </c>
      <c r="C130" s="84">
        <v>0.675</v>
      </c>
      <c r="D130" s="132">
        <v>4.59</v>
      </c>
      <c r="E130" s="89">
        <v>3.555</v>
      </c>
      <c r="F130" s="132">
        <v>4.275</v>
      </c>
      <c r="G130" s="132">
        <v>4.32</v>
      </c>
      <c r="H130" s="132">
        <v>17.685</v>
      </c>
      <c r="I130" s="132">
        <v>17.055</v>
      </c>
      <c r="J130" s="132">
        <v>23.13</v>
      </c>
      <c r="K130" s="132">
        <v>2.25</v>
      </c>
      <c r="L130" s="132">
        <v>6.075</v>
      </c>
      <c r="M130" s="132">
        <v>2.295</v>
      </c>
      <c r="N130" s="132">
        <v>0.54</v>
      </c>
      <c r="O130" s="68"/>
      <c r="P130" s="133"/>
      <c r="Q130" s="68"/>
    </row>
    <row r="131" spans="1:14">
      <c r="A131" s="110"/>
      <c r="B131" s="86">
        <f>(SUM(C131:N131))/12</f>
        <v>121.43</v>
      </c>
      <c r="C131" s="86">
        <v>150</v>
      </c>
      <c r="D131" s="86">
        <v>112</v>
      </c>
      <c r="E131" s="86">
        <v>124</v>
      </c>
      <c r="F131" s="86">
        <v>118.57</v>
      </c>
      <c r="G131" s="86">
        <v>116.67</v>
      </c>
      <c r="H131" s="86">
        <v>116.92</v>
      </c>
      <c r="I131" s="86">
        <v>120</v>
      </c>
      <c r="J131" s="86">
        <v>123</v>
      </c>
      <c r="K131" s="86">
        <v>122.5</v>
      </c>
      <c r="L131" s="86">
        <v>106</v>
      </c>
      <c r="M131" s="86">
        <v>100</v>
      </c>
      <c r="N131" s="86">
        <v>147.5</v>
      </c>
    </row>
    <row r="132" spans="1:14">
      <c r="A132" s="103"/>
      <c r="B132" s="92"/>
      <c r="C132" s="174"/>
      <c r="D132" s="146"/>
      <c r="E132" s="146"/>
      <c r="F132" s="146"/>
      <c r="G132" s="176"/>
      <c r="H132" s="146"/>
      <c r="I132" s="146"/>
      <c r="J132" s="104"/>
      <c r="K132" s="104"/>
      <c r="L132" s="104"/>
      <c r="M132" s="104"/>
      <c r="N132" s="104"/>
    </row>
    <row r="133" spans="1:17">
      <c r="A133" s="109" t="s">
        <v>54</v>
      </c>
      <c r="B133" s="101">
        <f>C133+D133+E133+F133+G133+H133+I133+J133+K133+L133+M133+N133</f>
        <v>3.285</v>
      </c>
      <c r="C133" s="132"/>
      <c r="D133" s="132"/>
      <c r="E133" s="89">
        <v>0.675</v>
      </c>
      <c r="F133" s="132"/>
      <c r="G133" s="132"/>
      <c r="H133" s="132"/>
      <c r="I133" s="132"/>
      <c r="J133" s="132"/>
      <c r="K133" s="132">
        <v>1.35</v>
      </c>
      <c r="L133" s="132"/>
      <c r="M133" s="132">
        <v>1.26</v>
      </c>
      <c r="N133" s="132"/>
      <c r="O133" s="68"/>
      <c r="P133" s="133"/>
      <c r="Q133" s="68"/>
    </row>
    <row r="134" spans="1:14">
      <c r="A134" s="115"/>
      <c r="B134" s="86">
        <f>(SUM(C134:N134))/3</f>
        <v>186.666666666667</v>
      </c>
      <c r="C134" s="86"/>
      <c r="D134" s="86"/>
      <c r="E134" s="86">
        <v>180</v>
      </c>
      <c r="F134" s="86"/>
      <c r="G134" s="86"/>
      <c r="H134" s="86"/>
      <c r="I134" s="86"/>
      <c r="J134" s="86"/>
      <c r="K134" s="86">
        <v>180</v>
      </c>
      <c r="L134" s="86"/>
      <c r="M134" s="86">
        <v>200</v>
      </c>
      <c r="N134" s="86"/>
    </row>
    <row r="135" spans="1:14">
      <c r="A135" s="177"/>
      <c r="B135" s="146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</row>
    <row r="136" s="68" customFormat="1" spans="1:16">
      <c r="A136" s="109" t="s">
        <v>55</v>
      </c>
      <c r="B136" s="101">
        <f>C136+D136+E136+F136+G136+H136+I136+J136+K136+L136+M136+N136</f>
        <v>11.295</v>
      </c>
      <c r="C136" s="132"/>
      <c r="D136" s="132">
        <v>2.565</v>
      </c>
      <c r="E136" s="89">
        <v>0.945</v>
      </c>
      <c r="F136" s="132"/>
      <c r="G136" s="132">
        <v>0.585</v>
      </c>
      <c r="H136" s="132"/>
      <c r="I136" s="132"/>
      <c r="J136" s="132">
        <v>2.16</v>
      </c>
      <c r="K136" s="132">
        <v>2.25</v>
      </c>
      <c r="L136" s="132"/>
      <c r="M136" s="132"/>
      <c r="N136" s="132">
        <v>2.79</v>
      </c>
      <c r="P136" s="133"/>
    </row>
    <row r="137" spans="1:14">
      <c r="A137" s="115"/>
      <c r="B137" s="86">
        <f>(SUM(C137:N137))/6</f>
        <v>258.611666666667</v>
      </c>
      <c r="C137" s="86"/>
      <c r="D137" s="86">
        <v>236.67</v>
      </c>
      <c r="E137" s="86">
        <v>270</v>
      </c>
      <c r="F137" s="86"/>
      <c r="G137" s="86">
        <v>240</v>
      </c>
      <c r="H137" s="86"/>
      <c r="I137" s="86"/>
      <c r="J137" s="86">
        <v>250</v>
      </c>
      <c r="K137" s="86">
        <v>270</v>
      </c>
      <c r="L137" s="86"/>
      <c r="M137" s="86"/>
      <c r="N137" s="86">
        <v>285</v>
      </c>
    </row>
    <row r="138" spans="1:14">
      <c r="A138" s="90" t="s">
        <v>56</v>
      </c>
      <c r="B138" s="79"/>
      <c r="C138" s="81"/>
      <c r="D138" s="81"/>
      <c r="E138" s="81"/>
      <c r="F138" s="81"/>
      <c r="G138" s="81"/>
      <c r="H138" s="81"/>
      <c r="I138" s="81"/>
      <c r="J138" s="79"/>
      <c r="K138" s="79"/>
      <c r="L138" s="79"/>
      <c r="M138" s="79"/>
      <c r="N138" s="79"/>
    </row>
    <row r="139" s="68" customFormat="1" spans="1:16">
      <c r="A139" s="93"/>
      <c r="B139" s="101">
        <f>C139+D139+E139+F139+G139+H139+I139+J139+K139+L139+M139+N139</f>
        <v>960.39</v>
      </c>
      <c r="C139" s="132">
        <v>78.84</v>
      </c>
      <c r="D139" s="132">
        <v>56.205</v>
      </c>
      <c r="E139" s="89">
        <v>52.02</v>
      </c>
      <c r="F139" s="132">
        <v>32.985</v>
      </c>
      <c r="G139" s="132">
        <v>33.525</v>
      </c>
      <c r="H139" s="132">
        <v>106.83</v>
      </c>
      <c r="I139" s="132">
        <v>119.025</v>
      </c>
      <c r="J139" s="132">
        <v>95.355</v>
      </c>
      <c r="K139" s="132">
        <v>110.385</v>
      </c>
      <c r="L139" s="132">
        <v>122.535</v>
      </c>
      <c r="M139" s="132">
        <v>94.365</v>
      </c>
      <c r="N139" s="132">
        <v>58.32</v>
      </c>
      <c r="P139" s="133"/>
    </row>
    <row r="140" spans="1:14">
      <c r="A140" s="96"/>
      <c r="B140" s="86">
        <f>(SUM(C140:N140))/12</f>
        <v>92.8025</v>
      </c>
      <c r="C140" s="86">
        <v>88.46</v>
      </c>
      <c r="D140" s="113">
        <v>90.29</v>
      </c>
      <c r="E140" s="86">
        <v>105.73</v>
      </c>
      <c r="F140" s="86">
        <v>93.67</v>
      </c>
      <c r="G140" s="86">
        <v>92.08</v>
      </c>
      <c r="H140" s="86">
        <v>97.43</v>
      </c>
      <c r="I140" s="86">
        <v>84.7</v>
      </c>
      <c r="J140" s="86">
        <v>90.62</v>
      </c>
      <c r="K140" s="86">
        <v>94.4</v>
      </c>
      <c r="L140" s="86">
        <v>86.05</v>
      </c>
      <c r="M140" s="86">
        <v>92.53</v>
      </c>
      <c r="N140" s="86">
        <v>97.67</v>
      </c>
    </row>
    <row r="141" spans="1:14">
      <c r="A141" s="78" t="s">
        <v>57</v>
      </c>
      <c r="B141" s="79"/>
      <c r="C141" s="81"/>
      <c r="D141" s="81"/>
      <c r="E141" s="81"/>
      <c r="F141" s="81"/>
      <c r="G141" s="81"/>
      <c r="H141" s="81"/>
      <c r="I141" s="81"/>
      <c r="J141" s="79"/>
      <c r="K141" s="79"/>
      <c r="L141" s="79"/>
      <c r="M141" s="79"/>
      <c r="N141" s="79"/>
    </row>
    <row r="142" s="68" customFormat="1" spans="1:18">
      <c r="A142" s="82"/>
      <c r="B142" s="101">
        <f>C142+D142+E142+F142+G142+H142+I142+J142+K142+L142+M142+N142</f>
        <v>489.96</v>
      </c>
      <c r="C142" s="132">
        <f>31.905+1.125</f>
        <v>33.03</v>
      </c>
      <c r="D142" s="132">
        <f>17.955+2.7</f>
        <v>20.655</v>
      </c>
      <c r="E142" s="89">
        <f>22.455+3.735</f>
        <v>26.19</v>
      </c>
      <c r="F142" s="132">
        <f>21.15+0.63</f>
        <v>21.78</v>
      </c>
      <c r="G142" s="132">
        <f>19.305+1.71</f>
        <v>21.015</v>
      </c>
      <c r="H142" s="132">
        <f>68.76+3.645</f>
        <v>72.405</v>
      </c>
      <c r="I142" s="132">
        <f>66.105+6.615</f>
        <v>72.72</v>
      </c>
      <c r="J142" s="132">
        <f>(41.895+4.185)</f>
        <v>46.08</v>
      </c>
      <c r="K142" s="132">
        <f>57.51</f>
        <v>57.51</v>
      </c>
      <c r="L142" s="132">
        <f>60.48+3.42</f>
        <v>63.9</v>
      </c>
      <c r="M142" s="132">
        <f>20.745+7.92</f>
        <v>28.665</v>
      </c>
      <c r="N142" s="132">
        <f>19.125+6.885</f>
        <v>26.01</v>
      </c>
      <c r="P142" s="133"/>
      <c r="R142" s="133"/>
    </row>
    <row r="143" spans="1:18">
      <c r="A143" s="85"/>
      <c r="B143" s="86">
        <f>(SUM(C143:N143))/12</f>
        <v>140.041666666667</v>
      </c>
      <c r="C143" s="86">
        <f>+(76.45+155)/2</f>
        <v>115.725</v>
      </c>
      <c r="D143" s="86">
        <f>(77.5+140)/2</f>
        <v>108.75</v>
      </c>
      <c r="E143" s="86">
        <f>(79.83+161.67)/2</f>
        <v>120.75</v>
      </c>
      <c r="F143" s="86">
        <f>(78.67+285)/2</f>
        <v>181.835</v>
      </c>
      <c r="G143" s="86">
        <f>(84.13+256.67)/2</f>
        <v>170.4</v>
      </c>
      <c r="H143" s="86">
        <f>(79.6+246.67)/2</f>
        <v>163.135</v>
      </c>
      <c r="I143" s="86">
        <f>(96.05+258.57)/2</f>
        <v>177.31</v>
      </c>
      <c r="J143" s="86">
        <f>(83.71+238)/2</f>
        <v>160.855</v>
      </c>
      <c r="K143" s="86">
        <v>93.02</v>
      </c>
      <c r="L143" s="86">
        <f>(95.71+174)/2</f>
        <v>134.855</v>
      </c>
      <c r="M143" s="86">
        <f>(88.33+162)/2</f>
        <v>125.165</v>
      </c>
      <c r="N143" s="86">
        <f>(112.4+145)/2</f>
        <v>128.7</v>
      </c>
      <c r="R143" s="45"/>
    </row>
    <row r="144" spans="1:14">
      <c r="A144" s="114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</row>
    <row r="145" s="68" customFormat="1" spans="1:16">
      <c r="A145" s="109" t="s">
        <v>58</v>
      </c>
      <c r="B145" s="101">
        <f>C145+D145+E145+F145+G145+H145+I145+J145+K145+L145+M145+N145</f>
        <v>12.735</v>
      </c>
      <c r="C145" s="178">
        <v>3.69</v>
      </c>
      <c r="D145" s="95">
        <v>2.79</v>
      </c>
      <c r="E145" s="178">
        <v>2.475</v>
      </c>
      <c r="F145" s="132">
        <v>0.315</v>
      </c>
      <c r="G145" s="179"/>
      <c r="H145" s="178"/>
      <c r="I145" s="95">
        <v>0.81</v>
      </c>
      <c r="J145" s="95">
        <v>0.72</v>
      </c>
      <c r="K145" s="182"/>
      <c r="L145" s="178"/>
      <c r="M145" s="132">
        <v>0.72</v>
      </c>
      <c r="N145" s="132">
        <v>1.215</v>
      </c>
      <c r="P145" s="133"/>
    </row>
    <row r="146" spans="1:14">
      <c r="A146" s="115"/>
      <c r="B146" s="86">
        <f>(SUM(C146:N146))/8</f>
        <v>149.64875</v>
      </c>
      <c r="C146" s="86">
        <v>146.5</v>
      </c>
      <c r="D146" s="86">
        <v>144.44</v>
      </c>
      <c r="E146" s="86">
        <v>145</v>
      </c>
      <c r="F146" s="86">
        <v>145</v>
      </c>
      <c r="G146" s="86"/>
      <c r="H146" s="86"/>
      <c r="I146" s="86">
        <v>147.5</v>
      </c>
      <c r="J146" s="86">
        <v>170</v>
      </c>
      <c r="K146" s="86"/>
      <c r="L146" s="86"/>
      <c r="M146" s="86">
        <v>147.5</v>
      </c>
      <c r="N146" s="86">
        <v>151.25</v>
      </c>
    </row>
    <row r="147" spans="1:14">
      <c r="A147" s="103"/>
      <c r="B147" s="79"/>
      <c r="C147" s="81"/>
      <c r="D147" s="81"/>
      <c r="E147" s="81"/>
      <c r="F147" s="81"/>
      <c r="G147" s="81"/>
      <c r="H147" s="81"/>
      <c r="I147" s="81"/>
      <c r="J147" s="79"/>
      <c r="K147" s="79"/>
      <c r="L147" s="79"/>
      <c r="M147" s="79"/>
      <c r="N147" s="79"/>
    </row>
    <row r="148" s="68" customFormat="1" spans="1:16">
      <c r="A148" s="109" t="s">
        <v>59</v>
      </c>
      <c r="B148" s="101">
        <f>C148+D148+E148+F148+G148+H148+I148+J148+K148+L148+M148+N148</f>
        <v>341.73</v>
      </c>
      <c r="C148" s="132">
        <v>31.95</v>
      </c>
      <c r="D148" s="132">
        <v>20.61</v>
      </c>
      <c r="E148" s="89">
        <v>31.095</v>
      </c>
      <c r="F148" s="132">
        <v>13.32</v>
      </c>
      <c r="G148" s="132">
        <v>10.71</v>
      </c>
      <c r="H148" s="132">
        <v>19.98</v>
      </c>
      <c r="I148" s="132">
        <v>26.955</v>
      </c>
      <c r="J148" s="132">
        <v>28.35</v>
      </c>
      <c r="K148" s="132">
        <v>55.755</v>
      </c>
      <c r="L148" s="132">
        <v>40.275</v>
      </c>
      <c r="M148" s="132">
        <v>33.615</v>
      </c>
      <c r="N148" s="132">
        <v>29.115</v>
      </c>
      <c r="P148" s="133"/>
    </row>
    <row r="149" spans="1:14">
      <c r="A149" s="115"/>
      <c r="B149" s="86">
        <f>(SUM(C149:N149))/12</f>
        <v>147.304166666667</v>
      </c>
      <c r="C149" s="86">
        <v>146.3</v>
      </c>
      <c r="D149" s="86">
        <v>156.9</v>
      </c>
      <c r="E149" s="86">
        <v>171.78</v>
      </c>
      <c r="F149" s="86">
        <v>154.5</v>
      </c>
      <c r="G149" s="86">
        <v>151.25</v>
      </c>
      <c r="H149" s="86">
        <v>156.67</v>
      </c>
      <c r="I149" s="86">
        <v>137.14</v>
      </c>
      <c r="J149" s="86">
        <v>140.74</v>
      </c>
      <c r="K149" s="86">
        <v>139.31</v>
      </c>
      <c r="L149" s="86">
        <v>140.11</v>
      </c>
      <c r="M149" s="86">
        <v>131.52</v>
      </c>
      <c r="N149" s="86">
        <v>141.43</v>
      </c>
    </row>
    <row r="150" spans="1:14">
      <c r="A150" s="114"/>
      <c r="B150" s="146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</row>
    <row r="151" s="68" customFormat="1" spans="1:16">
      <c r="A151" s="109" t="s">
        <v>60</v>
      </c>
      <c r="B151" s="101">
        <f>C151+D151+E151+F151+G151+H151+I151+J151+K151+L151+M151+N151</f>
        <v>25.335</v>
      </c>
      <c r="C151" s="132">
        <v>0.45</v>
      </c>
      <c r="D151" s="132">
        <v>0.18</v>
      </c>
      <c r="E151" s="89">
        <v>0.9</v>
      </c>
      <c r="F151" s="132">
        <v>0.54</v>
      </c>
      <c r="G151" s="132"/>
      <c r="H151" s="132">
        <v>2.025</v>
      </c>
      <c r="I151" s="132">
        <v>1.89</v>
      </c>
      <c r="J151" s="132">
        <v>2.925</v>
      </c>
      <c r="K151" s="132">
        <v>3.375</v>
      </c>
      <c r="L151" s="132">
        <v>5.535</v>
      </c>
      <c r="M151" s="132">
        <v>4.05</v>
      </c>
      <c r="N151" s="132">
        <v>3.465</v>
      </c>
      <c r="P151" s="133"/>
    </row>
    <row r="152" spans="1:14">
      <c r="A152" s="115"/>
      <c r="B152" s="86">
        <f>(SUM(C152:N152))/11</f>
        <v>591.74</v>
      </c>
      <c r="C152" s="86">
        <v>650</v>
      </c>
      <c r="D152" s="86">
        <v>650</v>
      </c>
      <c r="E152" s="86">
        <v>700</v>
      </c>
      <c r="F152" s="86">
        <v>500</v>
      </c>
      <c r="G152" s="86"/>
      <c r="H152" s="86">
        <v>480</v>
      </c>
      <c r="I152" s="86">
        <v>500</v>
      </c>
      <c r="J152" s="86">
        <v>525.56</v>
      </c>
      <c r="K152" s="86">
        <v>511.54</v>
      </c>
      <c r="L152" s="86">
        <v>534.35</v>
      </c>
      <c r="M152" s="86">
        <v>571.54</v>
      </c>
      <c r="N152" s="86">
        <v>886.15</v>
      </c>
    </row>
    <row r="153" spans="1:14">
      <c r="A153" s="175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</row>
    <row r="154" spans="1:16">
      <c r="A154" s="109" t="s">
        <v>61</v>
      </c>
      <c r="B154" s="101">
        <f>C154+D154+E154+F154+G154+H154+I154+J154+K154+L154+M154+N154</f>
        <v>1.215</v>
      </c>
      <c r="C154" s="86"/>
      <c r="D154" s="86"/>
      <c r="E154" s="86"/>
      <c r="F154" s="132">
        <v>0.585</v>
      </c>
      <c r="G154" s="86"/>
      <c r="H154" s="86"/>
      <c r="I154" s="86"/>
      <c r="J154" s="86"/>
      <c r="K154" s="86"/>
      <c r="L154" s="86"/>
      <c r="M154" s="132">
        <v>0.63</v>
      </c>
      <c r="N154" s="86"/>
      <c r="P154" s="133"/>
    </row>
    <row r="155" spans="1:14">
      <c r="A155" s="103"/>
      <c r="B155" s="86">
        <f>(SUM(C155:N155))/2</f>
        <v>85</v>
      </c>
      <c r="C155" s="86"/>
      <c r="D155" s="86"/>
      <c r="E155" s="86"/>
      <c r="F155" s="86">
        <v>90</v>
      </c>
      <c r="G155" s="86"/>
      <c r="H155" s="86"/>
      <c r="I155" s="86"/>
      <c r="J155" s="86"/>
      <c r="K155" s="86"/>
      <c r="L155" s="86"/>
      <c r="M155" s="86">
        <v>80</v>
      </c>
      <c r="N155" s="86"/>
    </row>
    <row r="156" spans="1:14">
      <c r="A156" s="90" t="s">
        <v>62</v>
      </c>
      <c r="B156" s="146"/>
      <c r="C156" s="108"/>
      <c r="D156" s="158"/>
      <c r="E156" s="107"/>
      <c r="F156" s="158"/>
      <c r="G156" s="157"/>
      <c r="H156" s="158"/>
      <c r="I156" s="157"/>
      <c r="J156" s="158"/>
      <c r="K156" s="157"/>
      <c r="L156" s="158"/>
      <c r="M156" s="183"/>
      <c r="N156" s="158"/>
    </row>
    <row r="157" s="68" customFormat="1" spans="1:16">
      <c r="A157" s="93"/>
      <c r="B157" s="101">
        <f>C157+D157+E157+F157+G157+H157+I157+J157+K157+L157+M157+N157</f>
        <v>203.355</v>
      </c>
      <c r="C157" s="132">
        <v>4.32</v>
      </c>
      <c r="D157" s="132">
        <v>6.21</v>
      </c>
      <c r="E157" s="95">
        <v>13.23</v>
      </c>
      <c r="F157" s="132">
        <v>5.175</v>
      </c>
      <c r="G157" s="132">
        <v>5.895</v>
      </c>
      <c r="H157" s="132">
        <v>23.67</v>
      </c>
      <c r="I157" s="132">
        <v>35.325</v>
      </c>
      <c r="J157" s="132">
        <v>24.885</v>
      </c>
      <c r="K157" s="132">
        <v>28.44</v>
      </c>
      <c r="L157" s="132">
        <v>22.095</v>
      </c>
      <c r="M157" s="132">
        <v>9.225</v>
      </c>
      <c r="N157" s="132">
        <v>24.885</v>
      </c>
      <c r="P157" s="133"/>
    </row>
    <row r="158" spans="1:14">
      <c r="A158" s="96"/>
      <c r="B158" s="86">
        <f>(SUM(C158:N158))/12</f>
        <v>330.639166666667</v>
      </c>
      <c r="C158" s="86">
        <v>310.83</v>
      </c>
      <c r="D158" s="113">
        <v>332.14</v>
      </c>
      <c r="E158" s="86">
        <v>339.38</v>
      </c>
      <c r="F158" s="86">
        <v>325</v>
      </c>
      <c r="G158" s="86">
        <v>326.36</v>
      </c>
      <c r="H158" s="86">
        <v>325.79</v>
      </c>
      <c r="I158" s="86">
        <v>336.44</v>
      </c>
      <c r="J158" s="86">
        <v>339.39</v>
      </c>
      <c r="K158" s="86">
        <v>337.3</v>
      </c>
      <c r="L158" s="86">
        <v>320</v>
      </c>
      <c r="M158" s="86">
        <v>326.43</v>
      </c>
      <c r="N158" s="86">
        <v>348.61</v>
      </c>
    </row>
    <row r="159" spans="1:14">
      <c r="A159" s="78" t="s">
        <v>63</v>
      </c>
      <c r="B159" s="160"/>
      <c r="C159" s="161"/>
      <c r="D159" s="161"/>
      <c r="E159" s="161"/>
      <c r="F159" s="161"/>
      <c r="G159" s="161"/>
      <c r="H159" s="161"/>
      <c r="I159" s="161"/>
      <c r="J159" s="160"/>
      <c r="K159" s="160"/>
      <c r="L159" s="160"/>
      <c r="M159" s="160"/>
      <c r="N159" s="160"/>
    </row>
    <row r="160" s="68" customFormat="1" spans="1:16">
      <c r="A160" s="82"/>
      <c r="B160" s="101">
        <f>C160+D160+E160+F160+G160+H160+I160+J160+K160+L160+M160+N160</f>
        <v>140.67</v>
      </c>
      <c r="C160" s="132">
        <v>5.22</v>
      </c>
      <c r="D160" s="132">
        <v>9</v>
      </c>
      <c r="E160" s="89">
        <v>11.025</v>
      </c>
      <c r="F160" s="132">
        <v>6.03</v>
      </c>
      <c r="G160" s="132">
        <v>6.255</v>
      </c>
      <c r="H160" s="132">
        <v>2.115</v>
      </c>
      <c r="I160" s="132">
        <v>8.28</v>
      </c>
      <c r="J160" s="132">
        <v>31.815</v>
      </c>
      <c r="K160" s="132">
        <v>24.3</v>
      </c>
      <c r="L160" s="132">
        <v>7.605</v>
      </c>
      <c r="M160" s="132">
        <v>13.275</v>
      </c>
      <c r="N160" s="132">
        <v>15.75</v>
      </c>
      <c r="P160" s="133"/>
    </row>
    <row r="161" spans="1:14">
      <c r="A161" s="85"/>
      <c r="B161" s="86">
        <f>(SUM(C161:N161))/12</f>
        <v>245.921666666667</v>
      </c>
      <c r="C161" s="86">
        <v>237.78</v>
      </c>
      <c r="D161" s="113">
        <v>273.85</v>
      </c>
      <c r="E161" s="86">
        <v>262</v>
      </c>
      <c r="F161" s="86">
        <v>278.67</v>
      </c>
      <c r="G161" s="86">
        <v>276</v>
      </c>
      <c r="H161" s="86">
        <v>256</v>
      </c>
      <c r="I161" s="86">
        <v>255</v>
      </c>
      <c r="J161" s="86">
        <v>213.81</v>
      </c>
      <c r="K161" s="86">
        <v>206.25</v>
      </c>
      <c r="L161" s="86">
        <v>200.71</v>
      </c>
      <c r="M161" s="86">
        <v>234.74</v>
      </c>
      <c r="N161" s="86">
        <v>256.25</v>
      </c>
    </row>
    <row r="162" customHeight="1"/>
    <row r="163" s="68" customFormat="1"/>
    <row r="165" spans="1:14">
      <c r="A165" s="68"/>
      <c r="B165" s="68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</row>
    <row r="166" spans="1:14">
      <c r="A166" s="121" t="s">
        <v>29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</row>
    <row r="167" ht="13.5" spans="1:14">
      <c r="A167" s="119"/>
      <c r="B167" s="180"/>
      <c r="C167" s="164"/>
      <c r="D167" s="107"/>
      <c r="E167" s="164"/>
      <c r="F167" s="107"/>
      <c r="G167" s="164"/>
      <c r="H167" s="107"/>
      <c r="I167" s="164"/>
      <c r="J167" s="184"/>
      <c r="K167" s="180"/>
      <c r="L167" s="184"/>
      <c r="M167" s="180"/>
      <c r="N167" s="184"/>
    </row>
    <row r="168" ht="13.5" spans="1:14">
      <c r="A168" s="72" t="s">
        <v>2</v>
      </c>
      <c r="B168" s="73" t="s">
        <v>3</v>
      </c>
      <c r="C168" s="165" t="s">
        <v>4</v>
      </c>
      <c r="D168" s="165" t="s">
        <v>5</v>
      </c>
      <c r="E168" s="165" t="s">
        <v>6</v>
      </c>
      <c r="F168" s="165" t="s">
        <v>7</v>
      </c>
      <c r="G168" s="165" t="s">
        <v>8</v>
      </c>
      <c r="H168" s="165" t="s">
        <v>9</v>
      </c>
      <c r="I168" s="165" t="s">
        <v>10</v>
      </c>
      <c r="J168" s="165" t="s">
        <v>11</v>
      </c>
      <c r="K168" s="165" t="s">
        <v>12</v>
      </c>
      <c r="L168" s="165" t="s">
        <v>13</v>
      </c>
      <c r="M168" s="165" t="s">
        <v>14</v>
      </c>
      <c r="N168" s="165" t="s">
        <v>15</v>
      </c>
    </row>
    <row r="169" ht="16.5" spans="1:14">
      <c r="A169" s="75"/>
      <c r="B169" s="166" t="s">
        <v>16</v>
      </c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</row>
    <row r="170" ht="13.5" spans="1:14">
      <c r="A170" s="90" t="s">
        <v>64</v>
      </c>
      <c r="B170" s="79"/>
      <c r="C170" s="146"/>
      <c r="D170" s="146"/>
      <c r="E170" s="146"/>
      <c r="F170" s="146"/>
      <c r="G170" s="146"/>
      <c r="H170" s="146"/>
      <c r="I170" s="146"/>
      <c r="J170" s="104"/>
      <c r="K170" s="104"/>
      <c r="L170" s="104"/>
      <c r="M170" s="104"/>
      <c r="N170" s="104"/>
    </row>
    <row r="171" spans="1:17">
      <c r="A171" s="93"/>
      <c r="B171" s="101">
        <f>C171+D171+E171+F171+G171+H171+I171+J171+K171+L171+M171+N171</f>
        <v>1439.685</v>
      </c>
      <c r="C171" s="132">
        <v>109.215</v>
      </c>
      <c r="D171" s="132">
        <v>66.645</v>
      </c>
      <c r="E171" s="89">
        <v>456.93</v>
      </c>
      <c r="F171" s="132">
        <v>169.695</v>
      </c>
      <c r="G171" s="132">
        <v>137.7</v>
      </c>
      <c r="H171" s="132">
        <v>60.525</v>
      </c>
      <c r="I171" s="132">
        <v>98.73</v>
      </c>
      <c r="J171" s="132">
        <v>107.595</v>
      </c>
      <c r="K171" s="132">
        <v>8.46</v>
      </c>
      <c r="L171" s="132">
        <v>15.795</v>
      </c>
      <c r="M171" s="132">
        <v>66.735</v>
      </c>
      <c r="N171" s="132">
        <v>141.66</v>
      </c>
      <c r="O171" s="68"/>
      <c r="P171" s="133"/>
      <c r="Q171" s="68"/>
    </row>
    <row r="172" ht="13.5" spans="1:14">
      <c r="A172" s="181"/>
      <c r="B172" s="86">
        <f>(SUM(C172:N172))/12</f>
        <v>56.6575</v>
      </c>
      <c r="C172" s="86">
        <v>55.52</v>
      </c>
      <c r="D172" s="113">
        <v>54.66</v>
      </c>
      <c r="E172" s="86">
        <v>64.25</v>
      </c>
      <c r="F172" s="86">
        <v>52.18</v>
      </c>
      <c r="G172" s="86">
        <v>56.14</v>
      </c>
      <c r="H172" s="86">
        <v>76.67</v>
      </c>
      <c r="I172" s="86">
        <v>50</v>
      </c>
      <c r="J172" s="86">
        <v>55.75</v>
      </c>
      <c r="K172" s="86">
        <v>53.33</v>
      </c>
      <c r="L172" s="86">
        <v>53.12</v>
      </c>
      <c r="M172" s="86">
        <v>57.14</v>
      </c>
      <c r="N172" s="86">
        <v>51.13</v>
      </c>
    </row>
    <row r="173" ht="13.5" spans="1:14">
      <c r="A173" s="131" t="s">
        <v>65</v>
      </c>
      <c r="B173" s="79"/>
      <c r="C173" s="146"/>
      <c r="D173" s="146"/>
      <c r="E173" s="146"/>
      <c r="F173" s="146"/>
      <c r="G173" s="146"/>
      <c r="H173" s="146"/>
      <c r="I173" s="146"/>
      <c r="J173" s="104"/>
      <c r="K173" s="104"/>
      <c r="L173" s="104"/>
      <c r="M173" s="104"/>
      <c r="N173" s="104"/>
    </row>
    <row r="174" spans="1:16">
      <c r="A174" s="82"/>
      <c r="B174" s="101">
        <f>C174+D174+E174+F174+G174+H174+I174+J174+K174+L174+M174+N174</f>
        <v>3.285</v>
      </c>
      <c r="C174" s="132"/>
      <c r="D174" s="132"/>
      <c r="E174" s="89"/>
      <c r="F174" s="132"/>
      <c r="G174" s="132"/>
      <c r="H174" s="132">
        <v>1.8</v>
      </c>
      <c r="I174" s="132">
        <v>1.485</v>
      </c>
      <c r="J174" s="132"/>
      <c r="K174" s="132"/>
      <c r="L174" s="132"/>
      <c r="M174" s="132"/>
      <c r="N174" s="132"/>
      <c r="O174" s="68"/>
      <c r="P174" s="133"/>
    </row>
    <row r="175" spans="1:14">
      <c r="A175" s="85"/>
      <c r="B175" s="86">
        <f>(SUM(C175:N175))/2</f>
        <v>147.5</v>
      </c>
      <c r="C175" s="86"/>
      <c r="D175" s="86"/>
      <c r="E175" s="86"/>
      <c r="F175" s="86"/>
      <c r="G175" s="86"/>
      <c r="H175" s="86">
        <v>55</v>
      </c>
      <c r="I175" s="86">
        <v>240</v>
      </c>
      <c r="J175" s="86"/>
      <c r="K175" s="86"/>
      <c r="L175" s="86"/>
      <c r="M175" s="86"/>
      <c r="N175" s="86"/>
    </row>
    <row r="176" spans="1:14">
      <c r="A176" s="103"/>
      <c r="B176" s="79"/>
      <c r="C176" s="81"/>
      <c r="D176" s="81"/>
      <c r="E176" s="81"/>
      <c r="F176" s="81"/>
      <c r="G176" s="81"/>
      <c r="H176" s="81"/>
      <c r="I176" s="81"/>
      <c r="J176" s="79"/>
      <c r="K176" s="79"/>
      <c r="L176" s="79"/>
      <c r="M176" s="79"/>
      <c r="N176" s="79"/>
    </row>
    <row r="177" s="68" customFormat="1" spans="1:16">
      <c r="A177" s="109" t="s">
        <v>66</v>
      </c>
      <c r="B177" s="101">
        <f>C177+D177+E177+F177+G177+H177+I177+J177+K177+L177+M177+N177</f>
        <v>9.135</v>
      </c>
      <c r="C177" s="132"/>
      <c r="D177" s="132"/>
      <c r="E177" s="89"/>
      <c r="F177" s="132"/>
      <c r="G177" s="132">
        <v>0.225</v>
      </c>
      <c r="H177" s="132">
        <v>1.89</v>
      </c>
      <c r="I177" s="132">
        <v>4.725</v>
      </c>
      <c r="J177" s="132">
        <v>0.225</v>
      </c>
      <c r="K177" s="132"/>
      <c r="L177" s="132"/>
      <c r="M177" s="132">
        <v>1.8</v>
      </c>
      <c r="N177" s="132">
        <v>0.27</v>
      </c>
      <c r="P177" s="133"/>
    </row>
    <row r="178" spans="1:14">
      <c r="A178" s="115"/>
      <c r="B178" s="86">
        <f>(SUM(C178:N178))/6</f>
        <v>122.856666666667</v>
      </c>
      <c r="C178" s="86"/>
      <c r="D178" s="86"/>
      <c r="E178" s="86"/>
      <c r="F178" s="86"/>
      <c r="G178" s="86">
        <v>70</v>
      </c>
      <c r="H178" s="86">
        <v>127.14</v>
      </c>
      <c r="I178" s="86">
        <v>110</v>
      </c>
      <c r="J178" s="86">
        <v>150</v>
      </c>
      <c r="K178" s="86"/>
      <c r="L178" s="86"/>
      <c r="M178" s="86">
        <v>140</v>
      </c>
      <c r="N178" s="86">
        <v>140</v>
      </c>
    </row>
    <row r="179" spans="1:14">
      <c r="A179" s="78" t="s">
        <v>67</v>
      </c>
      <c r="B179" s="79"/>
      <c r="C179" s="81"/>
      <c r="D179" s="81"/>
      <c r="E179" s="81"/>
      <c r="F179" s="81"/>
      <c r="G179" s="81"/>
      <c r="H179" s="81"/>
      <c r="I179" s="81"/>
      <c r="J179" s="79"/>
      <c r="K179" s="79"/>
      <c r="L179" s="79"/>
      <c r="M179" s="79"/>
      <c r="N179" s="79"/>
    </row>
    <row r="180" s="68" customFormat="1" spans="1:16">
      <c r="A180" s="82"/>
      <c r="B180" s="101">
        <f>C180+D180+E180+F180+G180+H180+I180+J180+K180+L180+M180+N180</f>
        <v>3.645</v>
      </c>
      <c r="C180" s="132">
        <v>0.09</v>
      </c>
      <c r="D180" s="132"/>
      <c r="E180" s="89">
        <v>1.62</v>
      </c>
      <c r="F180" s="132"/>
      <c r="G180" s="132"/>
      <c r="H180" s="132"/>
      <c r="I180" s="132"/>
      <c r="J180" s="132">
        <v>0.315</v>
      </c>
      <c r="K180" s="132">
        <v>0.9</v>
      </c>
      <c r="L180" s="132">
        <v>0.225</v>
      </c>
      <c r="M180" s="132">
        <v>0.495</v>
      </c>
      <c r="N180" s="132"/>
      <c r="P180" s="133"/>
    </row>
    <row r="181" spans="1:14">
      <c r="A181" s="85"/>
      <c r="B181" s="86">
        <f>(SUM(C181:N181))/6</f>
        <v>314.815</v>
      </c>
      <c r="C181" s="86">
        <v>300</v>
      </c>
      <c r="D181" s="86"/>
      <c r="E181" s="86">
        <v>358.89</v>
      </c>
      <c r="F181" s="86"/>
      <c r="G181" s="86"/>
      <c r="H181" s="86"/>
      <c r="I181" s="86"/>
      <c r="J181" s="86">
        <v>290</v>
      </c>
      <c r="K181" s="86">
        <v>340</v>
      </c>
      <c r="L181" s="86">
        <v>300</v>
      </c>
      <c r="M181" s="86">
        <v>300</v>
      </c>
      <c r="N181" s="86"/>
    </row>
    <row r="182" spans="1:14">
      <c r="A182" s="78" t="s">
        <v>68</v>
      </c>
      <c r="B182" s="79"/>
      <c r="C182" s="81"/>
      <c r="D182" s="81"/>
      <c r="E182" s="81"/>
      <c r="F182" s="81"/>
      <c r="G182" s="81"/>
      <c r="H182" s="81"/>
      <c r="I182" s="81"/>
      <c r="J182" s="79"/>
      <c r="K182" s="79"/>
      <c r="L182" s="79"/>
      <c r="M182" s="79"/>
      <c r="N182" s="79"/>
    </row>
    <row r="183" s="68" customFormat="1" spans="1:16">
      <c r="A183" s="82"/>
      <c r="B183" s="101">
        <f>C183+D183+E183+F183+G183+H183+I183+J183+K183+L183+M183+N183</f>
        <v>67.365</v>
      </c>
      <c r="C183" s="132"/>
      <c r="D183" s="132">
        <v>40.275</v>
      </c>
      <c r="E183" s="132">
        <v>9</v>
      </c>
      <c r="F183" s="132">
        <v>9</v>
      </c>
      <c r="G183" s="132">
        <v>0.81</v>
      </c>
      <c r="H183" s="132"/>
      <c r="I183" s="132">
        <v>8.28</v>
      </c>
      <c r="J183" s="132"/>
      <c r="K183" s="132"/>
      <c r="L183" s="162"/>
      <c r="M183" s="132"/>
      <c r="N183" s="132"/>
      <c r="P183" s="133"/>
    </row>
    <row r="184" spans="1:14">
      <c r="A184" s="85"/>
      <c r="B184" s="86">
        <f>(SUM(C184:N184))/5</f>
        <v>83.2</v>
      </c>
      <c r="C184" s="86"/>
      <c r="D184" s="86">
        <v>126</v>
      </c>
      <c r="E184" s="86">
        <v>60</v>
      </c>
      <c r="F184" s="86">
        <v>50</v>
      </c>
      <c r="G184" s="86">
        <v>80</v>
      </c>
      <c r="H184" s="86"/>
      <c r="I184" s="86">
        <v>100</v>
      </c>
      <c r="J184" s="86"/>
      <c r="K184" s="86"/>
      <c r="L184" s="86"/>
      <c r="M184" s="86"/>
      <c r="N184" s="86"/>
    </row>
    <row r="185" spans="1:14">
      <c r="A185" s="78" t="s">
        <v>69</v>
      </c>
      <c r="B185" s="79"/>
      <c r="C185" s="81"/>
      <c r="D185" s="81"/>
      <c r="E185" s="81"/>
      <c r="F185" s="81"/>
      <c r="G185" s="81"/>
      <c r="H185" s="81"/>
      <c r="I185" s="81"/>
      <c r="J185" s="79"/>
      <c r="K185" s="79"/>
      <c r="L185" s="79"/>
      <c r="M185" s="79"/>
      <c r="N185" s="79"/>
    </row>
    <row r="186" s="68" customFormat="1" spans="1:16">
      <c r="A186" s="82"/>
      <c r="B186" s="101">
        <f>C186+D186+E186+F186+G186+H186+I186+J186+K186+L186+M186+N186</f>
        <v>3.15</v>
      </c>
      <c r="C186" s="132"/>
      <c r="D186" s="132"/>
      <c r="E186" s="132"/>
      <c r="F186" s="132"/>
      <c r="G186" s="132">
        <v>3.15</v>
      </c>
      <c r="H186" s="132"/>
      <c r="I186" s="132"/>
      <c r="J186" s="132"/>
      <c r="K186" s="132"/>
      <c r="L186" s="132"/>
      <c r="M186" s="132"/>
      <c r="N186" s="132"/>
      <c r="P186" s="133"/>
    </row>
    <row r="187" spans="1:14">
      <c r="A187" s="85"/>
      <c r="B187" s="86">
        <f>(SUM(C187:N187))</f>
        <v>70</v>
      </c>
      <c r="C187" s="86"/>
      <c r="D187" s="86"/>
      <c r="E187" s="86"/>
      <c r="F187" s="86"/>
      <c r="G187" s="86">
        <v>70</v>
      </c>
      <c r="H187" s="86"/>
      <c r="I187" s="86"/>
      <c r="J187" s="86"/>
      <c r="K187" s="86"/>
      <c r="L187" s="86"/>
      <c r="M187" s="86"/>
      <c r="N187" s="86"/>
    </row>
    <row r="188" spans="1:14">
      <c r="A188" s="78" t="s">
        <v>70</v>
      </c>
      <c r="B188" s="79"/>
      <c r="C188" s="81"/>
      <c r="D188" s="81"/>
      <c r="E188" s="81"/>
      <c r="F188" s="81"/>
      <c r="G188" s="81"/>
      <c r="H188" s="81"/>
      <c r="I188" s="81"/>
      <c r="J188" s="79"/>
      <c r="K188" s="79"/>
      <c r="L188" s="79"/>
      <c r="M188" s="79"/>
      <c r="N188" s="79"/>
    </row>
    <row r="189" s="68" customFormat="1" spans="1:16">
      <c r="A189" s="82"/>
      <c r="B189" s="101">
        <f>C189+D189+E189+F189+G189+H189+I189+J189+K189+L189+M189+N189</f>
        <v>1538.955</v>
      </c>
      <c r="C189" s="132">
        <v>102.105</v>
      </c>
      <c r="D189" s="132">
        <v>102.735</v>
      </c>
      <c r="E189" s="89">
        <v>88.11</v>
      </c>
      <c r="F189" s="132">
        <v>112.14</v>
      </c>
      <c r="G189" s="132">
        <v>92.295</v>
      </c>
      <c r="H189" s="132">
        <v>144.99</v>
      </c>
      <c r="I189" s="132">
        <v>183.375</v>
      </c>
      <c r="J189" s="132">
        <v>121.455</v>
      </c>
      <c r="K189" s="132">
        <v>137.07</v>
      </c>
      <c r="L189" s="132">
        <v>139.995</v>
      </c>
      <c r="M189" s="132">
        <v>158.805</v>
      </c>
      <c r="N189" s="132">
        <v>155.88</v>
      </c>
      <c r="P189" s="133"/>
    </row>
    <row r="190" spans="1:14">
      <c r="A190" s="85"/>
      <c r="B190" s="86">
        <f>(SUM(C190:N190))/12</f>
        <v>113.7725</v>
      </c>
      <c r="C190" s="86">
        <v>126.85</v>
      </c>
      <c r="D190" s="86">
        <v>112.84</v>
      </c>
      <c r="E190" s="86">
        <v>115.23</v>
      </c>
      <c r="F190" s="86">
        <v>106.17</v>
      </c>
      <c r="G190" s="86">
        <v>107.44</v>
      </c>
      <c r="H190" s="86">
        <v>104.04</v>
      </c>
      <c r="I190" s="86">
        <v>108.39</v>
      </c>
      <c r="J190" s="86">
        <v>111.47</v>
      </c>
      <c r="K190" s="86">
        <v>120.26</v>
      </c>
      <c r="L190" s="86">
        <v>117.38</v>
      </c>
      <c r="M190" s="86">
        <v>115.69</v>
      </c>
      <c r="N190" s="86">
        <v>119.51</v>
      </c>
    </row>
    <row r="191" spans="1:14">
      <c r="A191" s="103"/>
      <c r="B191" s="79"/>
      <c r="C191" s="81"/>
      <c r="D191" s="81"/>
      <c r="E191" s="81"/>
      <c r="F191" s="81"/>
      <c r="G191" s="81"/>
      <c r="H191" s="81"/>
      <c r="I191" s="81"/>
      <c r="J191" s="79"/>
      <c r="K191" s="79"/>
      <c r="L191" s="79"/>
      <c r="M191" s="79"/>
      <c r="N191" s="79"/>
    </row>
    <row r="192" s="68" customFormat="1" spans="1:16">
      <c r="A192" s="109" t="s">
        <v>71</v>
      </c>
      <c r="B192" s="101">
        <f>C192+D192+E192+F192+G192+H192+I192+J192+K192+L192+M192+N192</f>
        <v>443.88</v>
      </c>
      <c r="C192" s="132">
        <v>15.21</v>
      </c>
      <c r="D192" s="132">
        <v>17.235</v>
      </c>
      <c r="E192" s="89">
        <v>21.465</v>
      </c>
      <c r="F192" s="132">
        <v>13.05</v>
      </c>
      <c r="G192" s="132">
        <v>14.22</v>
      </c>
      <c r="H192" s="132">
        <v>51.66</v>
      </c>
      <c r="I192" s="132">
        <v>35.01</v>
      </c>
      <c r="J192" s="132">
        <v>55.755</v>
      </c>
      <c r="K192" s="132">
        <v>84.96</v>
      </c>
      <c r="L192" s="132">
        <v>85.32</v>
      </c>
      <c r="M192" s="132">
        <v>26.73</v>
      </c>
      <c r="N192" s="132">
        <v>23.265</v>
      </c>
      <c r="P192" s="133"/>
    </row>
    <row r="193" spans="1:14">
      <c r="A193" s="115"/>
      <c r="B193" s="86">
        <f>(SUM(C193:N193))/12</f>
        <v>149.431666666667</v>
      </c>
      <c r="C193" s="86">
        <v>139.44</v>
      </c>
      <c r="D193" s="86">
        <v>137.92</v>
      </c>
      <c r="E193" s="86">
        <v>141.14</v>
      </c>
      <c r="F193" s="86">
        <v>143.33</v>
      </c>
      <c r="G193" s="86">
        <v>134.5</v>
      </c>
      <c r="H193" s="86">
        <v>147.59</v>
      </c>
      <c r="I193" s="86">
        <v>143.44</v>
      </c>
      <c r="J193" s="86">
        <v>150</v>
      </c>
      <c r="K193" s="86">
        <v>175.24</v>
      </c>
      <c r="L193" s="86">
        <v>160.34</v>
      </c>
      <c r="M193" s="86">
        <v>164.76</v>
      </c>
      <c r="N193" s="86">
        <v>155.48</v>
      </c>
    </row>
    <row r="194" spans="1:14">
      <c r="A194" s="78" t="s">
        <v>72</v>
      </c>
      <c r="B194" s="79"/>
      <c r="C194" s="92"/>
      <c r="D194" s="92"/>
      <c r="E194" s="92"/>
      <c r="F194" s="92"/>
      <c r="G194" s="92"/>
      <c r="H194" s="92"/>
      <c r="I194" s="92"/>
      <c r="J194" s="130"/>
      <c r="K194" s="130"/>
      <c r="L194" s="130"/>
      <c r="M194" s="130"/>
      <c r="N194" s="130"/>
    </row>
    <row r="195" s="68" customFormat="1" spans="1:16">
      <c r="A195" s="82"/>
      <c r="B195" s="101">
        <f>C195+D195+E195+F195+G195+H195+I195+J195+K195+L195+M195+N195</f>
        <v>712.845</v>
      </c>
      <c r="C195" s="132">
        <v>70.155</v>
      </c>
      <c r="D195" s="132">
        <v>125.775</v>
      </c>
      <c r="E195" s="89">
        <v>47.295</v>
      </c>
      <c r="F195" s="132">
        <v>31.725</v>
      </c>
      <c r="G195" s="132">
        <v>41.22</v>
      </c>
      <c r="H195" s="132">
        <v>66.96</v>
      </c>
      <c r="I195" s="132">
        <v>172.935</v>
      </c>
      <c r="J195" s="132">
        <v>84.78</v>
      </c>
      <c r="K195" s="132">
        <v>28.665</v>
      </c>
      <c r="L195" s="132">
        <v>11.25</v>
      </c>
      <c r="M195" s="132">
        <v>29.7</v>
      </c>
      <c r="N195" s="132">
        <v>2.385</v>
      </c>
      <c r="P195" s="133"/>
    </row>
    <row r="196" spans="1:14">
      <c r="A196" s="85"/>
      <c r="B196" s="86">
        <f>(SUM(C196:N196))/12</f>
        <v>167.2375</v>
      </c>
      <c r="C196" s="86">
        <v>160.26</v>
      </c>
      <c r="D196" s="86">
        <v>169.19</v>
      </c>
      <c r="E196" s="86">
        <v>186.15</v>
      </c>
      <c r="F196" s="86">
        <v>149.5</v>
      </c>
      <c r="G196" s="86">
        <v>157.93</v>
      </c>
      <c r="H196" s="86">
        <v>160.62</v>
      </c>
      <c r="I196" s="86">
        <v>164.39</v>
      </c>
      <c r="J196" s="86">
        <v>170</v>
      </c>
      <c r="K196" s="86">
        <v>180.71</v>
      </c>
      <c r="L196" s="86">
        <v>156.67</v>
      </c>
      <c r="M196" s="86">
        <v>151.43</v>
      </c>
      <c r="N196" s="86">
        <v>200</v>
      </c>
    </row>
    <row r="197" spans="1:14">
      <c r="A197" s="103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</row>
    <row r="198" s="68" customFormat="1" spans="1:16">
      <c r="A198" s="109" t="s">
        <v>73</v>
      </c>
      <c r="B198" s="101">
        <f>C198+D198+E198+F198+G198+H198+I198+J198+K198+L198+M198+N198</f>
        <v>14.805</v>
      </c>
      <c r="C198" s="132"/>
      <c r="D198" s="132"/>
      <c r="E198" s="89">
        <v>14.805</v>
      </c>
      <c r="F198" s="132"/>
      <c r="G198" s="132"/>
      <c r="H198" s="132"/>
      <c r="I198" s="132"/>
      <c r="J198" s="132"/>
      <c r="K198" s="132"/>
      <c r="L198" s="132"/>
      <c r="M198" s="132"/>
      <c r="N198" s="132"/>
      <c r="P198" s="133"/>
    </row>
    <row r="199" spans="1:14">
      <c r="A199" s="115"/>
      <c r="B199" s="86">
        <f>(SUM(C199:N199))</f>
        <v>80</v>
      </c>
      <c r="C199" s="86"/>
      <c r="D199" s="86"/>
      <c r="E199" s="86">
        <v>80</v>
      </c>
      <c r="F199" s="86"/>
      <c r="G199" s="86"/>
      <c r="H199" s="86"/>
      <c r="I199" s="86"/>
      <c r="J199" s="86"/>
      <c r="K199" s="86"/>
      <c r="L199" s="86"/>
      <c r="M199" s="86"/>
      <c r="N199" s="86"/>
    </row>
    <row r="200" spans="1:14">
      <c r="A200" s="185" t="s">
        <v>74</v>
      </c>
      <c r="B200" s="186">
        <f>B8+B11+B14+B17+B20+B23+B26+B29+B32+B35+B38+B48+B51+B54+B57+B60+B63+B66+B69+B72+B75+B78+B89+B92+B95+B98+B101+B104+B107+B110+B113+B116+B119+B130+B133+B136+B139+B142+B145+B148+B151+B154+B157+B160+B171+B174+B177+B180+B183+B186+B189+B192+B195+B198</f>
        <v>20676.105</v>
      </c>
      <c r="C200" s="186">
        <f>C8+C11+C14+C17+C20+C23+C26+C29+C32+C35+C38+C48+C51+C54+C57+C60+C63+C66+C69+C72+C75+C78+C89+C92+C95+C98+C101+C104+C107+C110+C113+C116+C130+C133+C139+C142+C145+C148+C151+C157+C160+C171+C174+C177+C180+C183+C189+C192+C195+C198</f>
        <v>1652.04</v>
      </c>
      <c r="D200" s="186">
        <f>D8+D11+D14+D17+D20+D23+D26+D29+D32+D35+D38+D48+D51+D54+D57+D60+D63+D66+D69+D72+D75+D78+D89+D92+D95+D98+D101+D104+D107+D110+D113+D116+D130+D133+D136+D139+D142+D145+D148+D151+D157+D160+D171+D174+D177+D180+D183+D189+D192+D195+D198</f>
        <v>1694.295</v>
      </c>
      <c r="E200" s="186">
        <f>E8+E11+E14+E17+E20+E23+E26+E29+E32+E35+E38+E48+E51+E54+E57+E60+E63+E66+E69+E72+E75+E78+E89+E92+E95+E98+E101+E104+E107+E110+E113+E116+E130+E133+E136+E139+E142+E145+E148+E151+E157+E160+E171+E174+E177+E180+E183+E189+E192+E195+E198</f>
        <v>1851.57</v>
      </c>
      <c r="F200" s="186">
        <f>F8+F11+F14+F17+F20+F23+F26+F29+F32+F35+F38+F48+F51+F54+F57+F60+F63+F66+F69+F72+F75+F78+F89+F92+F95+F98+F101+F104+F107+F110+F113+F116+F130+F133+F139+F142+F145+F148+F151+F154+F157+F160+F171+F174+F177+F180+F183+F189+F192+F195+F198</f>
        <v>1503.45</v>
      </c>
      <c r="G200" s="186">
        <f>G8+G11+G14+G17+G20+G23+G26+G29+G32+G35+G38+G48+G51+G54+G57+G60+G63+G66+G69+G72+G75+G78+G89+G92+G95+G98+G101+G104+G107+G110+G113+G116+G130+G133+G136+G139+G142+G145+G148+G151+G157+G160+G171+G174+G177+G180+G183+G186+G189+G192+G195+G198</f>
        <v>1558.845</v>
      </c>
      <c r="H200" s="186">
        <f>H8+H11+H14+H17+H119+H20+H23+H26+H29+H32+H35+H38+H48+H51+H54+H57+H60+H63+H66+H69+H72+H75+H78+H89+H92+H95+H98+H101+H104+H107+H110+H113+H116+H130+H133+H139+H142+H145+H148+H151+H157+H160+H171+H174+H177+H180+H183+H189+H192+H195+H198</f>
        <v>1919.79</v>
      </c>
      <c r="I200" s="186">
        <f t="shared" ref="I200:L200" si="0">I8+I11+I14+I17+I20+I23+I26+I29+I32+I35+I38+I48+I51+I54+I57+I60+I63+I66+I69+I72+I75+I78+I89+I92+I95+I98+I101+I104+I107+I110+I113+I116+I130+I133+I139+I142+I145+I148+I151+I157+I160+I171+I174+I177+I180+I183+I189+I192+I195+I198</f>
        <v>2053.71</v>
      </c>
      <c r="J200" s="186">
        <f>J8+J11+J14+J17+J20+J23+J26+J29+J32+J35+J38+J48+J51+J54+J57+J60+J63+J66+J69+J72+J75+J78+J89+J92+J95+J98+J101+J104+J107+J110+J113+J116+J130+J133+J136+J139+J142+J145+J148+J151+J157+J160+J171+J174+J177+J180+J183+J189+J192+J195+J198</f>
        <v>1896.615</v>
      </c>
      <c r="K200" s="186">
        <f>K8+K11+K14+K17+K20+K23+K26+K29+K32+K35+K38+K48+K51+K54+K57+K60+K63+K66+K69+K72+K75+K78+K89+K92+K95+K98+K101+K104+K107+K110+K113+K116+K130+K133+K136+K139+K142+K145+K148+K151+K157+K160+K171+K174+K177+K180+K183+K189+K192+K195+K198</f>
        <v>1699.245</v>
      </c>
      <c r="L200" s="186">
        <f t="shared" si="0"/>
        <v>1670.49</v>
      </c>
      <c r="M200" s="186">
        <f>M8+M11+M14+M17+M20+M23+M26+M29+M32+M35+M38+M48+M51+M54+M57+M60+M63+M66+M69+M72+M75+M78+M89+M92+M95+M98+M101+M104+M107+M110+M113+M116+M130+M133+M139+M142+M145+M148+M151+M154+M157+M160+M171+M174+M177+M180+M183+M189+M192+M195+M198</f>
        <v>1719.675</v>
      </c>
      <c r="N200" s="186">
        <f>N8+N11+N14+N17+N20+N23+N26+N29+N32+N35+N38+N48+N51+N54+N57+N60+N63+N66+N69+N72+N75+N78+N89+N92+N95+N98+N101+N104+N107+N110+N113+N116+N130+N133+N136+N139+N142+N145+N148+N151+N157+N160+N171+N174+N177+N180+N183+N189+N192+N195+N198</f>
        <v>1456.38</v>
      </c>
    </row>
    <row r="201" spans="1:17">
      <c r="A201" s="187"/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209"/>
      <c r="P201" s="200"/>
      <c r="Q201" s="200"/>
    </row>
    <row r="202" spans="1:16">
      <c r="A202" s="189" t="s">
        <v>75</v>
      </c>
      <c r="B202" s="190">
        <f>C202+D202+E202+F202+G202+H202+I202+J202+K202+L202+M202+N202</f>
        <v>3037.14</v>
      </c>
      <c r="C202" s="190">
        <f>(9229*45)/1000</f>
        <v>415.305</v>
      </c>
      <c r="D202" s="190">
        <f>(6169*45)/1000</f>
        <v>277.605</v>
      </c>
      <c r="E202" s="190">
        <f>(7139*45)/1000</f>
        <v>321.255</v>
      </c>
      <c r="F202" s="190">
        <f>(6586*45)/1000</f>
        <v>296.37</v>
      </c>
      <c r="G202" s="190">
        <f>(7757*45)/1000</f>
        <v>349.065</v>
      </c>
      <c r="H202" s="190">
        <f>(8020*45)/1000</f>
        <v>360.9</v>
      </c>
      <c r="I202" s="190">
        <f>(7286*45)/1000</f>
        <v>327.87</v>
      </c>
      <c r="J202" s="190">
        <f>(5917*45)/1000</f>
        <v>266.265</v>
      </c>
      <c r="K202" s="190">
        <f>(585*45)/1000</f>
        <v>26.325</v>
      </c>
      <c r="L202" s="190">
        <f>(2991*45)/1000</f>
        <v>134.595</v>
      </c>
      <c r="M202" s="190">
        <f>(4613*45)/1000</f>
        <v>207.585</v>
      </c>
      <c r="N202" s="190">
        <f>(1200*45)/1000</f>
        <v>54</v>
      </c>
      <c r="P202" s="210"/>
    </row>
    <row r="203" spans="1:16">
      <c r="A203" s="191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P203" s="211"/>
    </row>
    <row r="204" spans="1:14">
      <c r="A204" s="193" t="s">
        <v>76</v>
      </c>
      <c r="B204" s="194">
        <f>SUM(B200:B203)</f>
        <v>23713.245</v>
      </c>
      <c r="C204" s="194">
        <f>SUM(C200:C203)</f>
        <v>2067.345</v>
      </c>
      <c r="D204" s="194">
        <f>SUM(D200:D203)</f>
        <v>1971.9</v>
      </c>
      <c r="E204" s="194">
        <f t="shared" ref="E204:N204" si="1">SUM(E200:E203)</f>
        <v>2172.825</v>
      </c>
      <c r="F204" s="194">
        <f t="shared" si="1"/>
        <v>1799.82</v>
      </c>
      <c r="G204" s="194">
        <f t="shared" si="1"/>
        <v>1907.91</v>
      </c>
      <c r="H204" s="194">
        <f t="shared" si="1"/>
        <v>2280.69</v>
      </c>
      <c r="I204" s="194">
        <f t="shared" si="1"/>
        <v>2381.58</v>
      </c>
      <c r="J204" s="194">
        <f t="shared" si="1"/>
        <v>2162.88</v>
      </c>
      <c r="K204" s="194">
        <f>K200+K202</f>
        <v>1725.57</v>
      </c>
      <c r="L204" s="194">
        <f>L200+L202</f>
        <v>1805.085</v>
      </c>
      <c r="M204" s="194">
        <f t="shared" si="1"/>
        <v>1927.26</v>
      </c>
      <c r="N204" s="194">
        <f t="shared" si="1"/>
        <v>1510.38</v>
      </c>
    </row>
    <row r="205" spans="1:16">
      <c r="A205" s="195"/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209"/>
      <c r="P205" s="200"/>
    </row>
    <row r="206" s="69" customFormat="1" spans="2:14">
      <c r="B206" s="197" t="s">
        <v>77</v>
      </c>
      <c r="C206" s="198">
        <f>C200/45</f>
        <v>36.712</v>
      </c>
      <c r="D206" s="198">
        <f>D200/45</f>
        <v>37.651</v>
      </c>
      <c r="E206" s="198">
        <f t="shared" ref="E206:N206" si="2">E200/45</f>
        <v>41.146</v>
      </c>
      <c r="F206" s="198">
        <f t="shared" si="2"/>
        <v>33.41</v>
      </c>
      <c r="G206" s="198">
        <f t="shared" si="2"/>
        <v>34.641</v>
      </c>
      <c r="H206" s="198">
        <f t="shared" si="2"/>
        <v>42.662</v>
      </c>
      <c r="I206" s="198">
        <f t="shared" si="2"/>
        <v>45.638</v>
      </c>
      <c r="J206" s="198">
        <f t="shared" si="2"/>
        <v>42.147</v>
      </c>
      <c r="K206" s="198">
        <f t="shared" si="2"/>
        <v>37.761</v>
      </c>
      <c r="L206" s="198">
        <f t="shared" si="2"/>
        <v>37.122</v>
      </c>
      <c r="M206" s="198">
        <f t="shared" si="2"/>
        <v>38.215</v>
      </c>
      <c r="N206" s="198">
        <f t="shared" si="2"/>
        <v>32.364</v>
      </c>
    </row>
    <row r="207" spans="2:14">
      <c r="B207" s="48">
        <f>B200+B202</f>
        <v>23713.245</v>
      </c>
      <c r="C207" s="199">
        <f>C204/45</f>
        <v>45.941</v>
      </c>
      <c r="D207" s="200">
        <f>D200/45</f>
        <v>37.651</v>
      </c>
      <c r="E207" s="65">
        <f>E204/45</f>
        <v>48.285</v>
      </c>
      <c r="F207" s="65">
        <f t="shared" ref="F207:N207" si="3">F204/45</f>
        <v>39.996</v>
      </c>
      <c r="G207" s="65">
        <f t="shared" si="3"/>
        <v>42.398</v>
      </c>
      <c r="H207" s="65">
        <f t="shared" si="3"/>
        <v>50.682</v>
      </c>
      <c r="I207" s="65">
        <f t="shared" si="3"/>
        <v>52.924</v>
      </c>
      <c r="J207" s="65">
        <f t="shared" si="3"/>
        <v>48.064</v>
      </c>
      <c r="K207" s="65">
        <f t="shared" si="3"/>
        <v>38.346</v>
      </c>
      <c r="L207" s="65">
        <f t="shared" si="3"/>
        <v>40.113</v>
      </c>
      <c r="M207" s="65">
        <f t="shared" si="3"/>
        <v>42.828</v>
      </c>
      <c r="N207" s="65">
        <f t="shared" si="3"/>
        <v>33.564</v>
      </c>
    </row>
    <row r="208" spans="2:16">
      <c r="B208" s="201"/>
      <c r="D208" s="200"/>
      <c r="L208" s="202"/>
      <c r="O208" s="206"/>
      <c r="P208" s="201"/>
    </row>
    <row r="209" spans="2:12">
      <c r="B209" s="48"/>
      <c r="D209" s="200"/>
      <c r="E209" s="200"/>
      <c r="F209" s="200"/>
      <c r="G209" s="202"/>
      <c r="H209" s="65"/>
      <c r="J209" s="202"/>
      <c r="K209" s="202"/>
      <c r="L209" s="202"/>
    </row>
    <row r="210" spans="2:14">
      <c r="B210" s="201"/>
      <c r="C210" s="203"/>
      <c r="D210" s="48"/>
      <c r="E210" s="199"/>
      <c r="F210" s="199"/>
      <c r="G210" s="204"/>
      <c r="H210" s="205"/>
      <c r="I210" s="212"/>
      <c r="J210" s="206"/>
      <c r="K210" s="206"/>
      <c r="L210" s="212"/>
      <c r="M210" s="212"/>
      <c r="N210" s="212"/>
    </row>
    <row r="211" spans="2:14">
      <c r="B211" s="199"/>
      <c r="D211" s="202"/>
      <c r="E211" s="199"/>
      <c r="F211" s="206"/>
      <c r="G211" s="200"/>
      <c r="H211" s="207"/>
      <c r="I211" s="65"/>
      <c r="J211" s="213"/>
      <c r="K211" s="214"/>
      <c r="L211" s="206"/>
      <c r="M211" s="206"/>
      <c r="N211" s="206"/>
    </row>
    <row r="212" spans="3:12">
      <c r="C212" s="68"/>
      <c r="D212" s="204"/>
      <c r="E212" s="208"/>
      <c r="F212" s="199"/>
      <c r="G212" s="199"/>
      <c r="H212" s="199"/>
      <c r="J212" s="202"/>
      <c r="K212" s="201"/>
      <c r="L212" s="215"/>
    </row>
    <row r="213" spans="1:12">
      <c r="A213" s="68"/>
      <c r="B213" s="204"/>
      <c r="L213" s="202"/>
    </row>
    <row r="214" spans="8:12">
      <c r="H214" s="200"/>
      <c r="L214" s="216"/>
    </row>
    <row r="215" ht="9" customHeight="1" spans="1:12">
      <c r="A215" s="68"/>
      <c r="L215" s="216"/>
    </row>
    <row r="219" spans="13:14">
      <c r="M219" s="217"/>
      <c r="N219" s="217"/>
    </row>
    <row r="220" spans="13:14">
      <c r="M220" s="217"/>
      <c r="N220" s="217"/>
    </row>
    <row r="221" ht="9" customHeight="1" spans="11:14">
      <c r="K221" s="218"/>
      <c r="M221" s="217"/>
      <c r="N221" s="217"/>
    </row>
    <row r="223" spans="14:14">
      <c r="N223" s="217"/>
    </row>
    <row r="224" spans="14:14">
      <c r="N224" s="217"/>
    </row>
    <row r="225" spans="14:14">
      <c r="N225" s="217"/>
    </row>
    <row r="226" spans="11:14">
      <c r="K226" s="68"/>
      <c r="N226" s="217"/>
    </row>
    <row r="230" ht="7.5" customHeight="1" spans="14:14">
      <c r="N230" s="217"/>
    </row>
    <row r="231" ht="14.25" customHeight="1"/>
    <row r="235" spans="3:3">
      <c r="C235" s="65"/>
    </row>
    <row r="236" spans="3:16">
      <c r="C236" s="65"/>
      <c r="D236" s="209"/>
      <c r="E236" s="65"/>
      <c r="F236" s="65"/>
      <c r="H236" s="65"/>
      <c r="I236" s="65"/>
      <c r="J236" s="65"/>
      <c r="K236" s="65"/>
      <c r="M236" s="65"/>
      <c r="N236" s="65"/>
      <c r="P236" s="219"/>
    </row>
    <row r="237" spans="4:16">
      <c r="D237" s="201"/>
      <c r="E237" s="65"/>
      <c r="F237" s="201"/>
      <c r="G237" s="201"/>
      <c r="I237" s="201"/>
      <c r="N237" s="206"/>
      <c r="P237" s="18"/>
    </row>
    <row r="238" spans="9:16">
      <c r="I238" s="65"/>
      <c r="P238" s="220"/>
    </row>
    <row r="239" spans="9:9">
      <c r="I239" s="65"/>
    </row>
  </sheetData>
  <mergeCells count="142">
    <mergeCell ref="A2:N2"/>
    <mergeCell ref="A3:N3"/>
    <mergeCell ref="A5:A6"/>
    <mergeCell ref="A7:A9"/>
    <mergeCell ref="A10:A12"/>
    <mergeCell ref="A13:A15"/>
    <mergeCell ref="A16:A18"/>
    <mergeCell ref="A19:A21"/>
    <mergeCell ref="A25:A27"/>
    <mergeCell ref="A31:A33"/>
    <mergeCell ref="A45:A46"/>
    <mergeCell ref="A47:A49"/>
    <mergeCell ref="A50:A52"/>
    <mergeCell ref="A53:A55"/>
    <mergeCell ref="A56:A58"/>
    <mergeCell ref="A59:A61"/>
    <mergeCell ref="A62:A64"/>
    <mergeCell ref="A68:A70"/>
    <mergeCell ref="A71:A73"/>
    <mergeCell ref="A86:A87"/>
    <mergeCell ref="A91:A93"/>
    <mergeCell ref="A94:A96"/>
    <mergeCell ref="A97:A99"/>
    <mergeCell ref="A100:A102"/>
    <mergeCell ref="A109:A111"/>
    <mergeCell ref="A118:A120"/>
    <mergeCell ref="A127:A128"/>
    <mergeCell ref="A138:A140"/>
    <mergeCell ref="A141:A143"/>
    <mergeCell ref="A156:A158"/>
    <mergeCell ref="A159:A161"/>
    <mergeCell ref="A168:A169"/>
    <mergeCell ref="A170:A172"/>
    <mergeCell ref="A173:A175"/>
    <mergeCell ref="A179:A181"/>
    <mergeCell ref="A182:A184"/>
    <mergeCell ref="A185:A187"/>
    <mergeCell ref="A188:A190"/>
    <mergeCell ref="A194:A196"/>
    <mergeCell ref="A200:A201"/>
    <mergeCell ref="A202:A203"/>
    <mergeCell ref="A204:A205"/>
    <mergeCell ref="B200:B201"/>
    <mergeCell ref="B202:B203"/>
    <mergeCell ref="B204:B205"/>
    <mergeCell ref="C5:C6"/>
    <mergeCell ref="C45:C46"/>
    <mergeCell ref="C86:C87"/>
    <mergeCell ref="C127:C128"/>
    <mergeCell ref="C168:C169"/>
    <mergeCell ref="C200:C201"/>
    <mergeCell ref="C202:C203"/>
    <mergeCell ref="C204:C205"/>
    <mergeCell ref="D5:D6"/>
    <mergeCell ref="D45:D46"/>
    <mergeCell ref="D86:D87"/>
    <mergeCell ref="D127:D128"/>
    <mergeCell ref="D168:D169"/>
    <mergeCell ref="D200:D201"/>
    <mergeCell ref="D202:D203"/>
    <mergeCell ref="D204:D205"/>
    <mergeCell ref="E5:E6"/>
    <mergeCell ref="E45:E46"/>
    <mergeCell ref="E86:E87"/>
    <mergeCell ref="E127:E128"/>
    <mergeCell ref="E168:E169"/>
    <mergeCell ref="E200:E201"/>
    <mergeCell ref="E202:E203"/>
    <mergeCell ref="E204:E205"/>
    <mergeCell ref="F5:F6"/>
    <mergeCell ref="F45:F46"/>
    <mergeCell ref="F86:F87"/>
    <mergeCell ref="F127:F128"/>
    <mergeCell ref="F168:F169"/>
    <mergeCell ref="F200:F201"/>
    <mergeCell ref="F202:F203"/>
    <mergeCell ref="F204:F205"/>
    <mergeCell ref="G5:G6"/>
    <mergeCell ref="G45:G46"/>
    <mergeCell ref="G86:G87"/>
    <mergeCell ref="G127:G128"/>
    <mergeCell ref="G168:G169"/>
    <mergeCell ref="G200:G201"/>
    <mergeCell ref="G202:G203"/>
    <mergeCell ref="G204:G205"/>
    <mergeCell ref="H5:H6"/>
    <mergeCell ref="H45:H46"/>
    <mergeCell ref="H86:H87"/>
    <mergeCell ref="H127:H128"/>
    <mergeCell ref="H168:H169"/>
    <mergeCell ref="H200:H201"/>
    <mergeCell ref="H202:H203"/>
    <mergeCell ref="H204:H205"/>
    <mergeCell ref="I5:I6"/>
    <mergeCell ref="I45:I46"/>
    <mergeCell ref="I86:I87"/>
    <mergeCell ref="I127:I128"/>
    <mergeCell ref="I168:I169"/>
    <mergeCell ref="I200:I201"/>
    <mergeCell ref="I202:I203"/>
    <mergeCell ref="I204:I205"/>
    <mergeCell ref="J5:J6"/>
    <mergeCell ref="J45:J46"/>
    <mergeCell ref="J86:J87"/>
    <mergeCell ref="J127:J128"/>
    <mergeCell ref="J168:J169"/>
    <mergeCell ref="J200:J201"/>
    <mergeCell ref="J202:J203"/>
    <mergeCell ref="J204:J205"/>
    <mergeCell ref="K5:K6"/>
    <mergeCell ref="K45:K46"/>
    <mergeCell ref="K86:K87"/>
    <mergeCell ref="K127:K128"/>
    <mergeCell ref="K168:K169"/>
    <mergeCell ref="K200:K201"/>
    <mergeCell ref="K202:K203"/>
    <mergeCell ref="K204:K205"/>
    <mergeCell ref="L5:L6"/>
    <mergeCell ref="L45:L46"/>
    <mergeCell ref="L86:L87"/>
    <mergeCell ref="L127:L128"/>
    <mergeCell ref="L168:L169"/>
    <mergeCell ref="L200:L201"/>
    <mergeCell ref="L202:L203"/>
    <mergeCell ref="L204:L205"/>
    <mergeCell ref="M5:M6"/>
    <mergeCell ref="M45:M46"/>
    <mergeCell ref="M86:M87"/>
    <mergeCell ref="M127:M128"/>
    <mergeCell ref="M168:M169"/>
    <mergeCell ref="M200:M201"/>
    <mergeCell ref="M202:M203"/>
    <mergeCell ref="M204:M205"/>
    <mergeCell ref="N5:N6"/>
    <mergeCell ref="N45:N46"/>
    <mergeCell ref="N86:N87"/>
    <mergeCell ref="N127:N128"/>
    <mergeCell ref="N168:N169"/>
    <mergeCell ref="N200:N201"/>
    <mergeCell ref="N202:N203"/>
    <mergeCell ref="N204:N205"/>
    <mergeCell ref="P202:P203"/>
  </mergeCells>
  <pageMargins left="0.65" right="0.83" top="0.34" bottom="0.7" header="0.49" footer="0.5"/>
  <pageSetup paperSize="5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9"/>
  <sheetViews>
    <sheetView tabSelected="1" workbookViewId="0">
      <selection activeCell="A5" sqref="A5"/>
    </sheetView>
  </sheetViews>
  <sheetFormatPr defaultColWidth="9" defaultRowHeight="12.75"/>
  <cols>
    <col min="1" max="1" width="10.5714285714286" customWidth="1"/>
  </cols>
  <sheetData>
    <row r="1" spans="1:2">
      <c r="A1" t="s">
        <v>78</v>
      </c>
      <c r="B1" t="s">
        <v>79</v>
      </c>
    </row>
    <row r="2" spans="2:2">
      <c r="B2" t="s">
        <v>80</v>
      </c>
    </row>
    <row r="3" ht="13.5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13.5" spans="1:15">
      <c r="A4" s="3"/>
      <c r="B4" s="4" t="s">
        <v>74</v>
      </c>
      <c r="C4" s="3"/>
      <c r="E4" s="3"/>
      <c r="G4" s="3"/>
      <c r="I4" s="3"/>
      <c r="K4" s="3"/>
      <c r="M4" s="3"/>
      <c r="O4" s="3"/>
    </row>
    <row r="5" spans="1:15">
      <c r="A5" s="5" t="s">
        <v>2</v>
      </c>
      <c r="B5" s="4" t="s">
        <v>81</v>
      </c>
      <c r="C5" s="6" t="s">
        <v>82</v>
      </c>
      <c r="D5" s="4" t="s">
        <v>4</v>
      </c>
      <c r="E5" s="6" t="s">
        <v>83</v>
      </c>
      <c r="F5" s="4" t="s">
        <v>84</v>
      </c>
      <c r="G5" s="6" t="s">
        <v>85</v>
      </c>
      <c r="H5" s="4" t="s">
        <v>8</v>
      </c>
      <c r="I5" s="6" t="s">
        <v>9</v>
      </c>
      <c r="J5" s="4" t="s">
        <v>10</v>
      </c>
      <c r="K5" s="6" t="s">
        <v>86</v>
      </c>
      <c r="L5" s="4" t="s">
        <v>12</v>
      </c>
      <c r="M5" s="6" t="s">
        <v>13</v>
      </c>
      <c r="N5" s="4" t="s">
        <v>14</v>
      </c>
      <c r="O5" s="6" t="s">
        <v>15</v>
      </c>
    </row>
    <row r="6" spans="1:15">
      <c r="A6" s="7"/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37"/>
      <c r="O6" s="8"/>
    </row>
    <row r="7" spans="1:15">
      <c r="A7" s="7"/>
      <c r="B7" s="9"/>
      <c r="C7" s="10"/>
      <c r="D7" s="7"/>
      <c r="E7" s="7"/>
      <c r="F7" s="7"/>
      <c r="G7" s="7"/>
      <c r="H7" s="7"/>
      <c r="I7" s="7"/>
      <c r="J7" s="7"/>
      <c r="K7" s="7"/>
      <c r="L7" s="13"/>
      <c r="M7" s="13"/>
      <c r="N7" s="13"/>
      <c r="O7" s="13"/>
    </row>
    <row r="8" spans="1:15">
      <c r="A8" s="7" t="s">
        <v>87</v>
      </c>
      <c r="B8" s="9">
        <f>D8+E8+F8+G8+H8+I8+J8+K8+L8+M8+N8+O8</f>
        <v>3060</v>
      </c>
      <c r="C8" s="11"/>
      <c r="D8" s="12">
        <f>29*45</f>
        <v>1305</v>
      </c>
      <c r="E8" s="12">
        <f>10*45</f>
        <v>450</v>
      </c>
      <c r="F8" s="13">
        <f>29*45</f>
        <v>1305</v>
      </c>
      <c r="G8" s="14"/>
      <c r="H8" s="14"/>
      <c r="I8" s="13"/>
      <c r="J8" s="13"/>
      <c r="K8" s="13"/>
      <c r="L8" s="13"/>
      <c r="M8" s="13"/>
      <c r="N8" s="13"/>
      <c r="O8" s="13"/>
    </row>
    <row r="9" spans="1:15">
      <c r="A9" s="7"/>
      <c r="B9" s="9"/>
      <c r="C9" s="11">
        <f>SUM(D9:O9)</f>
        <v>154</v>
      </c>
      <c r="D9" s="15">
        <v>71.5</v>
      </c>
      <c r="E9" s="15">
        <v>82.5</v>
      </c>
      <c r="F9" s="16"/>
      <c r="G9" s="15"/>
      <c r="H9" s="15"/>
      <c r="I9" s="15"/>
      <c r="J9" s="15"/>
      <c r="K9" s="15"/>
      <c r="L9" s="16"/>
      <c r="M9" s="16"/>
      <c r="N9" s="16"/>
      <c r="O9" s="16"/>
    </row>
    <row r="10" spans="1:15">
      <c r="A10" s="7"/>
      <c r="B10" s="9"/>
      <c r="C10" s="11"/>
      <c r="D10" s="7"/>
      <c r="E10" s="7"/>
      <c r="F10" s="7"/>
      <c r="G10" s="7"/>
      <c r="H10" s="7"/>
      <c r="I10" s="7"/>
      <c r="J10" s="7"/>
      <c r="K10" s="7"/>
      <c r="L10" s="13"/>
      <c r="M10" s="13"/>
      <c r="N10" s="13"/>
      <c r="O10" s="13"/>
    </row>
    <row r="11" spans="1:15">
      <c r="A11" s="7" t="s">
        <v>88</v>
      </c>
      <c r="B11" s="9">
        <f>D11+E11+F11+G11+H11+I11+J11+K11+L11+M11+N11+O11</f>
        <v>0</v>
      </c>
      <c r="C11" s="11"/>
      <c r="D11" s="7"/>
      <c r="E11" s="7"/>
      <c r="F11" s="7"/>
      <c r="G11" s="7"/>
      <c r="H11" s="13"/>
      <c r="I11" s="13"/>
      <c r="J11" s="13"/>
      <c r="K11" s="13"/>
      <c r="L11" s="13"/>
      <c r="M11" s="13"/>
      <c r="N11" s="13"/>
      <c r="O11" s="13"/>
    </row>
    <row r="12" spans="1:15">
      <c r="A12" s="7"/>
      <c r="B12" s="9"/>
      <c r="C12" s="11">
        <f>SUM(D12:O12)</f>
        <v>0</v>
      </c>
      <c r="D12" s="15"/>
      <c r="E12" s="15"/>
      <c r="F12" s="15"/>
      <c r="G12" s="15"/>
      <c r="H12" s="15"/>
      <c r="I12" s="15"/>
      <c r="J12" s="16"/>
      <c r="K12" s="15"/>
      <c r="L12" s="16"/>
      <c r="M12" s="16"/>
      <c r="N12" s="16"/>
      <c r="O12" s="16"/>
    </row>
    <row r="13" spans="1:15">
      <c r="A13" s="7"/>
      <c r="B13" s="9"/>
      <c r="C13" s="11"/>
      <c r="D13" s="7"/>
      <c r="E13" s="7"/>
      <c r="F13" s="7"/>
      <c r="G13" s="7"/>
      <c r="H13" s="7"/>
      <c r="I13" s="7"/>
      <c r="J13" s="7"/>
      <c r="K13" s="7"/>
      <c r="L13" s="13"/>
      <c r="M13" s="13"/>
      <c r="N13" s="13"/>
      <c r="O13" s="13"/>
    </row>
    <row r="14" spans="1:15">
      <c r="A14" s="7" t="s">
        <v>89</v>
      </c>
      <c r="B14" s="9">
        <f>D14+E14+F14+G14+H14+I14+J14+K14+L14+M14+N14+O14</f>
        <v>9225</v>
      </c>
      <c r="C14" s="11"/>
      <c r="D14" s="12">
        <f>96*45</f>
        <v>4320</v>
      </c>
      <c r="E14" s="12">
        <f>13*45</f>
        <v>585</v>
      </c>
      <c r="F14" s="12">
        <f>96*45</f>
        <v>4320</v>
      </c>
      <c r="G14" s="14"/>
      <c r="H14" s="14"/>
      <c r="I14" s="13"/>
      <c r="J14" s="13"/>
      <c r="K14" s="13"/>
      <c r="L14" s="13"/>
      <c r="M14" s="13"/>
      <c r="N14" s="13"/>
      <c r="O14" s="16"/>
    </row>
    <row r="15" spans="1:15">
      <c r="A15" s="7"/>
      <c r="B15" s="9"/>
      <c r="C15" s="11">
        <f>SUM(D15:O15)</f>
        <v>235.63</v>
      </c>
      <c r="D15" s="15">
        <v>105.63</v>
      </c>
      <c r="E15" s="15">
        <v>130</v>
      </c>
      <c r="F15" s="15"/>
      <c r="G15" s="15"/>
      <c r="H15" s="15"/>
      <c r="I15" s="15"/>
      <c r="J15" s="16"/>
      <c r="K15" s="15"/>
      <c r="L15" s="16"/>
      <c r="M15" s="16"/>
      <c r="N15" s="16"/>
      <c r="O15" s="16"/>
    </row>
    <row r="16" spans="1:15">
      <c r="A16" s="7"/>
      <c r="B16" s="9"/>
      <c r="C16" s="11"/>
      <c r="D16" s="7"/>
      <c r="E16" s="7"/>
      <c r="F16" s="7"/>
      <c r="G16" s="7"/>
      <c r="H16" s="7"/>
      <c r="I16" s="7"/>
      <c r="J16" s="7"/>
      <c r="K16" s="7"/>
      <c r="L16" s="13"/>
      <c r="M16" s="13"/>
      <c r="N16" s="13"/>
      <c r="O16" s="13"/>
    </row>
    <row r="17" spans="1:15">
      <c r="A17" s="7" t="s">
        <v>90</v>
      </c>
      <c r="B17" s="9">
        <f>D17+E17+F17+G17+H17+I17+J17+K17+L17+M17+N17+O17</f>
        <v>275670</v>
      </c>
      <c r="C17" s="11"/>
      <c r="D17" s="12">
        <f>2635*45</f>
        <v>118575</v>
      </c>
      <c r="E17" s="12">
        <f>856*45</f>
        <v>38520</v>
      </c>
      <c r="F17" s="13">
        <f>2635*45</f>
        <v>118575</v>
      </c>
      <c r="G17" s="14"/>
      <c r="H17" s="14"/>
      <c r="I17" s="13"/>
      <c r="J17" s="13"/>
      <c r="K17" s="13"/>
      <c r="L17" s="13"/>
      <c r="M17" s="13"/>
      <c r="N17" s="13"/>
      <c r="O17" s="13"/>
    </row>
    <row r="18" spans="1:15">
      <c r="A18" s="7"/>
      <c r="B18" s="9"/>
      <c r="C18" s="11">
        <f>SUM(D18:O18)</f>
        <v>170.91</v>
      </c>
      <c r="D18" s="15">
        <v>75.88</v>
      </c>
      <c r="E18" s="15">
        <v>95.03</v>
      </c>
      <c r="F18" s="16"/>
      <c r="G18" s="15"/>
      <c r="H18" s="15"/>
      <c r="I18" s="15"/>
      <c r="J18" s="16"/>
      <c r="K18" s="15"/>
      <c r="L18" s="16"/>
      <c r="M18" s="16"/>
      <c r="N18" s="16"/>
      <c r="O18" s="16"/>
    </row>
    <row r="19" spans="1:15">
      <c r="A19" s="7"/>
      <c r="B19" s="9"/>
      <c r="C19" s="11"/>
      <c r="D19" s="7"/>
      <c r="E19" s="7"/>
      <c r="F19" s="7"/>
      <c r="G19" s="7"/>
      <c r="H19" s="7"/>
      <c r="I19" s="7"/>
      <c r="J19" s="7"/>
      <c r="K19" s="7"/>
      <c r="L19" s="13"/>
      <c r="M19" s="13"/>
      <c r="N19" s="13"/>
      <c r="O19" s="13"/>
    </row>
    <row r="20" spans="1:15">
      <c r="A20" s="7" t="s">
        <v>91</v>
      </c>
      <c r="B20" s="9">
        <f>D20+E20+F20+G20+H20+I20+J20+K20+L20+M20+N20+O20</f>
        <v>1890</v>
      </c>
      <c r="C20" s="11"/>
      <c r="D20" s="12">
        <f>9*45</f>
        <v>405</v>
      </c>
      <c r="E20" s="12">
        <f>24*45</f>
        <v>1080</v>
      </c>
      <c r="F20" s="7">
        <f>9*45</f>
        <v>405</v>
      </c>
      <c r="G20" s="14"/>
      <c r="H20" s="14"/>
      <c r="I20" s="7"/>
      <c r="J20" s="7"/>
      <c r="K20" s="7"/>
      <c r="L20" s="13"/>
      <c r="M20" s="13"/>
      <c r="N20" s="13"/>
      <c r="O20" s="13"/>
    </row>
    <row r="21" spans="1:15">
      <c r="A21" s="7"/>
      <c r="B21" s="9"/>
      <c r="C21" s="11">
        <f>SUM(D21:O21)</f>
        <v>108.75</v>
      </c>
      <c r="D21" s="16">
        <v>45</v>
      </c>
      <c r="E21" s="16">
        <v>63.75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>
      <c r="A22" s="7"/>
      <c r="B22" s="9"/>
      <c r="C22" s="11"/>
      <c r="D22" s="7"/>
      <c r="E22" s="7"/>
      <c r="F22" s="7"/>
      <c r="G22" s="7"/>
      <c r="H22" s="7"/>
      <c r="I22" s="7"/>
      <c r="J22" s="7"/>
      <c r="K22" s="7"/>
      <c r="L22" s="13"/>
      <c r="M22" s="13"/>
      <c r="N22" s="13"/>
      <c r="O22" s="13"/>
    </row>
    <row r="23" spans="1:15">
      <c r="A23" s="7" t="s">
        <v>92</v>
      </c>
      <c r="B23" s="9"/>
      <c r="C23" s="11"/>
      <c r="D23" s="7"/>
      <c r="E23" s="12">
        <f>2*45</f>
        <v>90</v>
      </c>
      <c r="F23" s="7"/>
      <c r="G23" s="14"/>
      <c r="H23" s="14"/>
      <c r="I23" s="7"/>
      <c r="J23" s="7"/>
      <c r="K23" s="7"/>
      <c r="L23" s="13"/>
      <c r="M23" s="13"/>
      <c r="N23" s="13"/>
      <c r="O23" s="13"/>
    </row>
    <row r="24" spans="1:15">
      <c r="A24" s="7"/>
      <c r="B24" s="9"/>
      <c r="C24" s="11"/>
      <c r="D24" s="7"/>
      <c r="E24" s="15">
        <v>40</v>
      </c>
      <c r="F24" s="7"/>
      <c r="G24" s="15"/>
      <c r="H24" s="7"/>
      <c r="I24" s="7"/>
      <c r="J24" s="7"/>
      <c r="K24" s="7"/>
      <c r="L24" s="13"/>
      <c r="M24" s="13"/>
      <c r="N24" s="13"/>
      <c r="O24" s="13"/>
    </row>
    <row r="25" spans="1:15">
      <c r="A25" s="7"/>
      <c r="B25" s="9"/>
      <c r="C25" s="11"/>
      <c r="D25" s="7"/>
      <c r="E25" s="7"/>
      <c r="F25" s="7"/>
      <c r="G25" s="7"/>
      <c r="H25" s="7"/>
      <c r="I25" s="7"/>
      <c r="J25" s="7"/>
      <c r="K25" s="7"/>
      <c r="L25" s="13"/>
      <c r="M25" s="13"/>
      <c r="N25" s="13"/>
      <c r="O25" s="13"/>
    </row>
    <row r="26" spans="1:15">
      <c r="A26" s="7" t="s">
        <v>93</v>
      </c>
      <c r="B26" s="9">
        <f>D26+E26+F26+G26+H26+I26+J26+K26+L26+M26+N26+O26</f>
        <v>7380</v>
      </c>
      <c r="C26" s="11"/>
      <c r="D26" s="12">
        <f>49*45</f>
        <v>2205</v>
      </c>
      <c r="E26" s="12">
        <f>66*45</f>
        <v>2970</v>
      </c>
      <c r="F26" s="13">
        <f>49*45</f>
        <v>2205</v>
      </c>
      <c r="G26" s="14"/>
      <c r="H26" s="14"/>
      <c r="I26" s="7"/>
      <c r="J26" s="7"/>
      <c r="K26" s="7"/>
      <c r="L26" s="13"/>
      <c r="M26" s="13"/>
      <c r="N26" s="13"/>
      <c r="O26" s="13"/>
    </row>
    <row r="27" spans="1:15">
      <c r="A27" s="7"/>
      <c r="B27" s="9"/>
      <c r="C27" s="11">
        <f>SUM(D27:O27)</f>
        <v>137</v>
      </c>
      <c r="D27" s="15">
        <v>60</v>
      </c>
      <c r="E27" s="15">
        <v>77</v>
      </c>
      <c r="F27" s="16"/>
      <c r="G27" s="15"/>
      <c r="H27" s="15"/>
      <c r="I27" s="7"/>
      <c r="J27" s="7"/>
      <c r="K27" s="15"/>
      <c r="L27" s="16"/>
      <c r="M27" s="16"/>
      <c r="N27" s="13"/>
      <c r="O27" s="16"/>
    </row>
    <row r="28" spans="1:15">
      <c r="A28" s="7"/>
      <c r="B28" s="9"/>
      <c r="C28" s="11"/>
      <c r="D28" s="7"/>
      <c r="E28" s="7"/>
      <c r="F28" s="7"/>
      <c r="G28" s="7"/>
      <c r="H28" s="7"/>
      <c r="I28" s="7"/>
      <c r="J28" s="7"/>
      <c r="K28" s="7"/>
      <c r="L28" s="13"/>
      <c r="M28" s="13"/>
      <c r="N28" s="13"/>
      <c r="O28" s="13"/>
    </row>
    <row r="29" spans="1:15">
      <c r="A29" s="7" t="s">
        <v>94</v>
      </c>
      <c r="B29" s="9">
        <f>D29+E29+F29+G29+H29+I29+J29+K29+L29+M29+N29+O29</f>
        <v>5895</v>
      </c>
      <c r="C29" s="11"/>
      <c r="D29" s="12">
        <f>41*45</f>
        <v>1845</v>
      </c>
      <c r="E29" s="12">
        <f>49*45</f>
        <v>2205</v>
      </c>
      <c r="F29" s="13">
        <f>41*45</f>
        <v>1845</v>
      </c>
      <c r="G29" s="14"/>
      <c r="H29" s="14"/>
      <c r="I29" s="13"/>
      <c r="J29" s="13"/>
      <c r="K29" s="13"/>
      <c r="L29" s="13"/>
      <c r="M29" s="13"/>
      <c r="N29" s="13"/>
      <c r="O29" s="13"/>
    </row>
    <row r="30" spans="1:15">
      <c r="A30" s="7"/>
      <c r="B30" s="9"/>
      <c r="C30" s="11">
        <f>SUM(D30:O30)</f>
        <v>125.94</v>
      </c>
      <c r="D30" s="15">
        <v>55.52</v>
      </c>
      <c r="E30" s="15">
        <v>70.42</v>
      </c>
      <c r="F30" s="15"/>
      <c r="G30" s="15"/>
      <c r="H30" s="15"/>
      <c r="I30" s="15"/>
      <c r="J30" s="16"/>
      <c r="K30" s="15"/>
      <c r="L30" s="16"/>
      <c r="M30" s="16"/>
      <c r="N30" s="16"/>
      <c r="O30" s="16"/>
    </row>
    <row r="31" spans="1:15">
      <c r="A31" s="7"/>
      <c r="B31" s="9"/>
      <c r="C31" s="11"/>
      <c r="D31" s="7"/>
      <c r="E31" s="7"/>
      <c r="F31" s="7"/>
      <c r="G31" s="7"/>
      <c r="H31" s="7"/>
      <c r="I31" s="7"/>
      <c r="J31" s="7"/>
      <c r="K31" s="7"/>
      <c r="L31" s="13"/>
      <c r="M31" s="13"/>
      <c r="N31" s="13"/>
      <c r="O31" s="13"/>
    </row>
    <row r="32" spans="1:15">
      <c r="A32" s="7" t="s">
        <v>95</v>
      </c>
      <c r="B32" s="9">
        <f>D32+E32+F32+G32+H32+I32+J32+K32+L32+M32+N32+O32</f>
        <v>1350</v>
      </c>
      <c r="C32" s="11"/>
      <c r="D32" s="12">
        <f>15*45</f>
        <v>675</v>
      </c>
      <c r="E32" s="7"/>
      <c r="F32" s="13">
        <f>15*45</f>
        <v>675</v>
      </c>
      <c r="G32" s="7"/>
      <c r="H32" s="7"/>
      <c r="I32" s="13"/>
      <c r="J32" s="7"/>
      <c r="K32" s="13"/>
      <c r="L32" s="13"/>
      <c r="M32" s="13"/>
      <c r="N32" s="13"/>
      <c r="O32" s="13"/>
    </row>
    <row r="33" spans="1:15">
      <c r="A33" s="7"/>
      <c r="B33" s="9"/>
      <c r="C33" s="11">
        <f>SUM(D33:O33)</f>
        <v>55.01</v>
      </c>
      <c r="D33" s="15">
        <v>55.01</v>
      </c>
      <c r="E33" s="15"/>
      <c r="F33" s="15"/>
      <c r="G33" s="15"/>
      <c r="H33" s="15"/>
      <c r="I33" s="15"/>
      <c r="J33" s="16"/>
      <c r="K33" s="15"/>
      <c r="L33" s="16"/>
      <c r="M33" s="16"/>
      <c r="N33" s="16"/>
      <c r="O33" s="16"/>
    </row>
    <row r="34" spans="1:15">
      <c r="A34" s="7"/>
      <c r="B34" s="9"/>
      <c r="C34" s="11"/>
      <c r="D34" s="15"/>
      <c r="E34" s="15"/>
      <c r="F34" s="15"/>
      <c r="G34" s="15"/>
      <c r="H34" s="15"/>
      <c r="I34" s="15"/>
      <c r="J34" s="16"/>
      <c r="K34" s="15"/>
      <c r="L34" s="16"/>
      <c r="M34" s="16"/>
      <c r="N34" s="16"/>
      <c r="O34" s="16"/>
    </row>
    <row r="35" spans="1:15">
      <c r="A35" s="7" t="s">
        <v>96</v>
      </c>
      <c r="B35" s="9">
        <f>D35+E35+F35+G35+H35+I35+J35+K35+L35+M35+N35+O35</f>
        <v>350280</v>
      </c>
      <c r="C35" s="10"/>
      <c r="D35" s="12">
        <f>2767*45</f>
        <v>124515</v>
      </c>
      <c r="E35" s="12">
        <f>2250*45</f>
        <v>101250</v>
      </c>
      <c r="F35" s="13">
        <f>2767*45</f>
        <v>124515</v>
      </c>
      <c r="G35" s="14"/>
      <c r="H35" s="14"/>
      <c r="I35" s="13"/>
      <c r="J35" s="13"/>
      <c r="K35" s="13"/>
      <c r="L35" s="13"/>
      <c r="M35" s="13"/>
      <c r="N35" s="13"/>
      <c r="O35" s="13"/>
    </row>
    <row r="36" spans="1:15">
      <c r="A36" s="7"/>
      <c r="B36" s="9"/>
      <c r="C36" s="11">
        <f>SUM(D36:O36)</f>
        <v>168.67</v>
      </c>
      <c r="D36" s="15">
        <v>95.88</v>
      </c>
      <c r="E36" s="15">
        <v>72.79</v>
      </c>
      <c r="F36" s="15"/>
      <c r="G36" s="15"/>
      <c r="H36" s="15"/>
      <c r="I36" s="15"/>
      <c r="J36" s="15"/>
      <c r="K36" s="15"/>
      <c r="L36" s="16"/>
      <c r="M36" s="16"/>
      <c r="N36" s="16"/>
      <c r="O36" s="16"/>
    </row>
    <row r="37" spans="1:15">
      <c r="A37" s="7"/>
      <c r="B37" s="9"/>
      <c r="C37" s="10"/>
      <c r="D37" s="7"/>
      <c r="E37" s="7"/>
      <c r="F37" s="7"/>
      <c r="G37" s="7"/>
      <c r="H37" s="7"/>
      <c r="I37" s="7"/>
      <c r="J37" s="7"/>
      <c r="K37" s="7"/>
      <c r="L37" s="13"/>
      <c r="M37" s="13"/>
      <c r="N37" s="13"/>
      <c r="O37" s="13"/>
    </row>
    <row r="38" spans="1:15">
      <c r="A38" s="7"/>
      <c r="B38" s="13"/>
      <c r="C38" s="7"/>
      <c r="D38" s="7"/>
      <c r="E38" s="7"/>
      <c r="F38" s="17">
        <f>SUM(F8:F37)</f>
        <v>253845</v>
      </c>
      <c r="G38" s="7"/>
      <c r="H38" s="7"/>
      <c r="I38" s="7"/>
      <c r="J38" s="7"/>
      <c r="K38" s="7"/>
      <c r="L38" s="13"/>
      <c r="M38" s="13"/>
      <c r="N38" s="13"/>
      <c r="O38" s="13"/>
    </row>
    <row r="39" spans="2:15">
      <c r="B39" s="18"/>
      <c r="L39" s="18"/>
      <c r="M39" s="18"/>
      <c r="N39" s="18"/>
      <c r="O39" s="18"/>
    </row>
    <row r="40" spans="2:15">
      <c r="B40" s="18"/>
      <c r="D40" s="19">
        <f>SUM(D35+D32+D29+D26+D20+D17+D14+D8)</f>
        <v>253845</v>
      </c>
      <c r="E40" s="19"/>
      <c r="L40" s="18"/>
      <c r="M40" s="18"/>
      <c r="N40" s="18"/>
      <c r="O40" s="18"/>
    </row>
    <row r="41" spans="2:15">
      <c r="B41" s="18"/>
      <c r="L41" s="18"/>
      <c r="M41" s="18"/>
      <c r="N41" s="18"/>
      <c r="O41" s="18"/>
    </row>
    <row r="42" spans="2:15">
      <c r="B42" s="18"/>
      <c r="L42" s="18"/>
      <c r="M42" s="18"/>
      <c r="N42" s="18"/>
      <c r="O42" s="18"/>
    </row>
    <row r="43" spans="2:15">
      <c r="B43" s="18"/>
      <c r="L43" s="18"/>
      <c r="M43" s="18"/>
      <c r="N43" s="18"/>
      <c r="O43" s="18"/>
    </row>
    <row r="44" spans="2:15">
      <c r="B44" s="18"/>
      <c r="L44" s="18"/>
      <c r="M44" s="18"/>
      <c r="N44" s="18"/>
      <c r="O44" s="18"/>
    </row>
    <row r="45" ht="13.5" spans="1:15">
      <c r="A45" s="2"/>
      <c r="B45" s="20"/>
      <c r="C45" s="2"/>
      <c r="D45" s="2"/>
      <c r="E45" s="2"/>
      <c r="F45" s="2"/>
      <c r="G45" s="2"/>
      <c r="H45" s="2"/>
      <c r="I45" s="2"/>
      <c r="J45" s="2"/>
      <c r="K45" s="2"/>
      <c r="L45" s="20"/>
      <c r="M45" s="20"/>
      <c r="N45" s="20"/>
      <c r="O45" s="20"/>
    </row>
    <row r="46" ht="13.5" spans="1:15">
      <c r="A46" s="5"/>
      <c r="B46" s="21" t="s">
        <v>74</v>
      </c>
      <c r="C46" s="5"/>
      <c r="E46" s="5"/>
      <c r="G46" s="5"/>
      <c r="I46" s="5"/>
      <c r="K46" s="5"/>
      <c r="L46" s="18"/>
      <c r="M46" s="38"/>
      <c r="N46" s="18"/>
      <c r="O46" s="38"/>
    </row>
    <row r="47" ht="13.5" spans="1:15">
      <c r="A47" s="22" t="s">
        <v>2</v>
      </c>
      <c r="B47" s="23" t="s">
        <v>81</v>
      </c>
      <c r="C47" s="22" t="s">
        <v>82</v>
      </c>
      <c r="D47" s="24" t="s">
        <v>4</v>
      </c>
      <c r="E47" s="25" t="s">
        <v>5</v>
      </c>
      <c r="F47" s="24" t="s">
        <v>97</v>
      </c>
      <c r="G47" s="25" t="s">
        <v>98</v>
      </c>
      <c r="H47" s="24" t="s">
        <v>99</v>
      </c>
      <c r="I47" s="25" t="s">
        <v>100</v>
      </c>
      <c r="J47" s="24" t="s">
        <v>10</v>
      </c>
      <c r="K47" s="25" t="s">
        <v>86</v>
      </c>
      <c r="L47" s="23" t="s">
        <v>12</v>
      </c>
      <c r="M47" s="39" t="s">
        <v>13</v>
      </c>
      <c r="N47" s="23" t="s">
        <v>14</v>
      </c>
      <c r="O47" s="39" t="s">
        <v>15</v>
      </c>
    </row>
    <row r="48" ht="13.5" spans="1:15">
      <c r="A48" s="5"/>
      <c r="B48" s="26"/>
      <c r="C48" s="27"/>
      <c r="E48" s="5"/>
      <c r="F48" s="28"/>
      <c r="G48" s="27"/>
      <c r="I48" s="27"/>
      <c r="J48" s="40"/>
      <c r="K48" s="27"/>
      <c r="L48" s="41"/>
      <c r="M48" s="42"/>
      <c r="N48" s="41"/>
      <c r="O48" s="42"/>
    </row>
    <row r="49" spans="1:15">
      <c r="A49" s="29" t="s">
        <v>101</v>
      </c>
      <c r="B49" s="30"/>
      <c r="C49" s="31"/>
      <c r="D49" s="32">
        <f>7*45</f>
        <v>315</v>
      </c>
      <c r="E49" s="32">
        <f>31*45</f>
        <v>1395</v>
      </c>
      <c r="F49" s="29"/>
      <c r="G49" s="33"/>
      <c r="H49" s="34"/>
      <c r="I49" s="29"/>
      <c r="J49" s="29"/>
      <c r="K49" s="29"/>
      <c r="L49" s="43"/>
      <c r="M49" s="43"/>
      <c r="N49" s="43"/>
      <c r="O49" s="43"/>
    </row>
    <row r="50" spans="1:15">
      <c r="A50" s="7"/>
      <c r="B50" s="9"/>
      <c r="C50" s="10"/>
      <c r="D50" s="15">
        <v>54.5</v>
      </c>
      <c r="E50" s="7">
        <v>41.25</v>
      </c>
      <c r="F50" s="7"/>
      <c r="G50" s="7"/>
      <c r="H50" s="7"/>
      <c r="I50" s="7"/>
      <c r="J50" s="7"/>
      <c r="K50" s="7"/>
      <c r="L50" s="13"/>
      <c r="M50" s="13"/>
      <c r="N50" s="13"/>
      <c r="O50" s="13"/>
    </row>
    <row r="51" spans="1:15">
      <c r="A51" s="7"/>
      <c r="B51" s="9"/>
      <c r="C51" s="10"/>
      <c r="D51" s="7"/>
      <c r="E51" s="7"/>
      <c r="F51" s="7"/>
      <c r="G51" s="7"/>
      <c r="H51" s="7"/>
      <c r="I51" s="7"/>
      <c r="J51" s="7"/>
      <c r="K51" s="7"/>
      <c r="L51" s="13"/>
      <c r="M51" s="13"/>
      <c r="N51" s="13"/>
      <c r="O51" s="13"/>
    </row>
    <row r="52" spans="1:15">
      <c r="A52" s="7" t="s">
        <v>102</v>
      </c>
      <c r="B52" s="9"/>
      <c r="C52" s="10"/>
      <c r="D52" s="7"/>
      <c r="E52" s="32">
        <f>88*45</f>
        <v>3960</v>
      </c>
      <c r="F52" s="7"/>
      <c r="G52" s="34"/>
      <c r="H52" s="34"/>
      <c r="I52" s="7"/>
      <c r="J52" s="7"/>
      <c r="K52" s="7"/>
      <c r="L52" s="13"/>
      <c r="M52" s="13"/>
      <c r="N52" s="13"/>
      <c r="O52" s="13"/>
    </row>
    <row r="53" spans="1:15">
      <c r="A53" s="7"/>
      <c r="B53" s="9"/>
      <c r="C53" s="10"/>
      <c r="D53" s="7"/>
      <c r="E53" s="15">
        <v>43</v>
      </c>
      <c r="F53" s="7"/>
      <c r="G53" s="15"/>
      <c r="H53" s="7"/>
      <c r="I53" s="7"/>
      <c r="J53" s="7"/>
      <c r="K53" s="7"/>
      <c r="L53" s="13"/>
      <c r="M53" s="13"/>
      <c r="N53" s="13"/>
      <c r="O53" s="13"/>
    </row>
    <row r="54" spans="1:15">
      <c r="A54" s="7"/>
      <c r="B54" s="9"/>
      <c r="C54" s="10"/>
      <c r="D54" s="7"/>
      <c r="E54" s="7"/>
      <c r="F54" s="7"/>
      <c r="G54" s="7"/>
      <c r="H54" s="7"/>
      <c r="I54" s="7"/>
      <c r="J54" s="7"/>
      <c r="K54" s="7"/>
      <c r="L54" s="13"/>
      <c r="M54" s="13"/>
      <c r="N54" s="13"/>
      <c r="O54" s="13"/>
    </row>
    <row r="55" spans="1:15">
      <c r="A55" s="7" t="s">
        <v>103</v>
      </c>
      <c r="B55" s="9">
        <f>D55+E55+F55+G55+H55+I55+J55+K55+L55+M55+N55+O55</f>
        <v>12555</v>
      </c>
      <c r="C55" s="10"/>
      <c r="D55" s="35">
        <f>238*45</f>
        <v>10710</v>
      </c>
      <c r="E55" s="35">
        <f>41*45</f>
        <v>1845</v>
      </c>
      <c r="F55" s="7"/>
      <c r="G55" s="36"/>
      <c r="H55" s="36"/>
      <c r="I55" s="7"/>
      <c r="J55" s="44"/>
      <c r="K55" s="7"/>
      <c r="L55" s="13"/>
      <c r="M55" s="13"/>
      <c r="N55" s="13"/>
      <c r="O55" s="13"/>
    </row>
    <row r="56" spans="1:15">
      <c r="A56" s="7" t="s">
        <v>104</v>
      </c>
      <c r="B56" s="9"/>
      <c r="C56" s="11">
        <f>SUM(D56:O56)</f>
        <v>63.75</v>
      </c>
      <c r="D56" s="16">
        <v>40</v>
      </c>
      <c r="E56" s="7">
        <v>23.75</v>
      </c>
      <c r="F56" s="15"/>
      <c r="G56" s="7"/>
      <c r="H56" s="15"/>
      <c r="I56" s="15"/>
      <c r="J56" s="15"/>
      <c r="K56" s="7"/>
      <c r="L56" s="16"/>
      <c r="M56" s="16"/>
      <c r="N56" s="16"/>
      <c r="O56" s="16"/>
    </row>
    <row r="57" spans="1:15">
      <c r="A57" s="7"/>
      <c r="B57" s="9"/>
      <c r="C57" s="10"/>
      <c r="D57" s="7"/>
      <c r="E57" s="7"/>
      <c r="F57" s="7"/>
      <c r="G57" s="7"/>
      <c r="H57" s="7"/>
      <c r="I57" s="7"/>
      <c r="J57" s="7"/>
      <c r="K57" s="7"/>
      <c r="L57" s="13"/>
      <c r="M57" s="13"/>
      <c r="N57" s="13"/>
      <c r="O57" s="13"/>
    </row>
    <row r="58" spans="1:15">
      <c r="A58" s="7" t="s">
        <v>105</v>
      </c>
      <c r="B58" s="9">
        <f>D58+E58+F58+G58+H58+I58+J58+K58+L58+M58+N58+O58</f>
        <v>109575</v>
      </c>
      <c r="C58" s="10"/>
      <c r="D58" s="32">
        <f>1576*45</f>
        <v>70920</v>
      </c>
      <c r="E58" s="32">
        <f>859*45</f>
        <v>38655</v>
      </c>
      <c r="F58" s="13"/>
      <c r="G58" s="34"/>
      <c r="H58" s="34"/>
      <c r="I58" s="13"/>
      <c r="J58" s="13"/>
      <c r="K58" s="13"/>
      <c r="L58" s="13"/>
      <c r="M58" s="13"/>
      <c r="N58" s="13"/>
      <c r="O58" s="13"/>
    </row>
    <row r="59" spans="1:15">
      <c r="A59" s="7"/>
      <c r="B59" s="9"/>
      <c r="C59" s="11">
        <f>SUM(D59:O59)</f>
        <v>168.42</v>
      </c>
      <c r="D59" s="15">
        <v>78.62</v>
      </c>
      <c r="E59" s="15">
        <v>89.8</v>
      </c>
      <c r="F59" s="15"/>
      <c r="G59" s="15"/>
      <c r="H59" s="15"/>
      <c r="I59" s="15"/>
      <c r="J59" s="15"/>
      <c r="K59" s="15"/>
      <c r="L59" s="16"/>
      <c r="M59" s="16"/>
      <c r="N59" s="16"/>
      <c r="O59" s="16"/>
    </row>
    <row r="60" spans="1:15">
      <c r="A60" s="7"/>
      <c r="B60" s="9"/>
      <c r="C60" s="10"/>
      <c r="D60" s="7"/>
      <c r="E60" s="7"/>
      <c r="F60" s="7"/>
      <c r="G60" s="7"/>
      <c r="H60" s="7"/>
      <c r="I60" s="7"/>
      <c r="J60" s="7"/>
      <c r="K60" s="7"/>
      <c r="L60" s="13"/>
      <c r="M60" s="13"/>
      <c r="N60" s="13"/>
      <c r="O60" s="13"/>
    </row>
    <row r="61" spans="1:15">
      <c r="A61" s="7" t="s">
        <v>106</v>
      </c>
      <c r="B61" s="9">
        <f>D61+E61+F61+G61+H61+I61+J61+K61+L61+M61+N61+O61</f>
        <v>0</v>
      </c>
      <c r="C61" s="10"/>
      <c r="D61" s="7"/>
      <c r="E61" s="7"/>
      <c r="F61" s="7"/>
      <c r="G61" s="7"/>
      <c r="H61" s="7"/>
      <c r="I61" s="7"/>
      <c r="J61" s="7"/>
      <c r="K61" s="7"/>
      <c r="L61" s="13"/>
      <c r="M61" s="13"/>
      <c r="N61" s="13"/>
      <c r="O61" s="13"/>
    </row>
    <row r="62" spans="1:15">
      <c r="A62" s="7"/>
      <c r="B62" s="9"/>
      <c r="C62" s="11">
        <f>SUM(D62:O62)</f>
        <v>0</v>
      </c>
      <c r="D62" s="15"/>
      <c r="E62" s="15"/>
      <c r="F62" s="15"/>
      <c r="G62" s="15"/>
      <c r="H62" s="15"/>
      <c r="I62" s="15"/>
      <c r="J62" s="15"/>
      <c r="K62" s="15"/>
      <c r="L62" s="16"/>
      <c r="M62" s="16"/>
      <c r="N62" s="16"/>
      <c r="O62" s="16"/>
    </row>
    <row r="63" spans="1:15">
      <c r="A63" s="7"/>
      <c r="B63" s="9"/>
      <c r="C63" s="10"/>
      <c r="D63" s="7"/>
      <c r="E63" s="7"/>
      <c r="F63" s="7"/>
      <c r="G63" s="7"/>
      <c r="H63" s="7"/>
      <c r="I63" s="7"/>
      <c r="J63" s="7"/>
      <c r="K63" s="7"/>
      <c r="L63" s="13"/>
      <c r="M63" s="13"/>
      <c r="N63" s="13"/>
      <c r="O63" s="13"/>
    </row>
    <row r="64" spans="1:15">
      <c r="A64" s="7" t="s">
        <v>107</v>
      </c>
      <c r="B64" s="9">
        <f>D64+E64+F64+G64+H64+I64+J64+K64+L64+M64+N64+O64</f>
        <v>0</v>
      </c>
      <c r="C64" s="10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7"/>
      <c r="B65" s="9"/>
      <c r="C65" s="11">
        <f>SUM(D65:O65)</f>
        <v>0</v>
      </c>
      <c r="D65" s="15"/>
      <c r="E65" s="15"/>
      <c r="F65" s="15"/>
      <c r="G65" s="15"/>
      <c r="H65" s="15"/>
      <c r="I65" s="15"/>
      <c r="J65" s="15"/>
      <c r="K65" s="15"/>
      <c r="L65" s="16"/>
      <c r="M65" s="16"/>
      <c r="N65" s="16"/>
      <c r="O65" s="16"/>
    </row>
    <row r="66" spans="1:15">
      <c r="A66" s="7"/>
      <c r="B66" s="9"/>
      <c r="C66" s="10"/>
      <c r="D66" s="7"/>
      <c r="E66" s="7"/>
      <c r="F66" s="7"/>
      <c r="G66" s="7"/>
      <c r="H66" s="7"/>
      <c r="I66" s="7"/>
      <c r="J66" s="7"/>
      <c r="K66" s="7"/>
      <c r="L66" s="13"/>
      <c r="M66" s="13"/>
      <c r="N66" s="13"/>
      <c r="O66" s="13"/>
    </row>
    <row r="67" spans="1:15">
      <c r="A67" s="7" t="s">
        <v>108</v>
      </c>
      <c r="B67" s="9">
        <f>D67+E67+F67+G67+H67+I67+J67+K67+L67+M67+N67+O67</f>
        <v>7110</v>
      </c>
      <c r="C67" s="10"/>
      <c r="D67" s="32">
        <f>101*45</f>
        <v>4545</v>
      </c>
      <c r="E67" s="32">
        <f>57*45</f>
        <v>2565</v>
      </c>
      <c r="F67" s="13"/>
      <c r="G67" s="34"/>
      <c r="H67" s="34"/>
      <c r="I67" s="13"/>
      <c r="J67" s="13"/>
      <c r="K67" s="13"/>
      <c r="L67" s="13"/>
      <c r="M67" s="13"/>
      <c r="N67" s="13"/>
      <c r="O67" s="13"/>
    </row>
    <row r="68" spans="1:15">
      <c r="A68" s="7"/>
      <c r="B68" s="9"/>
      <c r="C68" s="11">
        <f>SUM(D68:O68)</f>
        <v>115.91</v>
      </c>
      <c r="D68" s="7">
        <v>55.01</v>
      </c>
      <c r="E68" s="15">
        <v>60.9</v>
      </c>
      <c r="F68" s="15"/>
      <c r="G68" s="15"/>
      <c r="H68" s="15"/>
      <c r="I68" s="15"/>
      <c r="J68" s="15"/>
      <c r="K68" s="15"/>
      <c r="L68" s="16"/>
      <c r="M68" s="16"/>
      <c r="N68" s="16"/>
      <c r="O68" s="16"/>
    </row>
    <row r="69" spans="1:15">
      <c r="A69" s="7"/>
      <c r="B69" s="9"/>
      <c r="C69" s="10"/>
      <c r="D69" s="7"/>
      <c r="E69" s="7"/>
      <c r="F69" s="7"/>
      <c r="G69" s="7"/>
      <c r="H69" s="7"/>
      <c r="I69" s="7"/>
      <c r="J69" s="7"/>
      <c r="K69" s="7"/>
      <c r="L69" s="13"/>
      <c r="M69" s="13"/>
      <c r="N69" s="13"/>
      <c r="O69" s="13"/>
    </row>
    <row r="70" spans="1:15">
      <c r="A70" s="7" t="s">
        <v>109</v>
      </c>
      <c r="B70" s="9">
        <f>D70+E70+F70+G70+H70+I70+J70+K70+L70+M70+N70+O70</f>
        <v>99315</v>
      </c>
      <c r="C70" s="10"/>
      <c r="D70" s="12">
        <f>1798*45</f>
        <v>80910</v>
      </c>
      <c r="E70" s="12">
        <f>409*45</f>
        <v>18405</v>
      </c>
      <c r="F70" s="13"/>
      <c r="G70" s="14"/>
      <c r="H70" s="14"/>
      <c r="I70" s="13"/>
      <c r="J70" s="13"/>
      <c r="K70" s="13"/>
      <c r="L70" s="13"/>
      <c r="M70" s="13"/>
      <c r="N70" s="13"/>
      <c r="O70" s="13"/>
    </row>
    <row r="71" spans="1:15">
      <c r="A71" s="7"/>
      <c r="B71" s="9"/>
      <c r="C71" s="11">
        <f>SUM(D71:O71)</f>
        <v>148.9</v>
      </c>
      <c r="D71" s="7">
        <v>74.42</v>
      </c>
      <c r="E71" s="15">
        <v>74.48</v>
      </c>
      <c r="F71" s="15"/>
      <c r="G71" s="15"/>
      <c r="H71" s="15"/>
      <c r="I71" s="15"/>
      <c r="J71" s="15"/>
      <c r="K71" s="16"/>
      <c r="L71" s="16"/>
      <c r="M71" s="16"/>
      <c r="N71" s="16"/>
      <c r="O71" s="16"/>
    </row>
    <row r="72" spans="1:15">
      <c r="A72" s="7"/>
      <c r="B72" s="9"/>
      <c r="C72" s="11"/>
      <c r="D72" s="7"/>
      <c r="E72" s="15"/>
      <c r="F72" s="15"/>
      <c r="G72" s="15"/>
      <c r="H72" s="15"/>
      <c r="I72" s="15"/>
      <c r="J72" s="15"/>
      <c r="K72" s="16"/>
      <c r="L72" s="16"/>
      <c r="M72" s="16"/>
      <c r="N72" s="16"/>
      <c r="O72" s="16"/>
    </row>
    <row r="73" spans="1:15">
      <c r="A73" s="7" t="s">
        <v>110</v>
      </c>
      <c r="B73" s="9"/>
      <c r="C73" s="11"/>
      <c r="D73" s="12">
        <f>1*45</f>
        <v>45</v>
      </c>
      <c r="E73" s="12">
        <f>20*45</f>
        <v>900</v>
      </c>
      <c r="F73" s="15"/>
      <c r="G73" s="14"/>
      <c r="H73" s="14"/>
      <c r="I73" s="15"/>
      <c r="J73" s="15"/>
      <c r="K73" s="16"/>
      <c r="L73" s="16"/>
      <c r="M73" s="16"/>
      <c r="N73" s="16"/>
      <c r="O73" s="16"/>
    </row>
    <row r="74" spans="1:15">
      <c r="A74" s="7"/>
      <c r="B74" s="9"/>
      <c r="C74" s="11"/>
      <c r="D74" s="15">
        <v>65</v>
      </c>
      <c r="E74" s="15">
        <v>55</v>
      </c>
      <c r="F74" s="15"/>
      <c r="G74" s="15"/>
      <c r="H74" s="15"/>
      <c r="I74" s="15"/>
      <c r="J74" s="15"/>
      <c r="K74" s="16"/>
      <c r="L74" s="16"/>
      <c r="M74" s="16"/>
      <c r="N74" s="16"/>
      <c r="O74" s="16"/>
    </row>
    <row r="75" spans="1:15">
      <c r="A75" s="7"/>
      <c r="B75" s="9"/>
      <c r="C75" s="11"/>
      <c r="D75" s="7"/>
      <c r="E75" s="15"/>
      <c r="F75" s="15"/>
      <c r="G75" s="15"/>
      <c r="H75" s="15"/>
      <c r="I75" s="15"/>
      <c r="J75" s="15"/>
      <c r="K75" s="16"/>
      <c r="L75" s="16"/>
      <c r="M75" s="16"/>
      <c r="N75" s="16"/>
      <c r="O75" s="16"/>
    </row>
    <row r="76" spans="1:15">
      <c r="A76" s="7" t="s">
        <v>111</v>
      </c>
      <c r="B76" s="9">
        <f>D76+E76+F76+G76+H76+I76+J76+K76+L76+M76+N76+O76</f>
        <v>450</v>
      </c>
      <c r="C76" s="10"/>
      <c r="D76" s="32">
        <f>10*45</f>
        <v>450</v>
      </c>
      <c r="E76" s="7"/>
      <c r="F76" s="7"/>
      <c r="G76" s="7"/>
      <c r="H76" s="7"/>
      <c r="I76" s="7"/>
      <c r="J76" s="7"/>
      <c r="K76" s="13"/>
      <c r="L76" s="13"/>
      <c r="M76" s="13"/>
      <c r="N76" s="13"/>
      <c r="O76" s="13"/>
    </row>
    <row r="77" spans="1:15">
      <c r="A77" s="7"/>
      <c r="B77" s="9"/>
      <c r="C77" s="11">
        <f>SUM(D77:O77)</f>
        <v>23</v>
      </c>
      <c r="D77" s="15">
        <v>23</v>
      </c>
      <c r="E77" s="7"/>
      <c r="F77" s="7"/>
      <c r="G77" s="7"/>
      <c r="H77" s="7"/>
      <c r="I77" s="7"/>
      <c r="J77" s="7"/>
      <c r="K77" s="13"/>
      <c r="L77" s="13"/>
      <c r="M77" s="13"/>
      <c r="N77" s="13"/>
      <c r="O77" s="13"/>
    </row>
    <row r="78" spans="1:15">
      <c r="A78" s="7"/>
      <c r="B78" s="9"/>
      <c r="C78" s="10"/>
      <c r="D78" s="7"/>
      <c r="E78" s="7"/>
      <c r="F78" s="7"/>
      <c r="G78" s="7"/>
      <c r="H78" s="7"/>
      <c r="I78" s="7"/>
      <c r="J78" s="7"/>
      <c r="K78" s="13"/>
      <c r="L78" s="13"/>
      <c r="M78" s="13"/>
      <c r="N78" s="13"/>
      <c r="O78" s="13"/>
    </row>
    <row r="79" spans="1:15">
      <c r="A79" s="7"/>
      <c r="B79" s="9"/>
      <c r="C79" s="10"/>
      <c r="D79" s="7"/>
      <c r="E79" s="12"/>
      <c r="F79" s="7"/>
      <c r="G79" s="12"/>
      <c r="H79" s="7"/>
      <c r="I79" s="7"/>
      <c r="J79" s="7"/>
      <c r="K79" s="13"/>
      <c r="L79" s="13"/>
      <c r="M79" s="13"/>
      <c r="N79" s="13"/>
      <c r="O79" s="13"/>
    </row>
    <row r="80" spans="1:15">
      <c r="A80" s="7"/>
      <c r="B80" s="9"/>
      <c r="C80" s="11"/>
      <c r="D80" s="7"/>
      <c r="E80" s="7"/>
      <c r="F80" s="7"/>
      <c r="G80" s="7"/>
      <c r="H80" s="7"/>
      <c r="I80" s="7"/>
      <c r="J80" s="7"/>
      <c r="K80" s="13"/>
      <c r="L80" s="16"/>
      <c r="M80" s="16"/>
      <c r="N80" s="13"/>
      <c r="O80" s="16"/>
    </row>
    <row r="81" spans="1:15">
      <c r="A81" s="7"/>
      <c r="B81" s="9"/>
      <c r="C81" s="10"/>
      <c r="D81" s="7"/>
      <c r="E81" s="7"/>
      <c r="F81" s="7"/>
      <c r="G81" s="7"/>
      <c r="H81" s="7"/>
      <c r="I81" s="7"/>
      <c r="J81" s="7"/>
      <c r="K81" s="13"/>
      <c r="L81" s="13"/>
      <c r="M81" s="13"/>
      <c r="N81" s="13"/>
      <c r="O81" s="13"/>
    </row>
    <row r="82" spans="1:15">
      <c r="A82" s="7"/>
      <c r="B82" s="13"/>
      <c r="C82" s="7"/>
      <c r="D82" s="7"/>
      <c r="E82" s="7"/>
      <c r="F82" s="7"/>
      <c r="G82" s="7"/>
      <c r="H82" s="7"/>
      <c r="I82" s="7"/>
      <c r="J82" s="7"/>
      <c r="K82" s="13"/>
      <c r="L82" s="13"/>
      <c r="M82" s="13"/>
      <c r="N82" s="13"/>
      <c r="O82" s="13"/>
    </row>
    <row r="83" spans="2:15">
      <c r="B83" s="18"/>
      <c r="K83" s="18"/>
      <c r="L83" s="18"/>
      <c r="M83" s="18"/>
      <c r="N83" s="18"/>
      <c r="O83" s="18"/>
    </row>
    <row r="84" spans="2:15">
      <c r="B84" s="18"/>
      <c r="D84" s="19">
        <f>D49+D55+D58+D67+D70+D73+D76</f>
        <v>167895</v>
      </c>
      <c r="H84" s="221" t="s">
        <v>112</v>
      </c>
      <c r="K84" s="18"/>
      <c r="L84" s="18"/>
      <c r="M84" s="18"/>
      <c r="N84" s="18"/>
      <c r="O84" s="18"/>
    </row>
    <row r="85" spans="2:15">
      <c r="B85" s="18"/>
      <c r="K85" s="18"/>
      <c r="L85" s="18"/>
      <c r="M85" s="18"/>
      <c r="N85" s="18"/>
      <c r="O85" s="18"/>
    </row>
    <row r="86" ht="13.5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3.5" spans="1:15">
      <c r="A87" s="3"/>
      <c r="B87" s="4" t="s">
        <v>74</v>
      </c>
      <c r="C87" s="3"/>
      <c r="E87" s="3"/>
      <c r="G87" s="3"/>
      <c r="I87" s="3"/>
      <c r="K87" s="3"/>
      <c r="M87" s="3"/>
      <c r="O87" s="3"/>
    </row>
    <row r="88" ht="13.5" spans="1:15">
      <c r="A88" s="22" t="s">
        <v>2</v>
      </c>
      <c r="B88" s="24" t="s">
        <v>81</v>
      </c>
      <c r="C88" s="25" t="s">
        <v>82</v>
      </c>
      <c r="D88" s="24" t="s">
        <v>4</v>
      </c>
      <c r="E88" s="25" t="s">
        <v>83</v>
      </c>
      <c r="F88" s="24" t="s">
        <v>84</v>
      </c>
      <c r="G88" s="25" t="s">
        <v>85</v>
      </c>
      <c r="H88" s="24" t="s">
        <v>8</v>
      </c>
      <c r="I88" s="25" t="s">
        <v>9</v>
      </c>
      <c r="J88" s="24" t="s">
        <v>10</v>
      </c>
      <c r="K88" s="25" t="s">
        <v>86</v>
      </c>
      <c r="L88" s="24" t="s">
        <v>12</v>
      </c>
      <c r="M88" s="25" t="s">
        <v>13</v>
      </c>
      <c r="N88" s="24" t="s">
        <v>14</v>
      </c>
      <c r="O88" s="25" t="s">
        <v>15</v>
      </c>
    </row>
    <row r="89" ht="13.5" spans="1:15">
      <c r="A89" s="5"/>
      <c r="C89" s="6"/>
      <c r="E89" s="6"/>
      <c r="F89" s="4"/>
      <c r="G89" s="6"/>
      <c r="H89" s="4"/>
      <c r="I89" s="6"/>
      <c r="J89" s="4"/>
      <c r="K89" s="6"/>
      <c r="L89" s="4"/>
      <c r="M89" s="6"/>
      <c r="N89" s="47"/>
      <c r="O89" s="6"/>
    </row>
    <row r="90" spans="1:15">
      <c r="A90" s="7" t="s">
        <v>113</v>
      </c>
      <c r="B90" s="9">
        <f>D90+E90+F90+G90+H90+I90+J90+K90+L90+M90+N90+O90</f>
        <v>28170</v>
      </c>
      <c r="C90" s="11"/>
      <c r="D90" s="12">
        <f>335*45</f>
        <v>15075</v>
      </c>
      <c r="E90" s="12">
        <f>291*45</f>
        <v>13095</v>
      </c>
      <c r="F90" s="13"/>
      <c r="G90" s="14"/>
      <c r="H90" s="14"/>
      <c r="I90" s="13"/>
      <c r="J90" s="13"/>
      <c r="K90" s="13"/>
      <c r="L90" s="13"/>
      <c r="M90" s="13"/>
      <c r="N90" s="13"/>
      <c r="O90" s="13"/>
    </row>
    <row r="91" spans="1:15">
      <c r="A91" s="7"/>
      <c r="B91" s="9"/>
      <c r="C91" s="11">
        <f>SUM(D91:O91)</f>
        <v>157.75</v>
      </c>
      <c r="D91" s="15">
        <v>78.4</v>
      </c>
      <c r="E91" s="15">
        <v>79.35</v>
      </c>
      <c r="F91" s="15"/>
      <c r="G91" s="15"/>
      <c r="H91" s="15"/>
      <c r="I91" s="15"/>
      <c r="J91" s="15"/>
      <c r="K91" s="16"/>
      <c r="L91" s="16"/>
      <c r="M91" s="16"/>
      <c r="N91" s="16"/>
      <c r="O91" s="16"/>
    </row>
    <row r="92" spans="1:15">
      <c r="A92" s="7"/>
      <c r="B92" s="9"/>
      <c r="C92" s="10"/>
      <c r="D92" s="7"/>
      <c r="E92" s="7"/>
      <c r="F92" s="15"/>
      <c r="G92" s="7"/>
      <c r="H92" s="7"/>
      <c r="I92" s="7"/>
      <c r="J92" s="7"/>
      <c r="K92" s="13"/>
      <c r="L92" s="13"/>
      <c r="M92" s="13"/>
      <c r="N92" s="13"/>
      <c r="O92" s="13"/>
    </row>
    <row r="93" spans="1:15">
      <c r="A93" s="7" t="s">
        <v>114</v>
      </c>
      <c r="B93" s="9">
        <f>D93+E93+F93+G93+H93+I93+J93+K93+L93+M93+N93+O93</f>
        <v>0</v>
      </c>
      <c r="C93" s="10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1:15">
      <c r="A94" s="7"/>
      <c r="B94" s="9"/>
      <c r="C94" s="11">
        <f>SUM(D94:O94)</f>
        <v>0</v>
      </c>
      <c r="D94" s="15"/>
      <c r="E94" s="15"/>
      <c r="F94" s="15"/>
      <c r="G94" s="15"/>
      <c r="H94" s="15"/>
      <c r="I94" s="15"/>
      <c r="J94" s="15"/>
      <c r="K94" s="16"/>
      <c r="L94" s="16"/>
      <c r="M94" s="16"/>
      <c r="N94" s="16"/>
      <c r="O94" s="16"/>
    </row>
    <row r="95" spans="1:15">
      <c r="A95" s="7"/>
      <c r="B95" s="9"/>
      <c r="C95" s="10"/>
      <c r="D95" s="7"/>
      <c r="E95" s="7"/>
      <c r="F95" s="7"/>
      <c r="G95" s="7"/>
      <c r="H95" s="7"/>
      <c r="I95" s="7"/>
      <c r="J95" s="7"/>
      <c r="K95" s="13"/>
      <c r="L95" s="13"/>
      <c r="M95" s="13"/>
      <c r="N95" s="13"/>
      <c r="O95" s="13"/>
    </row>
    <row r="96" spans="1:15">
      <c r="A96" s="7" t="s">
        <v>115</v>
      </c>
      <c r="B96" s="9">
        <f>D96+E96+F96+G96+H96+I96+J96+K96+L96+M96+N96+O96</f>
        <v>12195</v>
      </c>
      <c r="C96" s="10"/>
      <c r="D96" s="12">
        <f>208*45</f>
        <v>9360</v>
      </c>
      <c r="E96" s="12">
        <f>63*45</f>
        <v>2835</v>
      </c>
      <c r="F96" s="13"/>
      <c r="G96" s="14"/>
      <c r="H96" s="14"/>
      <c r="I96" s="13"/>
      <c r="J96" s="13"/>
      <c r="K96" s="13"/>
      <c r="L96" s="13"/>
      <c r="M96" s="13"/>
      <c r="N96" s="13"/>
      <c r="O96" s="13"/>
    </row>
    <row r="97" spans="1:15">
      <c r="A97" s="7"/>
      <c r="B97" s="9"/>
      <c r="C97" s="11">
        <f>SUM(D97:O97)</f>
        <v>109.34</v>
      </c>
      <c r="D97" s="15">
        <v>55.34</v>
      </c>
      <c r="E97" s="15">
        <v>54</v>
      </c>
      <c r="F97" s="15"/>
      <c r="G97" s="15"/>
      <c r="H97" s="15"/>
      <c r="I97" s="15"/>
      <c r="J97" s="15"/>
      <c r="K97" s="16"/>
      <c r="L97" s="16"/>
      <c r="M97" s="16"/>
      <c r="N97" s="16"/>
      <c r="O97" s="16"/>
    </row>
    <row r="98" spans="1:15">
      <c r="A98" s="7"/>
      <c r="B98" s="9"/>
      <c r="C98" s="10"/>
      <c r="D98" s="7"/>
      <c r="E98" s="7"/>
      <c r="F98" s="7"/>
      <c r="G98" s="7"/>
      <c r="H98" s="7"/>
      <c r="I98" s="7"/>
      <c r="J98" s="7"/>
      <c r="K98" s="13"/>
      <c r="L98" s="13"/>
      <c r="M98" s="13"/>
      <c r="N98" s="13"/>
      <c r="O98" s="13"/>
    </row>
    <row r="99" spans="1:15">
      <c r="A99" s="7" t="s">
        <v>116</v>
      </c>
      <c r="B99" s="9">
        <f>D99+E99+F99+G99+H99+I99+J99+K99+L99+M99+N99+O99</f>
        <v>270</v>
      </c>
      <c r="C99" s="10"/>
      <c r="D99" s="7"/>
      <c r="E99" s="12">
        <f>6*45</f>
        <v>270</v>
      </c>
      <c r="F99" s="7"/>
      <c r="G99" s="14"/>
      <c r="H99" s="14"/>
      <c r="I99" s="13"/>
      <c r="J99" s="7"/>
      <c r="K99" s="13"/>
      <c r="L99" s="13"/>
      <c r="M99" s="13"/>
      <c r="N99" s="13"/>
      <c r="O99" s="13"/>
    </row>
    <row r="100" spans="1:15">
      <c r="A100" s="7"/>
      <c r="B100" s="9"/>
      <c r="C100" s="11">
        <f>SUM(D100:O100)</f>
        <v>56.5</v>
      </c>
      <c r="D100" s="15"/>
      <c r="E100" s="15">
        <v>56.5</v>
      </c>
      <c r="F100" s="15"/>
      <c r="G100" s="15"/>
      <c r="H100" s="15"/>
      <c r="I100" s="15"/>
      <c r="J100" s="15"/>
      <c r="K100" s="13"/>
      <c r="L100" s="16"/>
      <c r="M100" s="13"/>
      <c r="N100" s="16"/>
      <c r="O100" s="16"/>
    </row>
    <row r="101" spans="1:15">
      <c r="A101" s="7"/>
      <c r="B101" s="9"/>
      <c r="C101" s="10"/>
      <c r="D101" s="7"/>
      <c r="E101" s="7"/>
      <c r="F101" s="7"/>
      <c r="G101" s="7"/>
      <c r="H101" s="7"/>
      <c r="I101" s="7"/>
      <c r="J101" s="7"/>
      <c r="K101" s="13"/>
      <c r="L101" s="13"/>
      <c r="M101" s="13"/>
      <c r="N101" s="13"/>
      <c r="O101" s="13"/>
    </row>
    <row r="102" spans="1:15">
      <c r="A102" s="7" t="s">
        <v>117</v>
      </c>
      <c r="B102" s="9">
        <f>D102+E102+F102+G102+H102+I102+J102+K102+L102+M102+N102+O102</f>
        <v>3420</v>
      </c>
      <c r="C102" s="10"/>
      <c r="D102" s="35">
        <f>76*45</f>
        <v>3420</v>
      </c>
      <c r="E102" s="13"/>
      <c r="F102" s="13"/>
      <c r="G102" s="13"/>
      <c r="H102" s="7"/>
      <c r="I102" s="7"/>
      <c r="J102" s="13"/>
      <c r="K102" s="13"/>
      <c r="L102" s="13"/>
      <c r="M102" s="13"/>
      <c r="N102" s="13"/>
      <c r="O102" s="13"/>
    </row>
    <row r="103" spans="1:15">
      <c r="A103" s="7"/>
      <c r="B103" s="9"/>
      <c r="C103" s="11">
        <f>SUM(D103:O103)</f>
        <v>72</v>
      </c>
      <c r="D103" s="15">
        <v>72</v>
      </c>
      <c r="E103" s="16"/>
      <c r="F103" s="15"/>
      <c r="G103" s="16"/>
      <c r="H103" s="15"/>
      <c r="I103" s="7"/>
      <c r="J103" s="16"/>
      <c r="K103" s="13"/>
      <c r="L103" s="16"/>
      <c r="M103" s="16"/>
      <c r="N103" s="16"/>
      <c r="O103" s="16"/>
    </row>
    <row r="104" spans="1:15">
      <c r="A104" s="7"/>
      <c r="B104" s="9"/>
      <c r="C104" s="11"/>
      <c r="D104" s="15"/>
      <c r="E104" s="16"/>
      <c r="F104" s="15"/>
      <c r="G104" s="16"/>
      <c r="H104" s="15"/>
      <c r="I104" s="7"/>
      <c r="J104" s="16"/>
      <c r="K104" s="13"/>
      <c r="L104" s="16"/>
      <c r="M104" s="16"/>
      <c r="N104" s="16"/>
      <c r="O104" s="16"/>
    </row>
    <row r="105" spans="1:15">
      <c r="A105" s="7" t="s">
        <v>118</v>
      </c>
      <c r="B105" s="9">
        <f>D105+E105+F105+G105+H105+I105+J105+K105+L105+M105+N105+O105</f>
        <v>4455</v>
      </c>
      <c r="C105" s="10"/>
      <c r="D105" s="12">
        <f>31*45</f>
        <v>1395</v>
      </c>
      <c r="E105" s="12">
        <f>68*45</f>
        <v>3060</v>
      </c>
      <c r="F105" s="13"/>
      <c r="G105" s="14"/>
      <c r="H105" s="14"/>
      <c r="I105" s="13"/>
      <c r="J105" s="13"/>
      <c r="K105" s="13"/>
      <c r="L105" s="13"/>
      <c r="M105" s="13"/>
      <c r="N105" s="13"/>
      <c r="O105" s="16"/>
    </row>
    <row r="106" spans="1:15">
      <c r="A106" s="7"/>
      <c r="B106" s="9"/>
      <c r="C106" s="11">
        <f>SUM(D106:O106)</f>
        <v>147</v>
      </c>
      <c r="D106" s="15">
        <v>72</v>
      </c>
      <c r="E106" s="15">
        <v>75</v>
      </c>
      <c r="F106" s="15"/>
      <c r="G106" s="15"/>
      <c r="H106" s="15"/>
      <c r="I106" s="15"/>
      <c r="J106" s="15"/>
      <c r="K106" s="16"/>
      <c r="L106" s="16"/>
      <c r="M106" s="16"/>
      <c r="N106" s="13"/>
      <c r="O106" s="16"/>
    </row>
    <row r="107" spans="1:15">
      <c r="A107" s="7"/>
      <c r="B107" s="9"/>
      <c r="C107" s="10"/>
      <c r="D107" s="7"/>
      <c r="E107" s="7"/>
      <c r="F107" s="7"/>
      <c r="G107" s="7"/>
      <c r="H107" s="7"/>
      <c r="I107" s="7"/>
      <c r="J107" s="7"/>
      <c r="K107" s="13"/>
      <c r="L107" s="13"/>
      <c r="M107" s="13"/>
      <c r="N107" s="13"/>
      <c r="O107" s="16"/>
    </row>
    <row r="108" spans="1:15">
      <c r="A108" s="7" t="s">
        <v>119</v>
      </c>
      <c r="B108" s="9">
        <f>D108+E108+F108+G108+H108+I108+J108+K108+L108+M108+N108+O108</f>
        <v>722430</v>
      </c>
      <c r="C108" s="10"/>
      <c r="D108" s="35">
        <f>10020*45</f>
        <v>450900</v>
      </c>
      <c r="E108" s="35">
        <f>6034*45</f>
        <v>271530</v>
      </c>
      <c r="F108" s="13"/>
      <c r="G108" s="36"/>
      <c r="H108" s="36"/>
      <c r="I108" s="13"/>
      <c r="J108" s="13"/>
      <c r="K108" s="13"/>
      <c r="L108" s="13"/>
      <c r="M108" s="13"/>
      <c r="N108" s="13"/>
      <c r="O108" s="16"/>
    </row>
    <row r="109" spans="1:15">
      <c r="A109" s="7"/>
      <c r="B109" s="9"/>
      <c r="C109" s="11">
        <f>SUM(D109:O109)</f>
        <v>144.88</v>
      </c>
      <c r="D109" s="15">
        <v>75.71</v>
      </c>
      <c r="E109" s="15">
        <v>69.17</v>
      </c>
      <c r="F109" s="7"/>
      <c r="G109" s="15"/>
      <c r="H109" s="15"/>
      <c r="I109" s="15"/>
      <c r="J109" s="15"/>
      <c r="K109" s="16"/>
      <c r="L109" s="16"/>
      <c r="M109" s="16"/>
      <c r="N109" s="16"/>
      <c r="O109" s="16"/>
    </row>
    <row r="110" spans="1:15">
      <c r="A110" s="7"/>
      <c r="B110" s="9"/>
      <c r="C110" s="10"/>
      <c r="D110" s="7"/>
      <c r="E110" s="7"/>
      <c r="F110" s="7"/>
      <c r="G110" s="7"/>
      <c r="H110" s="7"/>
      <c r="I110" s="7"/>
      <c r="J110" s="7"/>
      <c r="K110" s="13"/>
      <c r="L110" s="13"/>
      <c r="M110" s="13"/>
      <c r="N110" s="13"/>
      <c r="O110" s="16"/>
    </row>
    <row r="111" spans="1:15">
      <c r="A111" s="7" t="s">
        <v>120</v>
      </c>
      <c r="B111" s="9">
        <f>D111+E111+F111+G111+H111+I111+J111+K111+L111+M111+N111+O111</f>
        <v>945</v>
      </c>
      <c r="C111" s="10"/>
      <c r="D111" s="35">
        <f>12*45</f>
        <v>540</v>
      </c>
      <c r="E111" s="35">
        <f>9*45</f>
        <v>405</v>
      </c>
      <c r="F111" s="13"/>
      <c r="G111" s="36"/>
      <c r="H111" s="36"/>
      <c r="I111" s="13"/>
      <c r="J111" s="13"/>
      <c r="K111" s="13"/>
      <c r="L111" s="13"/>
      <c r="M111" s="13"/>
      <c r="N111" s="13"/>
      <c r="O111" s="16"/>
    </row>
    <row r="112" spans="1:15">
      <c r="A112" s="7"/>
      <c r="B112" s="9"/>
      <c r="C112" s="11">
        <f>SUM(D112:O112)</f>
        <v>119.67</v>
      </c>
      <c r="D112" s="15">
        <v>58</v>
      </c>
      <c r="E112" s="15">
        <v>61.67</v>
      </c>
      <c r="F112" s="15"/>
      <c r="G112" s="15"/>
      <c r="H112" s="15"/>
      <c r="I112" s="15"/>
      <c r="J112" s="15"/>
      <c r="K112" s="16"/>
      <c r="L112" s="16"/>
      <c r="M112" s="16"/>
      <c r="N112" s="16"/>
      <c r="O112" s="16"/>
    </row>
    <row r="113" spans="1:15">
      <c r="A113" s="7"/>
      <c r="B113" s="9"/>
      <c r="C113" s="10"/>
      <c r="D113" s="7"/>
      <c r="E113" s="7"/>
      <c r="F113" s="7"/>
      <c r="G113" s="7"/>
      <c r="H113" s="7"/>
      <c r="I113" s="7"/>
      <c r="J113" s="7"/>
      <c r="K113" s="13"/>
      <c r="L113" s="13"/>
      <c r="M113" s="13"/>
      <c r="N113" s="13"/>
      <c r="O113" s="16"/>
    </row>
    <row r="114" spans="1:15">
      <c r="A114" s="7" t="s">
        <v>121</v>
      </c>
      <c r="B114" s="9">
        <f>D114+E114+F114+G114+H114+I114+J114+K114+L114+M114+N114+O114</f>
        <v>59220</v>
      </c>
      <c r="C114" s="10"/>
      <c r="D114" s="12">
        <f>634*45</f>
        <v>28530</v>
      </c>
      <c r="E114" s="12">
        <f>682*45</f>
        <v>30690</v>
      </c>
      <c r="F114" s="13"/>
      <c r="G114" s="14"/>
      <c r="H114" s="14"/>
      <c r="I114" s="13"/>
      <c r="J114" s="13"/>
      <c r="K114" s="13"/>
      <c r="L114" s="13"/>
      <c r="M114" s="13"/>
      <c r="N114" s="13"/>
      <c r="O114" s="16"/>
    </row>
    <row r="115" spans="1:15">
      <c r="A115" s="7"/>
      <c r="B115" s="9"/>
      <c r="C115" s="11">
        <f>SUM(D115:O115)</f>
        <v>135.16</v>
      </c>
      <c r="D115" s="15">
        <v>69.33</v>
      </c>
      <c r="E115" s="15">
        <v>65.83</v>
      </c>
      <c r="F115" s="15"/>
      <c r="G115" s="15"/>
      <c r="H115" s="15"/>
      <c r="I115" s="15"/>
      <c r="J115" s="15"/>
      <c r="K115" s="16"/>
      <c r="L115" s="16"/>
      <c r="M115" s="16"/>
      <c r="N115" s="16"/>
      <c r="O115" s="16"/>
    </row>
    <row r="116" spans="1:15">
      <c r="A116" s="7"/>
      <c r="B116" s="9"/>
      <c r="C116" s="10"/>
      <c r="D116" s="7"/>
      <c r="E116" s="7"/>
      <c r="F116" s="7"/>
      <c r="G116" s="7"/>
      <c r="H116" s="7"/>
      <c r="I116" s="7"/>
      <c r="J116" s="7"/>
      <c r="K116" s="13"/>
      <c r="L116" s="13"/>
      <c r="M116" s="13"/>
      <c r="N116" s="13"/>
      <c r="O116" s="16"/>
    </row>
    <row r="117" spans="2:15">
      <c r="B117" s="18"/>
      <c r="C117" s="45"/>
      <c r="D117" s="45"/>
      <c r="F117" s="45"/>
      <c r="H117" s="45"/>
      <c r="K117" s="18"/>
      <c r="L117" s="48"/>
      <c r="M117" s="48"/>
      <c r="N117" s="48"/>
      <c r="O117" s="48"/>
    </row>
    <row r="118" spans="2:15">
      <c r="B118" s="18"/>
      <c r="C118" s="45"/>
      <c r="D118" s="18">
        <f>SUM(D90+D96+D102+D105+D108+D111+D114)</f>
        <v>509220</v>
      </c>
      <c r="F118" s="45"/>
      <c r="H118" s="222" t="s">
        <v>122</v>
      </c>
      <c r="K118" s="18"/>
      <c r="L118" s="48"/>
      <c r="M118" s="48"/>
      <c r="N118" s="48"/>
      <c r="O118" s="48"/>
    </row>
    <row r="119" spans="2:15">
      <c r="B119" s="18"/>
      <c r="C119" s="45"/>
      <c r="D119" s="45"/>
      <c r="F119" s="45"/>
      <c r="H119" s="45"/>
      <c r="K119" s="18"/>
      <c r="L119" s="48"/>
      <c r="M119" s="48"/>
      <c r="N119" s="48"/>
      <c r="O119" s="48"/>
    </row>
    <row r="120" spans="2:15">
      <c r="B120" s="18"/>
      <c r="C120" s="45"/>
      <c r="D120" s="45"/>
      <c r="F120" s="45"/>
      <c r="H120" s="45"/>
      <c r="K120" s="18"/>
      <c r="L120" s="48"/>
      <c r="M120" s="48"/>
      <c r="N120" s="48"/>
      <c r="O120" s="48"/>
    </row>
    <row r="121" spans="2:15">
      <c r="B121" s="18"/>
      <c r="C121" s="45"/>
      <c r="D121" s="45"/>
      <c r="F121" s="45"/>
      <c r="H121" s="45"/>
      <c r="K121" s="18"/>
      <c r="L121" s="48"/>
      <c r="M121" s="48"/>
      <c r="N121" s="48"/>
      <c r="O121" s="48"/>
    </row>
    <row r="122" spans="2:15">
      <c r="B122" s="18"/>
      <c r="C122" s="45"/>
      <c r="D122" s="45"/>
      <c r="F122" s="45"/>
      <c r="H122" s="45"/>
      <c r="K122" s="18"/>
      <c r="L122" s="48"/>
      <c r="M122" s="48"/>
      <c r="N122" s="48"/>
      <c r="O122" s="48"/>
    </row>
    <row r="127" ht="13.5" spans="1: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3.5" spans="1:15">
      <c r="A128" s="5"/>
      <c r="B128" s="4" t="s">
        <v>74</v>
      </c>
      <c r="C128" s="5"/>
      <c r="E128" s="5"/>
      <c r="G128" s="5"/>
      <c r="I128" s="5"/>
      <c r="K128" s="5"/>
      <c r="M128" s="5"/>
      <c r="O128" s="5"/>
    </row>
    <row r="129" ht="13.5" spans="1:15">
      <c r="A129" s="22" t="s">
        <v>2</v>
      </c>
      <c r="B129" s="24" t="s">
        <v>81</v>
      </c>
      <c r="C129" s="25" t="s">
        <v>82</v>
      </c>
      <c r="D129" s="24" t="s">
        <v>4</v>
      </c>
      <c r="E129" s="25" t="s">
        <v>5</v>
      </c>
      <c r="F129" s="24" t="s">
        <v>84</v>
      </c>
      <c r="G129" s="25" t="s">
        <v>85</v>
      </c>
      <c r="H129" s="24" t="s">
        <v>8</v>
      </c>
      <c r="I129" s="25" t="s">
        <v>9</v>
      </c>
      <c r="J129" s="24" t="s">
        <v>10</v>
      </c>
      <c r="K129" s="25" t="s">
        <v>86</v>
      </c>
      <c r="L129" s="24" t="s">
        <v>12</v>
      </c>
      <c r="M129" s="25" t="s">
        <v>13</v>
      </c>
      <c r="N129" s="24" t="s">
        <v>14</v>
      </c>
      <c r="O129" s="25" t="s">
        <v>15</v>
      </c>
    </row>
    <row r="130" ht="13.5" spans="1:15">
      <c r="A130" s="5"/>
      <c r="C130" s="6"/>
      <c r="E130" s="6"/>
      <c r="F130" s="4"/>
      <c r="G130" s="6"/>
      <c r="H130" s="4"/>
      <c r="I130" s="6"/>
      <c r="J130" s="4"/>
      <c r="K130" s="6"/>
      <c r="L130" s="4"/>
      <c r="M130" s="6"/>
      <c r="N130" s="47"/>
      <c r="O130" s="6"/>
    </row>
    <row r="131" spans="1:15">
      <c r="A131" s="7" t="s">
        <v>123</v>
      </c>
      <c r="B131" s="9">
        <f>D131+E131+F131+G131+H131+I131+J131+K131+L131+M131+N131+O131</f>
        <v>6030</v>
      </c>
      <c r="C131" s="10"/>
      <c r="D131" s="12">
        <f>80*45</f>
        <v>3600</v>
      </c>
      <c r="E131" s="35">
        <f>54*45</f>
        <v>2430</v>
      </c>
      <c r="F131" s="13"/>
      <c r="G131" s="36"/>
      <c r="H131" s="36"/>
      <c r="I131" s="13"/>
      <c r="J131" s="13"/>
      <c r="K131" s="13"/>
      <c r="L131" s="13"/>
      <c r="M131" s="13"/>
      <c r="N131" s="13"/>
      <c r="O131" s="13"/>
    </row>
    <row r="132" spans="1:15">
      <c r="A132" s="7"/>
      <c r="B132" s="9"/>
      <c r="C132" s="11">
        <f>SUM(D132:O132)</f>
        <v>489.28</v>
      </c>
      <c r="D132" s="15">
        <v>265.28</v>
      </c>
      <c r="E132" s="15">
        <v>224</v>
      </c>
      <c r="F132" s="15"/>
      <c r="G132" s="15"/>
      <c r="H132" s="15"/>
      <c r="I132" s="15"/>
      <c r="J132" s="15"/>
      <c r="K132" s="16"/>
      <c r="L132" s="16"/>
      <c r="M132" s="16"/>
      <c r="N132" s="16"/>
      <c r="O132" s="16"/>
    </row>
    <row r="133" spans="1:15">
      <c r="A133" s="7"/>
      <c r="B133" s="9"/>
      <c r="C133" s="10"/>
      <c r="D133" s="7"/>
      <c r="E133" s="7"/>
      <c r="F133" s="7"/>
      <c r="G133" s="7"/>
      <c r="H133" s="7"/>
      <c r="I133" s="7"/>
      <c r="J133" s="7"/>
      <c r="K133" s="13"/>
      <c r="L133" s="13"/>
      <c r="M133" s="13"/>
      <c r="N133" s="13"/>
      <c r="O133" s="13"/>
    </row>
    <row r="134" spans="1:15">
      <c r="A134" s="7" t="s">
        <v>124</v>
      </c>
      <c r="B134" s="9">
        <f>D134+E134+F134+G134+H134+I134+J134+K134+L134+M134+N134+O134</f>
        <v>11565</v>
      </c>
      <c r="C134" s="10"/>
      <c r="D134" s="35">
        <f>49*45</f>
        <v>2205</v>
      </c>
      <c r="E134" s="35">
        <f>208*45</f>
        <v>9360</v>
      </c>
      <c r="F134" s="13"/>
      <c r="G134" s="36"/>
      <c r="H134" s="36"/>
      <c r="I134" s="13"/>
      <c r="J134" s="13"/>
      <c r="K134" s="13"/>
      <c r="L134" s="13"/>
      <c r="M134" s="13"/>
      <c r="N134" s="13"/>
      <c r="O134" s="13"/>
    </row>
    <row r="135" spans="1:15">
      <c r="A135" s="7"/>
      <c r="B135" s="9"/>
      <c r="C135" s="11">
        <f>SUM(D135:O135)</f>
        <v>180.53</v>
      </c>
      <c r="D135" s="15">
        <v>73.75</v>
      </c>
      <c r="E135" s="15">
        <v>106.78</v>
      </c>
      <c r="F135" s="15"/>
      <c r="G135" s="15"/>
      <c r="H135" s="15"/>
      <c r="I135" s="15"/>
      <c r="J135" s="15"/>
      <c r="K135" s="50"/>
      <c r="L135" s="50"/>
      <c r="M135" s="50"/>
      <c r="N135" s="50"/>
      <c r="O135" s="50"/>
    </row>
    <row r="136" spans="1:15">
      <c r="A136" s="7"/>
      <c r="B136" s="9"/>
      <c r="C136" s="11"/>
      <c r="D136" s="15"/>
      <c r="E136" s="15"/>
      <c r="F136" s="15"/>
      <c r="G136" s="15"/>
      <c r="H136" s="15"/>
      <c r="I136" s="15"/>
      <c r="J136" s="15"/>
      <c r="K136" s="50"/>
      <c r="L136" s="50"/>
      <c r="M136" s="50"/>
      <c r="N136" s="50"/>
      <c r="O136" s="50"/>
    </row>
    <row r="137" spans="1:15">
      <c r="A137" s="7" t="s">
        <v>125</v>
      </c>
      <c r="B137" s="9">
        <f>D137+E137+F137+G137+H137+I137+J137+K137+L137+M137+N137+O137</f>
        <v>2700</v>
      </c>
      <c r="C137" s="10"/>
      <c r="D137" s="35">
        <f>29*45</f>
        <v>1305</v>
      </c>
      <c r="E137" s="35">
        <f>31*45</f>
        <v>1395</v>
      </c>
      <c r="F137" s="13"/>
      <c r="G137" s="36"/>
      <c r="H137" s="36"/>
      <c r="I137" s="7"/>
      <c r="J137" s="7"/>
      <c r="K137" s="13"/>
      <c r="L137" s="13"/>
      <c r="M137" s="13"/>
      <c r="N137" s="13"/>
      <c r="O137" s="50"/>
    </row>
    <row r="138" spans="1:15">
      <c r="A138" s="7"/>
      <c r="B138" s="9"/>
      <c r="C138" s="11">
        <f>SUM(D138:O138)</f>
        <v>182.14</v>
      </c>
      <c r="D138" s="15">
        <v>85.39</v>
      </c>
      <c r="E138" s="15">
        <v>96.75</v>
      </c>
      <c r="F138" s="15"/>
      <c r="G138" s="15"/>
      <c r="H138" s="15"/>
      <c r="I138" s="15"/>
      <c r="J138" s="15"/>
      <c r="K138" s="16"/>
      <c r="L138" s="16"/>
      <c r="M138" s="16"/>
      <c r="N138" s="16"/>
      <c r="O138" s="50"/>
    </row>
    <row r="139" spans="1:15">
      <c r="A139" s="7"/>
      <c r="B139" s="9"/>
      <c r="C139" s="10"/>
      <c r="D139" s="7"/>
      <c r="E139" s="7"/>
      <c r="F139" s="7"/>
      <c r="G139" s="7"/>
      <c r="H139" s="7"/>
      <c r="I139" s="7"/>
      <c r="J139" s="7"/>
      <c r="K139" s="13"/>
      <c r="L139" s="13"/>
      <c r="M139" s="13"/>
      <c r="N139" s="13"/>
      <c r="O139" s="50"/>
    </row>
    <row r="140" spans="1:15">
      <c r="A140" s="7" t="s">
        <v>126</v>
      </c>
      <c r="B140" s="9">
        <f>D140+E140+F140+G140+H140+I140+J140+K140+L140+M140+N140+O140</f>
        <v>38475</v>
      </c>
      <c r="C140" s="10"/>
      <c r="D140" s="35">
        <f>388*45</f>
        <v>17460</v>
      </c>
      <c r="E140" s="35">
        <f>467*45</f>
        <v>21015</v>
      </c>
      <c r="F140" s="13"/>
      <c r="G140" s="36"/>
      <c r="H140" s="36"/>
      <c r="I140" s="13"/>
      <c r="J140" s="13"/>
      <c r="K140" s="13"/>
      <c r="L140" s="13"/>
      <c r="M140" s="13"/>
      <c r="N140" s="13"/>
      <c r="O140" s="50"/>
    </row>
    <row r="141" spans="1:15">
      <c r="A141" s="7"/>
      <c r="B141" s="9"/>
      <c r="C141" s="11">
        <f>SUM(D141:O141)</f>
        <v>109.53</v>
      </c>
      <c r="D141" s="15">
        <v>56.39</v>
      </c>
      <c r="E141" s="15">
        <v>53.14</v>
      </c>
      <c r="F141" s="15"/>
      <c r="G141" s="15"/>
      <c r="H141" s="15"/>
      <c r="I141" s="15"/>
      <c r="J141" s="15"/>
      <c r="K141" s="16"/>
      <c r="L141" s="16"/>
      <c r="M141" s="16"/>
      <c r="N141" s="16"/>
      <c r="O141" s="50"/>
    </row>
    <row r="142" spans="1:15">
      <c r="A142" s="7"/>
      <c r="B142" s="9"/>
      <c r="C142" s="10"/>
      <c r="D142" s="7"/>
      <c r="E142" s="7"/>
      <c r="F142" s="7"/>
      <c r="G142" s="7"/>
      <c r="H142" s="7"/>
      <c r="I142" s="7"/>
      <c r="J142" s="7"/>
      <c r="K142" s="13"/>
      <c r="L142" s="13"/>
      <c r="M142" s="13"/>
      <c r="N142" s="13"/>
      <c r="O142" s="50"/>
    </row>
    <row r="143" spans="1:15">
      <c r="A143" s="7" t="s">
        <v>127</v>
      </c>
      <c r="B143" s="9">
        <f>D143+E143+F143+G143+H143+I143+J143+K143+L143+M143+N143+O143</f>
        <v>40725</v>
      </c>
      <c r="C143" s="10"/>
      <c r="D143" s="12">
        <f>498*45</f>
        <v>22410</v>
      </c>
      <c r="E143" s="12">
        <f>407*45</f>
        <v>18315</v>
      </c>
      <c r="F143" s="13"/>
      <c r="G143" s="14"/>
      <c r="H143" s="14"/>
      <c r="I143" s="13"/>
      <c r="J143" s="13"/>
      <c r="K143" s="13"/>
      <c r="L143" s="13"/>
      <c r="M143" s="13"/>
      <c r="N143" s="13"/>
      <c r="O143" s="50"/>
    </row>
    <row r="144" spans="1:15">
      <c r="A144" s="7"/>
      <c r="B144" s="9"/>
      <c r="C144" s="11">
        <f>SUM(D144:O144)</f>
        <v>167.57</v>
      </c>
      <c r="D144" s="15">
        <v>77.62</v>
      </c>
      <c r="E144" s="15">
        <v>89.95</v>
      </c>
      <c r="F144" s="15"/>
      <c r="G144" s="15"/>
      <c r="H144" s="15"/>
      <c r="I144" s="15"/>
      <c r="J144" s="15"/>
      <c r="K144" s="16"/>
      <c r="L144" s="16"/>
      <c r="M144" s="16"/>
      <c r="N144" s="16"/>
      <c r="O144" s="50"/>
    </row>
    <row r="145" spans="1:15">
      <c r="A145" s="7"/>
      <c r="B145" s="9"/>
      <c r="C145" s="10"/>
      <c r="D145" s="7"/>
      <c r="E145" s="7"/>
      <c r="F145" s="7"/>
      <c r="G145" s="7"/>
      <c r="H145" s="7"/>
      <c r="I145" s="7"/>
      <c r="J145" s="7"/>
      <c r="K145" s="13"/>
      <c r="L145" s="13"/>
      <c r="M145" s="13"/>
      <c r="N145" s="13"/>
      <c r="O145" s="50"/>
    </row>
    <row r="146" spans="1:15">
      <c r="A146" s="7" t="s">
        <v>128</v>
      </c>
      <c r="B146" s="9">
        <f>D146+E146+F146+G146+H146+I146+J146+K146+L146+M146+N146+O146</f>
        <v>0</v>
      </c>
      <c r="C146" s="10"/>
      <c r="D146" s="7"/>
      <c r="E146" s="7"/>
      <c r="F146" s="7"/>
      <c r="G146" s="7"/>
      <c r="H146" s="7"/>
      <c r="I146" s="7"/>
      <c r="J146" s="7"/>
      <c r="K146" s="13"/>
      <c r="L146" s="13"/>
      <c r="M146" s="13"/>
      <c r="N146" s="13"/>
      <c r="O146" s="50"/>
    </row>
    <row r="147" spans="1:15">
      <c r="A147" s="7"/>
      <c r="B147" s="9"/>
      <c r="C147" s="11">
        <f>SUM(D147:O147)</f>
        <v>0</v>
      </c>
      <c r="D147" s="15"/>
      <c r="E147" s="7"/>
      <c r="F147" s="7"/>
      <c r="G147" s="7"/>
      <c r="H147" s="7"/>
      <c r="I147" s="7"/>
      <c r="J147" s="7"/>
      <c r="K147" s="13"/>
      <c r="L147" s="13"/>
      <c r="M147" s="13"/>
      <c r="N147" s="16"/>
      <c r="O147" s="50"/>
    </row>
    <row r="148" spans="1:15">
      <c r="A148" s="7"/>
      <c r="B148" s="9"/>
      <c r="C148" s="10"/>
      <c r="D148" s="7"/>
      <c r="E148" s="7"/>
      <c r="F148" s="7"/>
      <c r="G148" s="7"/>
      <c r="H148" s="7"/>
      <c r="I148" s="7"/>
      <c r="J148" s="7"/>
      <c r="K148" s="13"/>
      <c r="L148" s="13"/>
      <c r="M148" s="13"/>
      <c r="N148" s="13"/>
      <c r="O148" s="50"/>
    </row>
    <row r="149" spans="1:15">
      <c r="A149" s="7" t="s">
        <v>129</v>
      </c>
      <c r="B149" s="9">
        <f>D149+E149+F149+G149+H149+I149+J149+K149+L149+M149+N149+O149</f>
        <v>3195</v>
      </c>
      <c r="C149" s="10"/>
      <c r="D149" s="12">
        <f>25*45</f>
        <v>1125</v>
      </c>
      <c r="E149" s="12">
        <f>46*45</f>
        <v>2070</v>
      </c>
      <c r="F149" s="13"/>
      <c r="G149" s="14"/>
      <c r="H149" s="14"/>
      <c r="I149" s="13"/>
      <c r="J149" s="13"/>
      <c r="K149" s="13"/>
      <c r="L149" s="13"/>
      <c r="M149" s="13"/>
      <c r="N149" s="13"/>
      <c r="O149" s="50"/>
    </row>
    <row r="150" spans="1:15">
      <c r="A150" s="7"/>
      <c r="B150" s="9"/>
      <c r="C150" s="11">
        <f>SUM(D150:O150)</f>
        <v>137.63</v>
      </c>
      <c r="D150" s="15">
        <v>65.13</v>
      </c>
      <c r="E150" s="15">
        <v>72.5</v>
      </c>
      <c r="F150" s="15"/>
      <c r="G150" s="15"/>
      <c r="H150" s="15"/>
      <c r="I150" s="15"/>
      <c r="J150" s="15"/>
      <c r="K150" s="50"/>
      <c r="L150" s="50"/>
      <c r="M150" s="50"/>
      <c r="N150" s="50"/>
      <c r="O150" s="50"/>
    </row>
    <row r="151" spans="1:15">
      <c r="A151" s="7"/>
      <c r="B151" s="9"/>
      <c r="C151" s="10"/>
      <c r="D151" s="7"/>
      <c r="E151" s="7"/>
      <c r="F151" s="7"/>
      <c r="G151" s="7"/>
      <c r="H151" s="7"/>
      <c r="I151" s="7"/>
      <c r="J151" s="7"/>
      <c r="K151" s="13"/>
      <c r="L151" s="13"/>
      <c r="M151" s="13"/>
      <c r="N151" s="13"/>
      <c r="O151" s="50"/>
    </row>
    <row r="152" spans="1:15">
      <c r="A152" s="7" t="s">
        <v>130</v>
      </c>
      <c r="B152" s="9">
        <f>D152+E152+F152+G152+H152+I152+J152+K152+L152+M152+N152+O152</f>
        <v>12150</v>
      </c>
      <c r="C152" s="11"/>
      <c r="D152" s="12">
        <f>114*45</f>
        <v>5130</v>
      </c>
      <c r="E152" s="12">
        <f>156*45</f>
        <v>7020</v>
      </c>
      <c r="F152" s="13"/>
      <c r="G152" s="14"/>
      <c r="H152" s="14"/>
      <c r="I152" s="13"/>
      <c r="J152" s="13"/>
      <c r="K152" s="13"/>
      <c r="L152" s="13"/>
      <c r="M152" s="13"/>
      <c r="N152" s="13"/>
      <c r="O152" s="50"/>
    </row>
    <row r="153" spans="1:15">
      <c r="A153" s="7"/>
      <c r="B153" s="9"/>
      <c r="C153" s="11">
        <f>SUM(D153:O153)</f>
        <v>362.47</v>
      </c>
      <c r="D153" s="15">
        <v>182.35</v>
      </c>
      <c r="E153" s="15">
        <v>180.12</v>
      </c>
      <c r="F153" s="15"/>
      <c r="G153" s="15"/>
      <c r="H153" s="15"/>
      <c r="I153" s="15"/>
      <c r="J153" s="15"/>
      <c r="K153" s="50"/>
      <c r="L153" s="50"/>
      <c r="M153" s="50"/>
      <c r="N153" s="50"/>
      <c r="O153" s="50"/>
    </row>
    <row r="154" spans="1:15">
      <c r="A154" s="7"/>
      <c r="B154" s="9"/>
      <c r="C154" s="11"/>
      <c r="D154" s="15"/>
      <c r="E154" s="15"/>
      <c r="F154" s="15"/>
      <c r="G154" s="7"/>
      <c r="H154" s="7"/>
      <c r="I154" s="7"/>
      <c r="J154" s="7"/>
      <c r="K154" s="13"/>
      <c r="L154" s="13"/>
      <c r="M154" s="13"/>
      <c r="N154" s="13"/>
      <c r="O154" s="50"/>
    </row>
    <row r="155" spans="1:15">
      <c r="A155" s="7" t="s">
        <v>131</v>
      </c>
      <c r="B155" s="9">
        <f>D155+E155+F155+G155+H155+I155+J155+K155+L155+M155+N155+O155</f>
        <v>405</v>
      </c>
      <c r="C155" s="10"/>
      <c r="D155" s="15"/>
      <c r="E155" s="12">
        <f>9*45</f>
        <v>405</v>
      </c>
      <c r="F155" s="7"/>
      <c r="G155" s="14"/>
      <c r="H155" s="14"/>
      <c r="I155" s="7"/>
      <c r="J155" s="7"/>
      <c r="K155" s="13"/>
      <c r="L155" s="13"/>
      <c r="M155" s="13"/>
      <c r="N155" s="13"/>
      <c r="O155" s="50"/>
    </row>
    <row r="156" spans="1:15">
      <c r="A156" s="7"/>
      <c r="B156" s="9"/>
      <c r="C156" s="11">
        <f>SUM(D156:O156)</f>
        <v>102.5</v>
      </c>
      <c r="D156" s="15"/>
      <c r="E156" s="15">
        <v>102.5</v>
      </c>
      <c r="F156" s="7"/>
      <c r="G156" s="15"/>
      <c r="H156" s="15"/>
      <c r="I156" s="15"/>
      <c r="J156" s="15"/>
      <c r="K156" s="50"/>
      <c r="L156" s="50"/>
      <c r="M156" s="50"/>
      <c r="N156" s="50"/>
      <c r="O156" s="16"/>
    </row>
    <row r="157" spans="1:15">
      <c r="A157" s="7"/>
      <c r="B157" s="9"/>
      <c r="C157" s="11"/>
      <c r="D157" s="15"/>
      <c r="E157" s="15"/>
      <c r="F157" s="7"/>
      <c r="G157" s="15"/>
      <c r="H157" s="15"/>
      <c r="I157" s="15"/>
      <c r="J157" s="15"/>
      <c r="K157" s="50"/>
      <c r="L157" s="50"/>
      <c r="M157" s="50"/>
      <c r="N157" s="50"/>
      <c r="O157" s="16"/>
    </row>
    <row r="158" spans="1:15">
      <c r="A158" s="7" t="s">
        <v>132</v>
      </c>
      <c r="B158" s="9">
        <f>D158+E158+F158+G158+H158+I158+J158+K158+L158+M158+N158+O158</f>
        <v>3375</v>
      </c>
      <c r="C158" s="10"/>
      <c r="D158" s="12">
        <f>75*45</f>
        <v>3375</v>
      </c>
      <c r="E158" s="12"/>
      <c r="F158" s="7"/>
      <c r="G158" s="14"/>
      <c r="H158" s="14"/>
      <c r="I158" s="7"/>
      <c r="J158" s="7"/>
      <c r="K158" s="13"/>
      <c r="L158" s="13"/>
      <c r="M158" s="13"/>
      <c r="N158" s="13"/>
      <c r="O158" s="50"/>
    </row>
    <row r="159" spans="1:15">
      <c r="A159" s="7"/>
      <c r="B159" s="9"/>
      <c r="C159" s="11">
        <f>SUM(D159:O159)</f>
        <v>35</v>
      </c>
      <c r="D159" s="15">
        <v>35</v>
      </c>
      <c r="E159" s="15"/>
      <c r="F159" s="7"/>
      <c r="G159" s="15"/>
      <c r="H159" s="15"/>
      <c r="I159" s="15"/>
      <c r="J159" s="15"/>
      <c r="K159" s="50"/>
      <c r="L159" s="50"/>
      <c r="M159" s="50"/>
      <c r="N159" s="50"/>
      <c r="O159" s="16"/>
    </row>
    <row r="160" spans="1:15">
      <c r="A160" s="7"/>
      <c r="B160" s="13"/>
      <c r="C160" s="15"/>
      <c r="D160" s="7"/>
      <c r="E160" s="15"/>
      <c r="F160" s="7"/>
      <c r="G160" s="15"/>
      <c r="H160" s="15"/>
      <c r="I160" s="15"/>
      <c r="J160" s="15"/>
      <c r="K160" s="50"/>
      <c r="L160" s="50"/>
      <c r="M160" s="50"/>
      <c r="N160" s="50"/>
      <c r="O160" s="13"/>
    </row>
    <row r="161" spans="2:15">
      <c r="B161" s="18"/>
      <c r="K161" s="18"/>
      <c r="L161" s="18"/>
      <c r="M161" s="18"/>
      <c r="N161" s="18"/>
      <c r="O161" s="18"/>
    </row>
    <row r="162" spans="2:15">
      <c r="B162" s="18"/>
      <c r="D162" s="49">
        <f>SUM(D131+D134+D137+D140+D143+D149+D152+D158)</f>
        <v>56610</v>
      </c>
      <c r="H162" s="221" t="s">
        <v>133</v>
      </c>
      <c r="K162" s="18"/>
      <c r="L162" s="18"/>
      <c r="M162" s="18"/>
      <c r="N162" s="18"/>
      <c r="O162" s="18"/>
    </row>
    <row r="163" spans="2:15">
      <c r="B163" s="18"/>
      <c r="H163" s="4"/>
      <c r="K163" s="18"/>
      <c r="L163" s="18"/>
      <c r="M163" s="18"/>
      <c r="N163" s="18"/>
      <c r="O163" s="18"/>
    </row>
    <row r="164" spans="2:15">
      <c r="B164" s="18"/>
      <c r="H164" s="4"/>
      <c r="K164" s="18"/>
      <c r="L164" s="18"/>
      <c r="M164" s="18"/>
      <c r="N164" s="18"/>
      <c r="O164" s="18"/>
    </row>
    <row r="165" spans="2:15">
      <c r="B165" s="18"/>
      <c r="H165" s="4"/>
      <c r="K165" s="18"/>
      <c r="L165" s="18"/>
      <c r="M165" s="18"/>
      <c r="N165" s="18"/>
      <c r="O165" s="18"/>
    </row>
    <row r="166" spans="2:15">
      <c r="B166" s="18"/>
      <c r="H166" s="4"/>
      <c r="K166" s="18"/>
      <c r="L166" s="18"/>
      <c r="M166" s="18"/>
      <c r="N166" s="18"/>
      <c r="O166" s="18"/>
    </row>
    <row r="167" spans="2:15">
      <c r="B167" s="18"/>
      <c r="K167" s="18"/>
      <c r="L167" s="18"/>
      <c r="M167" s="18"/>
      <c r="N167" s="18"/>
      <c r="O167" s="18"/>
    </row>
    <row r="168" spans="2:15">
      <c r="B168" s="18"/>
      <c r="K168" s="18"/>
      <c r="L168" s="18"/>
      <c r="M168" s="18"/>
      <c r="N168" s="18"/>
      <c r="O168" s="18"/>
    </row>
    <row r="169" ht="13.5" spans="1: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3.5" spans="1:15">
      <c r="A170" s="3"/>
      <c r="B170" s="4" t="s">
        <v>74</v>
      </c>
      <c r="C170" s="3"/>
      <c r="E170" s="3"/>
      <c r="G170" s="3"/>
      <c r="I170" s="3"/>
      <c r="K170" s="3"/>
      <c r="M170" s="3"/>
      <c r="O170" s="3"/>
    </row>
    <row r="171" ht="13.5" spans="1:15">
      <c r="A171" s="22" t="s">
        <v>2</v>
      </c>
      <c r="B171" s="24" t="s">
        <v>81</v>
      </c>
      <c r="C171" s="25" t="s">
        <v>82</v>
      </c>
      <c r="D171" s="24" t="s">
        <v>4</v>
      </c>
      <c r="E171" s="25" t="s">
        <v>83</v>
      </c>
      <c r="F171" s="24" t="s">
        <v>84</v>
      </c>
      <c r="G171" s="25" t="s">
        <v>85</v>
      </c>
      <c r="H171" s="24" t="s">
        <v>8</v>
      </c>
      <c r="I171" s="25" t="s">
        <v>9</v>
      </c>
      <c r="J171" s="24" t="s">
        <v>10</v>
      </c>
      <c r="K171" s="25" t="s">
        <v>86</v>
      </c>
      <c r="L171" s="24" t="s">
        <v>12</v>
      </c>
      <c r="M171" s="25" t="s">
        <v>13</v>
      </c>
      <c r="N171" s="24" t="s">
        <v>14</v>
      </c>
      <c r="O171" s="25" t="s">
        <v>15</v>
      </c>
    </row>
    <row r="172" ht="13.5" spans="1:15">
      <c r="A172" s="5"/>
      <c r="C172" s="6"/>
      <c r="E172" s="6"/>
      <c r="F172" s="4"/>
      <c r="G172" s="6"/>
      <c r="H172" s="4"/>
      <c r="I172" s="6"/>
      <c r="J172" s="4"/>
      <c r="K172" s="6"/>
      <c r="L172" s="4"/>
      <c r="M172" s="6"/>
      <c r="N172" s="47"/>
      <c r="O172" s="6"/>
    </row>
    <row r="173" spans="1:15">
      <c r="A173" s="7" t="s">
        <v>134</v>
      </c>
      <c r="B173" s="9">
        <f>D173+E173+F173+G173+H173+I173+J173+K173+L173+M173+N173+O173</f>
        <v>0</v>
      </c>
      <c r="C173" s="10"/>
      <c r="D173" s="7"/>
      <c r="E173" s="7"/>
      <c r="F173" s="7"/>
      <c r="G173" s="7"/>
      <c r="H173" s="7"/>
      <c r="I173" s="7"/>
      <c r="J173" s="7"/>
      <c r="K173" s="13"/>
      <c r="L173" s="13"/>
      <c r="M173" s="13"/>
      <c r="N173" s="13"/>
      <c r="O173" s="13"/>
    </row>
    <row r="174" spans="1:15">
      <c r="A174" s="7"/>
      <c r="B174" s="9"/>
      <c r="C174" s="11">
        <f>SUM(D174:O174)</f>
        <v>0</v>
      </c>
      <c r="D174" s="7"/>
      <c r="E174" s="7"/>
      <c r="F174" s="7"/>
      <c r="G174" s="15"/>
      <c r="H174" s="15"/>
      <c r="I174" s="15"/>
      <c r="J174" s="16"/>
      <c r="K174" s="16"/>
      <c r="L174" s="16"/>
      <c r="M174" s="16"/>
      <c r="N174" s="16"/>
      <c r="O174" s="16"/>
    </row>
    <row r="175" spans="1:15">
      <c r="A175" s="7"/>
      <c r="B175" s="9"/>
      <c r="C175" s="10"/>
      <c r="D175" s="7"/>
      <c r="E175" s="7"/>
      <c r="F175" s="7"/>
      <c r="G175" s="7"/>
      <c r="H175" s="7"/>
      <c r="I175" s="7"/>
      <c r="J175" s="7"/>
      <c r="K175" s="13"/>
      <c r="L175" s="13"/>
      <c r="M175" s="13"/>
      <c r="N175" s="13"/>
      <c r="O175" s="13"/>
    </row>
    <row r="176" spans="1:15">
      <c r="A176" s="7" t="s">
        <v>135</v>
      </c>
      <c r="B176" s="9">
        <f>D176+E176+F176+G176+H176+I176+J176+K176+L176+M176+N176+O176</f>
        <v>45</v>
      </c>
      <c r="C176" s="10"/>
      <c r="D176" s="7"/>
      <c r="E176" s="12">
        <f>1*45</f>
        <v>45</v>
      </c>
      <c r="F176" s="7"/>
      <c r="G176" s="14"/>
      <c r="H176" s="14"/>
      <c r="I176" s="13"/>
      <c r="J176" s="7"/>
      <c r="K176" s="13"/>
      <c r="L176" s="13"/>
      <c r="M176" s="13"/>
      <c r="N176" s="13"/>
      <c r="O176" s="13"/>
    </row>
    <row r="177" spans="1:15">
      <c r="A177" s="7"/>
      <c r="B177" s="9"/>
      <c r="C177" s="11">
        <f>SUM(D177:O177)</f>
        <v>95</v>
      </c>
      <c r="D177" s="15"/>
      <c r="E177" s="15">
        <v>95</v>
      </c>
      <c r="F177" s="15"/>
      <c r="G177" s="15"/>
      <c r="H177" s="15"/>
      <c r="I177" s="15"/>
      <c r="J177" s="15"/>
      <c r="K177" s="50"/>
      <c r="L177" s="50"/>
      <c r="M177" s="50"/>
      <c r="N177" s="50"/>
      <c r="O177" s="50"/>
    </row>
    <row r="178" spans="1:15">
      <c r="A178" s="7"/>
      <c r="B178" s="9"/>
      <c r="C178" s="10"/>
      <c r="D178" s="7"/>
      <c r="E178" s="7"/>
      <c r="F178" s="7"/>
      <c r="G178" s="7"/>
      <c r="H178" s="7"/>
      <c r="I178" s="7"/>
      <c r="J178" s="7"/>
      <c r="K178" s="13"/>
      <c r="L178" s="13"/>
      <c r="M178" s="13"/>
      <c r="N178" s="13"/>
      <c r="O178" s="13"/>
    </row>
    <row r="179" spans="1:15">
      <c r="A179" s="7" t="s">
        <v>136</v>
      </c>
      <c r="B179" s="9">
        <f>D179+E179+F179+G179+H179+I179+J179+K179+L179+M179+N179+O179</f>
        <v>13725</v>
      </c>
      <c r="C179" s="10"/>
      <c r="D179" s="12">
        <f>165*45</f>
        <v>7425</v>
      </c>
      <c r="E179" s="12">
        <f>140*45</f>
        <v>6300</v>
      </c>
      <c r="F179" s="13"/>
      <c r="G179" s="14"/>
      <c r="H179" s="14"/>
      <c r="I179" s="7"/>
      <c r="J179" s="13"/>
      <c r="K179" s="13"/>
      <c r="L179" s="13"/>
      <c r="M179" s="13"/>
      <c r="N179" s="13"/>
      <c r="O179" s="13"/>
    </row>
    <row r="180" spans="1:15">
      <c r="A180" s="7"/>
      <c r="B180" s="9"/>
      <c r="C180" s="11">
        <f>SUM(D180:O180)</f>
        <v>65.99</v>
      </c>
      <c r="D180" s="15">
        <v>35.46</v>
      </c>
      <c r="E180" s="15">
        <v>30.53</v>
      </c>
      <c r="F180" s="15"/>
      <c r="G180" s="15"/>
      <c r="H180" s="15"/>
      <c r="I180" s="15"/>
      <c r="J180" s="15"/>
      <c r="K180" s="50"/>
      <c r="L180" s="50"/>
      <c r="M180" s="50"/>
      <c r="N180" s="50"/>
      <c r="O180" s="50"/>
    </row>
    <row r="181" spans="1:15">
      <c r="A181" s="7"/>
      <c r="B181" s="9"/>
      <c r="C181" s="10"/>
      <c r="D181" s="7"/>
      <c r="E181" s="7"/>
      <c r="F181" s="7"/>
      <c r="G181" s="7"/>
      <c r="H181" s="7"/>
      <c r="I181" s="7"/>
      <c r="J181" s="7"/>
      <c r="K181" s="13"/>
      <c r="L181" s="13"/>
      <c r="M181" s="13"/>
      <c r="N181" s="13"/>
      <c r="O181" s="13"/>
    </row>
    <row r="182" spans="1:15">
      <c r="A182" s="7" t="s">
        <v>137</v>
      </c>
      <c r="B182" s="9">
        <f>D182+E182+F182+G182+H182+I182+J182+K182+L182+M182+N182+O182</f>
        <v>2115</v>
      </c>
      <c r="C182" s="10"/>
      <c r="D182" s="12">
        <f>3*45</f>
        <v>135</v>
      </c>
      <c r="E182" s="12">
        <f>44*45</f>
        <v>1980</v>
      </c>
      <c r="F182" s="13"/>
      <c r="G182" s="14"/>
      <c r="H182" s="14"/>
      <c r="I182" s="7"/>
      <c r="J182" s="7"/>
      <c r="K182" s="13"/>
      <c r="L182" s="13"/>
      <c r="M182" s="13"/>
      <c r="N182" s="13"/>
      <c r="O182" s="13"/>
    </row>
    <row r="183" spans="1:15">
      <c r="A183" s="7"/>
      <c r="B183" s="9"/>
      <c r="C183" s="11">
        <f>SUM(D183:O183)</f>
        <v>115</v>
      </c>
      <c r="D183" s="15">
        <v>60</v>
      </c>
      <c r="E183" s="15">
        <v>55</v>
      </c>
      <c r="F183" s="7"/>
      <c r="G183" s="15"/>
      <c r="H183" s="16"/>
      <c r="I183" s="16"/>
      <c r="J183" s="16"/>
      <c r="K183" s="16"/>
      <c r="L183" s="16"/>
      <c r="M183" s="16"/>
      <c r="N183" s="16"/>
      <c r="O183" s="16"/>
    </row>
    <row r="184" spans="1:15">
      <c r="A184" s="7"/>
      <c r="B184" s="9"/>
      <c r="C184" s="10"/>
      <c r="D184" s="7"/>
      <c r="E184" s="7"/>
      <c r="F184" s="7"/>
      <c r="G184" s="7"/>
      <c r="H184" s="7"/>
      <c r="I184" s="7"/>
      <c r="J184" s="7"/>
      <c r="K184" s="13"/>
      <c r="L184" s="13"/>
      <c r="M184" s="13"/>
      <c r="N184" s="13"/>
      <c r="O184" s="13"/>
    </row>
    <row r="185" spans="1:15">
      <c r="A185" s="7" t="s">
        <v>138</v>
      </c>
      <c r="B185" s="9">
        <f>D185+E185+F185+G185+H185+I185+J185+K185+L185+M185+N185+O185</f>
        <v>0</v>
      </c>
      <c r="C185" s="10"/>
      <c r="D185" s="7"/>
      <c r="E185" s="7"/>
      <c r="F185" s="13"/>
      <c r="G185" s="7"/>
      <c r="H185" s="7"/>
      <c r="I185" s="7"/>
      <c r="J185" s="7"/>
      <c r="K185" s="13"/>
      <c r="L185" s="13"/>
      <c r="M185" s="13"/>
      <c r="N185" s="13"/>
      <c r="O185" s="13"/>
    </row>
    <row r="186" spans="1:15">
      <c r="A186" s="7"/>
      <c r="B186" s="9"/>
      <c r="C186" s="11">
        <f>SUM(D186:O186)</f>
        <v>0</v>
      </c>
      <c r="D186" s="15"/>
      <c r="E186" s="15"/>
      <c r="F186" s="15"/>
      <c r="G186" s="15"/>
      <c r="H186" s="15"/>
      <c r="I186" s="15"/>
      <c r="J186" s="7"/>
      <c r="K186" s="16"/>
      <c r="L186" s="16"/>
      <c r="M186" s="16"/>
      <c r="N186" s="13"/>
      <c r="O186" s="13"/>
    </row>
    <row r="187" spans="1:15">
      <c r="A187" s="7"/>
      <c r="B187" s="9"/>
      <c r="C187" s="11"/>
      <c r="D187" s="15"/>
      <c r="E187" s="15"/>
      <c r="F187" s="15"/>
      <c r="G187" s="15"/>
      <c r="H187" s="15"/>
      <c r="I187" s="15"/>
      <c r="J187" s="7"/>
      <c r="K187" s="16"/>
      <c r="L187" s="16"/>
      <c r="M187" s="16"/>
      <c r="N187" s="13"/>
      <c r="O187" s="13"/>
    </row>
    <row r="188" spans="1:15">
      <c r="A188" s="7" t="s">
        <v>139</v>
      </c>
      <c r="B188" s="9">
        <f>D188+E188+F188+G188+H188+I188+J188+K188+L188+M188+N188+O188</f>
        <v>225</v>
      </c>
      <c r="C188" s="10"/>
      <c r="D188" s="12">
        <f>2*45</f>
        <v>90</v>
      </c>
      <c r="E188" s="12">
        <f>3*45</f>
        <v>135</v>
      </c>
      <c r="F188" s="7"/>
      <c r="G188" s="14"/>
      <c r="H188" s="14"/>
      <c r="I188" s="7"/>
      <c r="J188" s="7"/>
      <c r="K188" s="13"/>
      <c r="L188" s="13"/>
      <c r="M188" s="13"/>
      <c r="N188" s="13"/>
      <c r="O188" s="13"/>
    </row>
    <row r="189" spans="1:15">
      <c r="A189" s="7"/>
      <c r="B189" s="9"/>
      <c r="C189" s="11">
        <f>SUM(D189:O189)</f>
        <v>300</v>
      </c>
      <c r="D189" s="15">
        <v>120</v>
      </c>
      <c r="E189" s="15">
        <v>180</v>
      </c>
      <c r="F189" s="15"/>
      <c r="G189" s="15"/>
      <c r="H189" s="15"/>
      <c r="I189" s="15"/>
      <c r="J189" s="7"/>
      <c r="K189" s="16"/>
      <c r="L189" s="16"/>
      <c r="M189" s="16"/>
      <c r="N189" s="16"/>
      <c r="O189" s="13"/>
    </row>
    <row r="190" spans="1:15">
      <c r="A190" s="7"/>
      <c r="B190" s="9"/>
      <c r="C190" s="10"/>
      <c r="D190" s="7"/>
      <c r="E190" s="7"/>
      <c r="F190" s="7"/>
      <c r="G190" s="7"/>
      <c r="H190" s="7"/>
      <c r="I190" s="7"/>
      <c r="J190" s="7"/>
      <c r="K190" s="13"/>
      <c r="L190" s="13"/>
      <c r="M190" s="13"/>
      <c r="N190" s="13"/>
      <c r="O190" s="13"/>
    </row>
    <row r="191" spans="1:15">
      <c r="A191" s="7" t="s">
        <v>140</v>
      </c>
      <c r="B191" s="9">
        <f>D191+E191+F191+G191+H191+I191+J191+K191+L191+M191+N191+O191</f>
        <v>0</v>
      </c>
      <c r="C191" s="10"/>
      <c r="D191" s="7"/>
      <c r="E191" s="7"/>
      <c r="F191" s="7"/>
      <c r="G191" s="7"/>
      <c r="H191" s="7"/>
      <c r="I191" s="7"/>
      <c r="J191" s="7"/>
      <c r="K191" s="13"/>
      <c r="L191" s="13"/>
      <c r="M191" s="13"/>
      <c r="N191" s="13"/>
      <c r="O191" s="13"/>
    </row>
    <row r="192" spans="1:15">
      <c r="A192" s="7"/>
      <c r="B192" s="9"/>
      <c r="C192" s="11">
        <f>SUM(D192:O192)</f>
        <v>0</v>
      </c>
      <c r="D192" s="7"/>
      <c r="E192" s="7"/>
      <c r="F192" s="15"/>
      <c r="G192" s="7"/>
      <c r="H192" s="7"/>
      <c r="I192" s="15"/>
      <c r="J192" s="15"/>
      <c r="K192" s="50"/>
      <c r="L192" s="50"/>
      <c r="M192" s="13"/>
      <c r="N192" s="16"/>
      <c r="O192" s="13"/>
    </row>
    <row r="193" spans="1:15">
      <c r="A193" s="7"/>
      <c r="B193" s="9"/>
      <c r="C193" s="10"/>
      <c r="D193" s="7"/>
      <c r="E193" s="7"/>
      <c r="F193" s="7"/>
      <c r="G193" s="7"/>
      <c r="H193" s="7"/>
      <c r="I193" s="7"/>
      <c r="J193" s="7"/>
      <c r="K193" s="13"/>
      <c r="L193" s="13"/>
      <c r="M193" s="13"/>
      <c r="N193" s="13"/>
      <c r="O193" s="13"/>
    </row>
    <row r="194" spans="1:15">
      <c r="A194" s="7" t="s">
        <v>141</v>
      </c>
      <c r="B194" s="9">
        <f>D194+E194+F194+G194+H194+I194+J194+K194+L194+M194+N194+O194</f>
        <v>90</v>
      </c>
      <c r="C194" s="10"/>
      <c r="D194" s="7"/>
      <c r="E194" s="12">
        <f>2*45</f>
        <v>90</v>
      </c>
      <c r="F194" s="7"/>
      <c r="G194" s="14"/>
      <c r="H194" s="14"/>
      <c r="I194" s="7"/>
      <c r="J194" s="7"/>
      <c r="K194" s="13"/>
      <c r="L194" s="13"/>
      <c r="M194" s="13"/>
      <c r="N194" s="13"/>
      <c r="O194" s="13"/>
    </row>
    <row r="195" spans="1:15">
      <c r="A195" s="7"/>
      <c r="B195" s="9"/>
      <c r="C195" s="11">
        <f>SUM(D195:O195)</f>
        <v>30</v>
      </c>
      <c r="D195" s="7"/>
      <c r="E195" s="15">
        <v>30</v>
      </c>
      <c r="F195" s="15"/>
      <c r="G195" s="15"/>
      <c r="H195" s="7"/>
      <c r="I195" s="7"/>
      <c r="J195" s="7"/>
      <c r="K195" s="16"/>
      <c r="L195" s="16"/>
      <c r="M195" s="16"/>
      <c r="N195" s="13"/>
      <c r="O195" s="13"/>
    </row>
    <row r="196" spans="1:15">
      <c r="A196" s="7"/>
      <c r="B196" s="9"/>
      <c r="C196" s="10"/>
      <c r="D196" s="7"/>
      <c r="E196" s="7"/>
      <c r="F196" s="7"/>
      <c r="G196" s="7"/>
      <c r="H196" s="7"/>
      <c r="I196" s="7"/>
      <c r="J196" s="7"/>
      <c r="K196" s="13"/>
      <c r="L196" s="13"/>
      <c r="M196" s="13"/>
      <c r="N196" s="13"/>
      <c r="O196" s="13"/>
    </row>
    <row r="197" spans="1:15">
      <c r="A197" s="7" t="s">
        <v>142</v>
      </c>
      <c r="B197" s="9">
        <f>D197+E197+F197+G197+H197+I197+J197+K197+L197+M197+N197+O197</f>
        <v>90</v>
      </c>
      <c r="C197" s="10"/>
      <c r="D197" s="12">
        <f>2*45</f>
        <v>90</v>
      </c>
      <c r="E197" s="7"/>
      <c r="F197" s="7"/>
      <c r="G197" s="7"/>
      <c r="H197" s="7"/>
      <c r="I197" s="7"/>
      <c r="J197" s="7"/>
      <c r="K197" s="13"/>
      <c r="L197" s="13"/>
      <c r="M197" s="13"/>
      <c r="N197" s="13"/>
      <c r="O197" s="13"/>
    </row>
    <row r="198" spans="1:15">
      <c r="A198" s="7"/>
      <c r="B198" s="9"/>
      <c r="C198" s="11">
        <f>SUM(D198:O198)</f>
        <v>80</v>
      </c>
      <c r="D198" s="15">
        <v>80</v>
      </c>
      <c r="E198" s="15"/>
      <c r="F198" s="15"/>
      <c r="G198" s="15"/>
      <c r="H198" s="15"/>
      <c r="I198" s="15"/>
      <c r="J198" s="15"/>
      <c r="K198" s="13"/>
      <c r="L198" s="16"/>
      <c r="M198" s="16"/>
      <c r="N198" s="13"/>
      <c r="O198" s="13"/>
    </row>
    <row r="199" spans="1:15">
      <c r="A199" s="7"/>
      <c r="B199" s="9"/>
      <c r="C199" s="11"/>
      <c r="D199" s="15"/>
      <c r="E199" s="15"/>
      <c r="F199" s="15"/>
      <c r="G199" s="15"/>
      <c r="H199" s="15"/>
      <c r="I199" s="15"/>
      <c r="J199" s="15"/>
      <c r="K199" s="13"/>
      <c r="L199" s="16"/>
      <c r="M199" s="16"/>
      <c r="N199" s="13"/>
      <c r="O199" s="13"/>
    </row>
    <row r="200" spans="1:15">
      <c r="A200" s="7" t="s">
        <v>143</v>
      </c>
      <c r="B200" s="9">
        <f>D200+E200+F200+G200+H200+I200+J200+K200+L200+M200+N200+O200</f>
        <v>125010</v>
      </c>
      <c r="C200" s="10"/>
      <c r="D200" s="12">
        <f>1246*45</f>
        <v>56070</v>
      </c>
      <c r="E200" s="12">
        <f>1532*45</f>
        <v>68940</v>
      </c>
      <c r="F200" s="13"/>
      <c r="G200" s="14"/>
      <c r="H200" s="14"/>
      <c r="I200" s="13"/>
      <c r="J200" s="13"/>
      <c r="K200" s="13"/>
      <c r="L200" s="13"/>
      <c r="M200" s="13"/>
      <c r="N200" s="13"/>
      <c r="O200" s="13"/>
    </row>
    <row r="201" spans="1:15">
      <c r="A201" s="7"/>
      <c r="B201" s="9"/>
      <c r="C201" s="11">
        <f>SUM(D201:O201)</f>
        <v>227.34</v>
      </c>
      <c r="D201" s="15">
        <v>110.07</v>
      </c>
      <c r="E201" s="15">
        <v>117.27</v>
      </c>
      <c r="F201" s="15"/>
      <c r="G201" s="15"/>
      <c r="H201" s="15"/>
      <c r="I201" s="15"/>
      <c r="J201" s="15"/>
      <c r="K201" s="16"/>
      <c r="L201" s="16"/>
      <c r="M201" s="16"/>
      <c r="N201" s="16"/>
      <c r="O201" s="16"/>
    </row>
    <row r="202" spans="1:15">
      <c r="A202" s="7"/>
      <c r="B202" s="9"/>
      <c r="C202" s="10"/>
      <c r="D202" s="7"/>
      <c r="E202" s="7"/>
      <c r="F202" s="7"/>
      <c r="G202" s="7"/>
      <c r="H202" s="7"/>
      <c r="I202" s="7"/>
      <c r="J202" s="7"/>
      <c r="K202" s="13"/>
      <c r="L202" s="13"/>
      <c r="M202" s="13"/>
      <c r="N202" s="13"/>
      <c r="O202" s="13"/>
    </row>
    <row r="203" spans="1:15">
      <c r="A203" s="7" t="s">
        <v>144</v>
      </c>
      <c r="B203" s="9"/>
      <c r="C203" s="10"/>
      <c r="D203" s="12">
        <f>184*45</f>
        <v>8280</v>
      </c>
      <c r="E203" s="12">
        <f>278*45</f>
        <v>12510</v>
      </c>
      <c r="F203" s="7"/>
      <c r="G203" s="14"/>
      <c r="H203" s="14"/>
      <c r="I203" s="7"/>
      <c r="J203" s="7"/>
      <c r="K203" s="13"/>
      <c r="L203" s="13"/>
      <c r="M203" s="13"/>
      <c r="N203" s="13"/>
      <c r="O203" s="13"/>
    </row>
    <row r="204" spans="1:15">
      <c r="A204" s="7"/>
      <c r="B204" s="9"/>
      <c r="C204" s="10"/>
      <c r="D204" s="7">
        <v>88.59</v>
      </c>
      <c r="E204" s="7">
        <v>76.67</v>
      </c>
      <c r="F204" s="7"/>
      <c r="G204" s="7"/>
      <c r="H204" s="7"/>
      <c r="I204" s="7"/>
      <c r="J204" s="7"/>
      <c r="K204" s="13"/>
      <c r="L204" s="13"/>
      <c r="M204" s="13"/>
      <c r="N204" s="13"/>
      <c r="O204" s="13"/>
    </row>
    <row r="205" spans="1:15">
      <c r="A205" s="7"/>
      <c r="B205" s="13"/>
      <c r="C205" s="7"/>
      <c r="D205" s="15"/>
      <c r="E205" s="15"/>
      <c r="F205" s="15"/>
      <c r="G205" s="15"/>
      <c r="H205" s="7"/>
      <c r="I205" s="7"/>
      <c r="J205" s="7"/>
      <c r="K205" s="13"/>
      <c r="L205" s="13"/>
      <c r="M205" s="13"/>
      <c r="N205" s="13"/>
      <c r="O205" s="13"/>
    </row>
    <row r="206" spans="2:15">
      <c r="B206" s="51"/>
      <c r="K206" s="51"/>
      <c r="L206" s="51"/>
      <c r="M206" s="51"/>
      <c r="N206" s="51"/>
      <c r="O206" s="51"/>
    </row>
    <row r="207" spans="2:15">
      <c r="B207" s="51"/>
      <c r="D207" s="49">
        <f>SUM(D179+D182+D188+D197+D200+D203)</f>
        <v>72090</v>
      </c>
      <c r="H207" s="4"/>
      <c r="K207" s="51"/>
      <c r="L207" s="51"/>
      <c r="M207" s="51"/>
      <c r="N207" s="51"/>
      <c r="O207" s="51"/>
    </row>
    <row r="208" spans="2:15">
      <c r="B208" s="51"/>
      <c r="K208" s="51"/>
      <c r="L208" s="51"/>
      <c r="M208" s="51"/>
      <c r="N208" s="51"/>
      <c r="O208" s="51"/>
    </row>
    <row r="209" spans="2:15">
      <c r="B209" s="51"/>
      <c r="K209" s="51"/>
      <c r="L209" s="51"/>
      <c r="M209" s="51"/>
      <c r="N209" s="51"/>
      <c r="O209" s="51"/>
    </row>
    <row r="210" ht="13.5" spans="1: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3.5" spans="1:15">
      <c r="A211" s="3"/>
      <c r="B211" s="4" t="s">
        <v>74</v>
      </c>
      <c r="C211" s="3"/>
      <c r="E211" s="3"/>
      <c r="G211" s="3"/>
      <c r="I211" s="3"/>
      <c r="K211" s="3"/>
      <c r="M211" s="3"/>
      <c r="O211" s="3"/>
    </row>
    <row r="212" ht="13.5" spans="1:15">
      <c r="A212" s="22" t="s">
        <v>2</v>
      </c>
      <c r="B212" s="24" t="s">
        <v>81</v>
      </c>
      <c r="C212" s="25" t="s">
        <v>82</v>
      </c>
      <c r="D212" s="24" t="s">
        <v>4</v>
      </c>
      <c r="E212" s="25" t="s">
        <v>5</v>
      </c>
      <c r="F212" s="24" t="s">
        <v>84</v>
      </c>
      <c r="G212" s="25" t="s">
        <v>85</v>
      </c>
      <c r="H212" s="24" t="s">
        <v>8</v>
      </c>
      <c r="I212" s="25" t="s">
        <v>9</v>
      </c>
      <c r="J212" s="24" t="s">
        <v>10</v>
      </c>
      <c r="K212" s="25" t="s">
        <v>86</v>
      </c>
      <c r="L212" s="24" t="s">
        <v>12</v>
      </c>
      <c r="M212" s="25" t="s">
        <v>13</v>
      </c>
      <c r="N212" s="24" t="s">
        <v>14</v>
      </c>
      <c r="O212" s="25" t="s">
        <v>15</v>
      </c>
    </row>
    <row r="213" ht="13.5" spans="1:15">
      <c r="A213" s="5"/>
      <c r="C213" s="6"/>
      <c r="E213" s="6"/>
      <c r="F213" s="4"/>
      <c r="G213" s="6"/>
      <c r="H213" s="4"/>
      <c r="I213" s="6"/>
      <c r="J213" s="4"/>
      <c r="K213" s="6"/>
      <c r="L213" s="4"/>
      <c r="M213" s="6"/>
      <c r="N213" s="47"/>
      <c r="O213" s="6"/>
    </row>
    <row r="214" spans="1:15">
      <c r="A214" s="29" t="s">
        <v>145</v>
      </c>
      <c r="B214" s="30">
        <f>D214+E214+F214+G214+H214+I214+J214+K214+L214+M214+N214+O214</f>
        <v>3735</v>
      </c>
      <c r="C214" s="31"/>
      <c r="D214" s="12">
        <f>83*45</f>
        <v>3735</v>
      </c>
      <c r="E214" s="43"/>
      <c r="F214" s="43"/>
      <c r="G214" s="29"/>
      <c r="H214" s="29"/>
      <c r="I214" s="43"/>
      <c r="J214" s="29"/>
      <c r="K214" s="43"/>
      <c r="L214" s="43"/>
      <c r="M214" s="43"/>
      <c r="N214" s="43"/>
      <c r="O214" s="43"/>
    </row>
    <row r="215" spans="1:15">
      <c r="A215" s="7"/>
      <c r="B215" s="9"/>
      <c r="C215" s="11">
        <f>SUM(D215:O215)</f>
        <v>68.5</v>
      </c>
      <c r="D215" s="15">
        <v>68.5</v>
      </c>
      <c r="E215" s="15"/>
      <c r="F215" s="15"/>
      <c r="G215" s="15"/>
      <c r="H215" s="15"/>
      <c r="I215" s="15"/>
      <c r="J215" s="15"/>
      <c r="K215" s="16"/>
      <c r="L215" s="16"/>
      <c r="M215" s="16"/>
      <c r="N215" s="16"/>
      <c r="O215" s="16"/>
    </row>
    <row r="216" spans="1:15">
      <c r="A216" s="7"/>
      <c r="B216" s="9"/>
      <c r="C216" s="10"/>
      <c r="D216" s="7"/>
      <c r="E216" s="7"/>
      <c r="F216" s="7"/>
      <c r="G216" s="7"/>
      <c r="H216" s="7"/>
      <c r="I216" s="7"/>
      <c r="J216" s="7"/>
      <c r="K216" s="13"/>
      <c r="L216" s="13"/>
      <c r="M216" s="13"/>
      <c r="N216" s="13"/>
      <c r="O216" s="13"/>
    </row>
    <row r="217" spans="1:15">
      <c r="A217" s="7" t="s">
        <v>146</v>
      </c>
      <c r="B217" s="9">
        <f>D217+E217+F217+G217+H217+I217+J217+K217+L217+M217+N217+O217</f>
        <v>450</v>
      </c>
      <c r="C217" s="10"/>
      <c r="D217" s="12">
        <f>10*45</f>
        <v>450</v>
      </c>
      <c r="E217" s="7"/>
      <c r="F217" s="13"/>
      <c r="G217" s="7"/>
      <c r="H217" s="13"/>
      <c r="I217" s="13"/>
      <c r="J217" s="7"/>
      <c r="K217" s="13"/>
      <c r="L217" s="13"/>
      <c r="M217" s="13"/>
      <c r="N217" s="13"/>
      <c r="O217" s="13"/>
    </row>
    <row r="218" spans="1:15">
      <c r="A218" s="7"/>
      <c r="B218" s="9"/>
      <c r="C218" s="11">
        <f>SUM(D218:O218)</f>
        <v>77</v>
      </c>
      <c r="D218" s="15">
        <v>77</v>
      </c>
      <c r="E218" s="15"/>
      <c r="F218" s="15"/>
      <c r="G218" s="15"/>
      <c r="H218" s="15"/>
      <c r="I218" s="15"/>
      <c r="J218" s="15"/>
      <c r="K218" s="16"/>
      <c r="L218" s="16"/>
      <c r="M218" s="13"/>
      <c r="N218" s="13"/>
      <c r="O218" s="13"/>
    </row>
    <row r="219" spans="1:15">
      <c r="A219" s="7"/>
      <c r="B219" s="9"/>
      <c r="C219" s="10"/>
      <c r="D219" s="7"/>
      <c r="E219" s="7"/>
      <c r="F219" s="7"/>
      <c r="G219" s="7"/>
      <c r="H219" s="7"/>
      <c r="I219" s="7"/>
      <c r="J219" s="7"/>
      <c r="K219" s="13"/>
      <c r="L219" s="13"/>
      <c r="M219" s="13"/>
      <c r="N219" s="13"/>
      <c r="O219" s="13"/>
    </row>
    <row r="220" spans="1:15">
      <c r="A220" s="7" t="s">
        <v>147</v>
      </c>
      <c r="B220" s="9">
        <f>D220+E220+F220+G220+H220+I220+J220+K220+L220+M220+N220+O220</f>
        <v>90</v>
      </c>
      <c r="C220" s="10"/>
      <c r="D220" s="12">
        <f>2*45</f>
        <v>90</v>
      </c>
      <c r="E220" s="7"/>
      <c r="F220" s="7"/>
      <c r="G220" s="7"/>
      <c r="H220" s="7"/>
      <c r="I220" s="7"/>
      <c r="J220" s="7"/>
      <c r="K220" s="13"/>
      <c r="L220" s="13"/>
      <c r="M220" s="13"/>
      <c r="N220" s="13"/>
      <c r="O220" s="13"/>
    </row>
    <row r="221" spans="1:15">
      <c r="A221" s="7"/>
      <c r="B221" s="9"/>
      <c r="C221" s="11">
        <f>SUM(D221:O221)</f>
        <v>79</v>
      </c>
      <c r="D221" s="15">
        <v>79</v>
      </c>
      <c r="E221" s="15"/>
      <c r="F221" s="15"/>
      <c r="G221" s="7"/>
      <c r="H221" s="15"/>
      <c r="I221" s="15"/>
      <c r="J221" s="15"/>
      <c r="K221" s="16"/>
      <c r="L221" s="16"/>
      <c r="M221" s="16"/>
      <c r="N221" s="16"/>
      <c r="O221" s="13"/>
    </row>
    <row r="222" spans="1:15">
      <c r="A222" s="7"/>
      <c r="B222" s="9"/>
      <c r="C222" s="10"/>
      <c r="D222" s="7"/>
      <c r="E222" s="7"/>
      <c r="F222" s="7"/>
      <c r="G222" s="7"/>
      <c r="H222" s="7"/>
      <c r="I222" s="7"/>
      <c r="J222" s="7"/>
      <c r="K222" s="13"/>
      <c r="L222" s="13"/>
      <c r="M222" s="13"/>
      <c r="N222" s="13"/>
      <c r="O222" s="13"/>
    </row>
    <row r="223" spans="1:15">
      <c r="A223" s="7" t="s">
        <v>148</v>
      </c>
      <c r="B223" s="9">
        <f>D223+E223+F223+G223+H223+I223+J223+K223+L223+M223+N223+O223</f>
        <v>630</v>
      </c>
      <c r="C223" s="10"/>
      <c r="D223" s="12">
        <f>14*45</f>
        <v>630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</row>
    <row r="224" spans="1:15">
      <c r="A224" s="7"/>
      <c r="B224" s="9"/>
      <c r="C224" s="11">
        <f>SUM(D224:O224)</f>
        <v>57.75</v>
      </c>
      <c r="D224" s="7">
        <v>57.75</v>
      </c>
      <c r="E224" s="15"/>
      <c r="F224" s="15"/>
      <c r="G224" s="15"/>
      <c r="H224" s="15"/>
      <c r="I224" s="15"/>
      <c r="J224" s="15"/>
      <c r="K224" s="16"/>
      <c r="L224" s="16"/>
      <c r="M224" s="16"/>
      <c r="N224" s="16"/>
      <c r="O224" s="16"/>
    </row>
    <row r="225" spans="1:15">
      <c r="A225" s="7"/>
      <c r="B225" s="9"/>
      <c r="C225" s="10"/>
      <c r="D225" s="7"/>
      <c r="E225" s="7"/>
      <c r="F225" s="7"/>
      <c r="G225" s="7"/>
      <c r="H225" s="7"/>
      <c r="I225" s="7"/>
      <c r="J225" s="7"/>
      <c r="K225" s="13"/>
      <c r="L225" s="13"/>
      <c r="M225" s="13"/>
      <c r="N225" s="13"/>
      <c r="O225" s="13"/>
    </row>
    <row r="226" spans="1:15">
      <c r="A226" s="7" t="s">
        <v>149</v>
      </c>
      <c r="B226" s="9">
        <f>D226+E226+F226+G226+H226+I226+J226+K226+L226+M226+N226+O226</f>
        <v>123030</v>
      </c>
      <c r="C226" s="10"/>
      <c r="D226" s="12">
        <f>1233*45</f>
        <v>55485</v>
      </c>
      <c r="E226" s="12">
        <f>1501*45</f>
        <v>67545</v>
      </c>
      <c r="F226" s="13"/>
      <c r="G226" s="14"/>
      <c r="H226" s="14"/>
      <c r="I226" s="13"/>
      <c r="J226" s="13"/>
      <c r="K226" s="13"/>
      <c r="L226" s="13"/>
      <c r="M226" s="13"/>
      <c r="N226" s="13"/>
      <c r="O226" s="13"/>
    </row>
    <row r="227" spans="1:15">
      <c r="A227" s="7"/>
      <c r="B227" s="9"/>
      <c r="C227" s="11">
        <f>SUM(D227:O227)</f>
        <v>89.08</v>
      </c>
      <c r="D227" s="15">
        <v>44.24</v>
      </c>
      <c r="E227" s="15">
        <v>44.84</v>
      </c>
      <c r="F227" s="15"/>
      <c r="G227" s="15"/>
      <c r="H227" s="15"/>
      <c r="I227" s="15"/>
      <c r="J227" s="15"/>
      <c r="K227" s="16"/>
      <c r="L227" s="16"/>
      <c r="M227" s="16"/>
      <c r="N227" s="16"/>
      <c r="O227" s="16"/>
    </row>
    <row r="228" spans="1:15">
      <c r="A228" s="7"/>
      <c r="B228" s="9"/>
      <c r="C228" s="10"/>
      <c r="D228" s="7"/>
      <c r="E228" s="7"/>
      <c r="F228" s="7"/>
      <c r="G228" s="7"/>
      <c r="H228" s="7"/>
      <c r="I228" s="7"/>
      <c r="J228" s="7"/>
      <c r="K228" s="13"/>
      <c r="L228" s="13"/>
      <c r="M228" s="13"/>
      <c r="N228" s="13"/>
      <c r="O228" s="13"/>
    </row>
    <row r="229" spans="1:15">
      <c r="A229" s="7" t="s">
        <v>150</v>
      </c>
      <c r="B229" s="9">
        <f>D229+E229+F229+G229+H229+I229+J229+K229+L229+M229+N229+O229</f>
        <v>41805</v>
      </c>
      <c r="C229" s="10"/>
      <c r="D229" s="12">
        <f>532*45</f>
        <v>23940</v>
      </c>
      <c r="E229" s="12">
        <f>397*45</f>
        <v>17865</v>
      </c>
      <c r="F229" s="13"/>
      <c r="G229" s="14"/>
      <c r="H229" s="14"/>
      <c r="I229" s="13"/>
      <c r="J229" s="13"/>
      <c r="K229" s="13"/>
      <c r="L229" s="13"/>
      <c r="M229" s="13"/>
      <c r="N229" s="13"/>
      <c r="O229" s="13"/>
    </row>
    <row r="230" spans="1:15">
      <c r="A230" s="7"/>
      <c r="B230" s="9"/>
      <c r="C230" s="11">
        <f>SUM(D230:O230)</f>
        <v>138.7</v>
      </c>
      <c r="D230" s="15">
        <v>82.41</v>
      </c>
      <c r="E230" s="15">
        <v>56.29</v>
      </c>
      <c r="F230" s="15"/>
      <c r="G230" s="15"/>
      <c r="H230" s="15"/>
      <c r="I230" s="15"/>
      <c r="J230" s="15"/>
      <c r="K230" s="16"/>
      <c r="L230" s="16"/>
      <c r="M230" s="16"/>
      <c r="N230" s="16"/>
      <c r="O230" s="16"/>
    </row>
    <row r="231" spans="1:15">
      <c r="A231" s="7"/>
      <c r="B231" s="9"/>
      <c r="C231" s="10"/>
      <c r="D231" s="7"/>
      <c r="E231" s="7"/>
      <c r="F231" s="7"/>
      <c r="G231" s="7"/>
      <c r="H231" s="7"/>
      <c r="I231" s="7"/>
      <c r="J231" s="7"/>
      <c r="K231" s="13"/>
      <c r="L231" s="13"/>
      <c r="M231" s="13"/>
      <c r="N231" s="13"/>
      <c r="O231" s="13"/>
    </row>
    <row r="232" spans="1:15">
      <c r="A232" s="7" t="s">
        <v>151</v>
      </c>
      <c r="B232" s="9"/>
      <c r="C232" s="10"/>
      <c r="D232" s="12">
        <f>605*45</f>
        <v>27225</v>
      </c>
      <c r="E232" s="12">
        <f>332*45</f>
        <v>14940</v>
      </c>
      <c r="F232" s="7"/>
      <c r="G232" s="14"/>
      <c r="H232" s="14"/>
      <c r="I232" s="7"/>
      <c r="J232" s="7"/>
      <c r="K232" s="13"/>
      <c r="L232" s="13"/>
      <c r="M232" s="13"/>
      <c r="N232" s="13"/>
      <c r="O232" s="13"/>
    </row>
    <row r="233" spans="1:15">
      <c r="A233" s="7"/>
      <c r="B233" s="9"/>
      <c r="C233" s="10"/>
      <c r="D233" s="7">
        <v>54.27</v>
      </c>
      <c r="E233" s="7">
        <v>53.56</v>
      </c>
      <c r="F233" s="7"/>
      <c r="G233" s="7"/>
      <c r="H233" s="7"/>
      <c r="I233" s="7"/>
      <c r="J233" s="7"/>
      <c r="K233" s="13"/>
      <c r="L233" s="13"/>
      <c r="M233" s="13"/>
      <c r="N233" s="13"/>
      <c r="O233" s="13"/>
    </row>
    <row r="234" spans="1:15">
      <c r="A234" s="7"/>
      <c r="B234" s="9"/>
      <c r="C234" s="10"/>
      <c r="D234" s="7"/>
      <c r="E234" s="7"/>
      <c r="F234" s="7"/>
      <c r="G234" s="7"/>
      <c r="H234" s="7"/>
      <c r="I234" s="7"/>
      <c r="J234" s="7"/>
      <c r="K234" s="13"/>
      <c r="L234" s="13"/>
      <c r="M234" s="13"/>
      <c r="N234" s="13"/>
      <c r="O234" s="13"/>
    </row>
    <row r="235" spans="1:15">
      <c r="A235" s="7" t="s">
        <v>152</v>
      </c>
      <c r="B235" s="9">
        <f>D235+E235+F235+G235+H235+I235+J235+K235+L235+M235+N235+O235</f>
        <v>45</v>
      </c>
      <c r="C235" s="10"/>
      <c r="D235" s="13"/>
      <c r="E235" s="12">
        <f>1*45</f>
        <v>45</v>
      </c>
      <c r="F235" s="13"/>
      <c r="G235" s="14"/>
      <c r="H235" s="14"/>
      <c r="I235" s="13"/>
      <c r="J235" s="13"/>
      <c r="K235" s="13"/>
      <c r="L235" s="13"/>
      <c r="M235" s="13"/>
      <c r="N235" s="13"/>
      <c r="O235" s="13"/>
    </row>
    <row r="236" spans="1:15">
      <c r="A236" s="7"/>
      <c r="B236" s="9"/>
      <c r="C236" s="11">
        <f>SUM(D236:O236)</f>
        <v>70</v>
      </c>
      <c r="D236" s="15"/>
      <c r="E236" s="15">
        <v>70</v>
      </c>
      <c r="F236" s="15"/>
      <c r="G236" s="15"/>
      <c r="H236" s="15"/>
      <c r="I236" s="15"/>
      <c r="J236" s="15"/>
      <c r="K236" s="16"/>
      <c r="L236" s="16"/>
      <c r="M236" s="16"/>
      <c r="N236" s="16"/>
      <c r="O236" s="13"/>
    </row>
    <row r="237" spans="1:15">
      <c r="A237" s="7"/>
      <c r="B237" s="9"/>
      <c r="C237" s="10"/>
      <c r="D237" s="7"/>
      <c r="E237" s="7"/>
      <c r="F237" s="7"/>
      <c r="G237" s="7"/>
      <c r="H237" s="7"/>
      <c r="I237" s="7"/>
      <c r="J237" s="7"/>
      <c r="K237" s="13"/>
      <c r="L237" s="13"/>
      <c r="M237" s="13"/>
      <c r="N237" s="13"/>
      <c r="O237" s="13"/>
    </row>
    <row r="238" spans="1:15">
      <c r="A238" s="7" t="s">
        <v>153</v>
      </c>
      <c r="B238" s="9">
        <f>D238+E238+F238+G238+H238+I238+J238+K238+L238+M238+N238+O238</f>
        <v>270</v>
      </c>
      <c r="C238" s="10"/>
      <c r="D238" s="13"/>
      <c r="E238" s="12">
        <f>6*45</f>
        <v>270</v>
      </c>
      <c r="F238" s="13"/>
      <c r="G238" s="14"/>
      <c r="H238" s="14"/>
      <c r="I238" s="13"/>
      <c r="J238" s="13"/>
      <c r="K238" s="13"/>
      <c r="L238" s="13"/>
      <c r="M238" s="13"/>
      <c r="N238" s="13"/>
      <c r="O238" s="13"/>
    </row>
    <row r="239" spans="1:15">
      <c r="A239" s="7"/>
      <c r="B239" s="9"/>
      <c r="C239" s="11">
        <f>SUM(D239:O239)</f>
        <v>280</v>
      </c>
      <c r="D239" s="15"/>
      <c r="E239" s="15">
        <v>280</v>
      </c>
      <c r="F239" s="15"/>
      <c r="G239" s="15"/>
      <c r="H239" s="15"/>
      <c r="I239" s="15"/>
      <c r="J239" s="15"/>
      <c r="K239" s="50"/>
      <c r="L239" s="16"/>
      <c r="M239" s="16"/>
      <c r="N239" s="16"/>
      <c r="O239" s="16"/>
    </row>
    <row r="240" spans="1:15">
      <c r="A240" s="7"/>
      <c r="B240" s="9"/>
      <c r="C240" s="11"/>
      <c r="D240" s="15"/>
      <c r="E240" s="15"/>
      <c r="F240" s="15"/>
      <c r="G240" s="15"/>
      <c r="H240" s="15"/>
      <c r="I240" s="15"/>
      <c r="J240" s="15"/>
      <c r="K240" s="50"/>
      <c r="L240" s="16"/>
      <c r="M240" s="16"/>
      <c r="N240" s="16"/>
      <c r="O240" s="16"/>
    </row>
    <row r="241" spans="1:15">
      <c r="A241" s="7" t="s">
        <v>154</v>
      </c>
      <c r="B241" s="9">
        <f>D241+E241+F241+G241+H241+I241+J241+K241+L241+M241+N241+O241</f>
        <v>1035</v>
      </c>
      <c r="C241" s="10"/>
      <c r="D241" s="7"/>
      <c r="E241" s="12">
        <f>23*45</f>
        <v>1035</v>
      </c>
      <c r="F241" s="8"/>
      <c r="G241" s="14"/>
      <c r="H241" s="14"/>
      <c r="I241" s="8"/>
      <c r="J241" s="8"/>
      <c r="K241" s="8"/>
      <c r="L241" s="8"/>
      <c r="M241" s="8"/>
      <c r="N241" s="37"/>
      <c r="O241" s="8"/>
    </row>
    <row r="242" spans="1:15">
      <c r="A242" s="7"/>
      <c r="B242" s="9"/>
      <c r="C242" s="11">
        <f>SUM(D242:O242)</f>
        <v>30</v>
      </c>
      <c r="D242" s="7"/>
      <c r="E242" s="15">
        <v>30</v>
      </c>
      <c r="F242" s="8"/>
      <c r="G242" s="8"/>
      <c r="H242" s="8"/>
      <c r="I242" s="8"/>
      <c r="J242" s="8"/>
      <c r="K242" s="8"/>
      <c r="L242" s="8"/>
      <c r="M242" s="8"/>
      <c r="N242" s="37"/>
      <c r="O242" s="8"/>
    </row>
    <row r="243" spans="1:15">
      <c r="A243" s="7"/>
      <c r="B243" s="9"/>
      <c r="C243" s="10"/>
      <c r="D243" s="7"/>
      <c r="E243" s="7"/>
      <c r="F243" s="7"/>
      <c r="G243" s="7"/>
      <c r="H243" s="7"/>
      <c r="I243" s="7"/>
      <c r="J243" s="7"/>
      <c r="K243" s="13"/>
      <c r="L243" s="13"/>
      <c r="M243" s="13"/>
      <c r="N243" s="13"/>
      <c r="O243" s="13"/>
    </row>
    <row r="244" spans="2:15">
      <c r="B244" s="18"/>
      <c r="K244" s="18"/>
      <c r="L244" s="18"/>
      <c r="M244" s="18"/>
      <c r="N244" s="18"/>
      <c r="O244" s="18"/>
    </row>
    <row r="245" spans="2:15">
      <c r="B245" s="18"/>
      <c r="D245" s="49">
        <f>SUM(D214+D217+D220+D223+D226+D229+D232)</f>
        <v>111555</v>
      </c>
      <c r="K245" s="18"/>
      <c r="L245" s="18"/>
      <c r="M245" s="18"/>
      <c r="N245" s="18"/>
      <c r="O245" s="18"/>
    </row>
    <row r="246" spans="2:15">
      <c r="B246" s="18"/>
      <c r="K246" s="18"/>
      <c r="L246" s="18"/>
      <c r="M246" s="18"/>
      <c r="N246" s="18"/>
      <c r="O246" s="18"/>
    </row>
    <row r="247" spans="2:15">
      <c r="B247" s="18"/>
      <c r="K247" s="18"/>
      <c r="L247" s="18"/>
      <c r="M247" s="18"/>
      <c r="N247" s="18"/>
      <c r="O247" s="18"/>
    </row>
    <row r="248" spans="2:15">
      <c r="B248" s="18"/>
      <c r="K248" s="18"/>
      <c r="L248" s="18"/>
      <c r="M248" s="18"/>
      <c r="N248" s="18"/>
      <c r="O248" s="18"/>
    </row>
    <row r="249" spans="2:15">
      <c r="B249" s="18"/>
      <c r="K249" s="18"/>
      <c r="L249" s="18"/>
      <c r="M249" s="18"/>
      <c r="N249" s="18"/>
      <c r="O249" s="18"/>
    </row>
    <row r="250" spans="2:15">
      <c r="B250" s="18"/>
      <c r="K250" s="18"/>
      <c r="L250" s="18"/>
      <c r="M250" s="18"/>
      <c r="N250" s="18"/>
      <c r="O250" s="18"/>
    </row>
    <row r="251" ht="13.5" spans="2:15">
      <c r="B251" s="20"/>
      <c r="D251" s="2"/>
      <c r="F251" s="2"/>
      <c r="H251" s="2"/>
      <c r="J251" s="2"/>
      <c r="K251" s="18"/>
      <c r="L251" s="20"/>
      <c r="M251" s="18"/>
      <c r="N251" s="20"/>
      <c r="O251" s="18"/>
    </row>
    <row r="252" ht="13.5" spans="1:15">
      <c r="A252" s="3"/>
      <c r="B252" s="4" t="s">
        <v>74</v>
      </c>
      <c r="C252" s="3"/>
      <c r="E252" s="3"/>
      <c r="G252" s="3"/>
      <c r="I252" s="3"/>
      <c r="K252" s="3"/>
      <c r="M252" s="3"/>
      <c r="O252" s="3"/>
    </row>
    <row r="253" ht="13.5" spans="1:15">
      <c r="A253" s="22" t="s">
        <v>2</v>
      </c>
      <c r="B253" s="24" t="s">
        <v>81</v>
      </c>
      <c r="C253" s="25" t="s">
        <v>82</v>
      </c>
      <c r="D253" s="24" t="s">
        <v>4</v>
      </c>
      <c r="E253" s="25" t="s">
        <v>83</v>
      </c>
      <c r="F253" s="24" t="s">
        <v>84</v>
      </c>
      <c r="G253" s="25" t="s">
        <v>85</v>
      </c>
      <c r="H253" s="24" t="s">
        <v>8</v>
      </c>
      <c r="I253" s="25" t="s">
        <v>9</v>
      </c>
      <c r="J253" s="24" t="s">
        <v>10</v>
      </c>
      <c r="K253" s="25" t="s">
        <v>86</v>
      </c>
      <c r="L253" s="24" t="s">
        <v>12</v>
      </c>
      <c r="M253" s="25" t="s">
        <v>13</v>
      </c>
      <c r="N253" s="24" t="s">
        <v>14</v>
      </c>
      <c r="O253" s="25" t="s">
        <v>15</v>
      </c>
    </row>
    <row r="254" ht="13.5" spans="1:15">
      <c r="A254" s="5"/>
      <c r="C254" s="6"/>
      <c r="E254" s="6"/>
      <c r="F254" s="4"/>
      <c r="G254" s="6"/>
      <c r="H254" s="4"/>
      <c r="I254" s="6"/>
      <c r="J254" s="4"/>
      <c r="K254" s="6"/>
      <c r="L254" s="4"/>
      <c r="M254" s="6"/>
      <c r="N254" s="47"/>
      <c r="O254" s="6"/>
    </row>
    <row r="255" spans="1:15">
      <c r="A255" s="7" t="s">
        <v>155</v>
      </c>
      <c r="B255" s="9">
        <f>D255+E255+F255+G255+H255+I255+J255+K255+L255+M255+N255+O255</f>
        <v>6435</v>
      </c>
      <c r="C255" s="10"/>
      <c r="D255" s="12">
        <f>57*45</f>
        <v>2565</v>
      </c>
      <c r="E255" s="12">
        <f>86*45</f>
        <v>3870</v>
      </c>
      <c r="F255" s="13"/>
      <c r="G255" s="14"/>
      <c r="H255" s="14"/>
      <c r="I255" s="13"/>
      <c r="J255" s="13"/>
      <c r="K255" s="13"/>
      <c r="L255" s="13"/>
      <c r="M255" s="13"/>
      <c r="N255" s="13"/>
      <c r="O255" s="13"/>
    </row>
    <row r="256" spans="1:15">
      <c r="A256" s="7"/>
      <c r="B256" s="9"/>
      <c r="C256" s="11">
        <f>SUM(D256:O256)</f>
        <v>282.08</v>
      </c>
      <c r="D256" s="15">
        <v>156.25</v>
      </c>
      <c r="E256" s="15">
        <v>125.83</v>
      </c>
      <c r="F256" s="15"/>
      <c r="G256" s="15"/>
      <c r="H256" s="15"/>
      <c r="I256" s="15"/>
      <c r="J256" s="15"/>
      <c r="K256" s="16"/>
      <c r="L256" s="16"/>
      <c r="M256" s="16"/>
      <c r="N256" s="16"/>
      <c r="O256" s="16"/>
    </row>
    <row r="257" spans="1:15">
      <c r="A257" s="7"/>
      <c r="B257" s="7"/>
      <c r="C257" s="8"/>
      <c r="D257" s="7"/>
      <c r="E257" s="8"/>
      <c r="F257" s="8"/>
      <c r="G257" s="8"/>
      <c r="H257" s="8"/>
      <c r="I257" s="8"/>
      <c r="J257" s="8"/>
      <c r="K257" s="8"/>
      <c r="L257" s="8"/>
      <c r="M257" s="8"/>
      <c r="N257" s="37"/>
      <c r="O257" s="8"/>
    </row>
    <row r="258" spans="1:15">
      <c r="A258" s="7" t="s">
        <v>156</v>
      </c>
      <c r="B258" s="9">
        <f>D258+E258+F258+G258+H258+I258+J258+K258+L258+M258+N258+O258</f>
        <v>8550</v>
      </c>
      <c r="C258" s="10"/>
      <c r="D258" s="12">
        <f>182*45</f>
        <v>8190</v>
      </c>
      <c r="E258" s="12">
        <f>8*45</f>
        <v>360</v>
      </c>
      <c r="F258" s="13"/>
      <c r="G258" s="14"/>
      <c r="H258" s="14"/>
      <c r="I258" s="13"/>
      <c r="J258" s="13"/>
      <c r="K258" s="13"/>
      <c r="L258" s="13"/>
      <c r="M258" s="13"/>
      <c r="N258" s="13"/>
      <c r="O258" s="13"/>
    </row>
    <row r="259" spans="1:15">
      <c r="A259" s="7"/>
      <c r="B259" s="9"/>
      <c r="C259" s="11">
        <f>SUM(D259:O259)</f>
        <v>175.83</v>
      </c>
      <c r="D259" s="15">
        <v>88.33</v>
      </c>
      <c r="E259" s="15">
        <v>87.5</v>
      </c>
      <c r="F259" s="15"/>
      <c r="G259" s="15"/>
      <c r="H259" s="15"/>
      <c r="I259" s="15"/>
      <c r="J259" s="15"/>
      <c r="K259" s="16"/>
      <c r="L259" s="16"/>
      <c r="M259" s="16"/>
      <c r="N259" s="16"/>
      <c r="O259" s="16"/>
    </row>
    <row r="260" spans="1:15">
      <c r="A260" s="7"/>
      <c r="B260" s="9"/>
      <c r="C260" s="10"/>
      <c r="D260" s="7"/>
      <c r="E260" s="7"/>
      <c r="F260" s="7"/>
      <c r="G260" s="7"/>
      <c r="H260" s="7"/>
      <c r="I260" s="7"/>
      <c r="J260" s="7"/>
      <c r="K260" s="13"/>
      <c r="L260" s="13"/>
      <c r="M260" s="13"/>
      <c r="N260" s="13"/>
      <c r="O260" s="13"/>
    </row>
    <row r="261" spans="1:15">
      <c r="A261" s="7" t="s">
        <v>157</v>
      </c>
      <c r="B261" s="9">
        <f>D261+E261+F261+G261+H261+I261+J261+K261+L261+M261+N261+O261</f>
        <v>225</v>
      </c>
      <c r="C261" s="10"/>
      <c r="D261" s="7"/>
      <c r="E261" s="12">
        <f>5*45</f>
        <v>225</v>
      </c>
      <c r="F261" s="7"/>
      <c r="G261" s="14"/>
      <c r="H261" s="14"/>
      <c r="I261" s="7"/>
      <c r="J261" s="7"/>
      <c r="K261" s="13"/>
      <c r="L261" s="13"/>
      <c r="M261" s="13"/>
      <c r="N261" s="13"/>
      <c r="O261" s="13"/>
    </row>
    <row r="262" spans="1:15">
      <c r="A262" s="7"/>
      <c r="B262" s="9"/>
      <c r="C262" s="11">
        <f>SUM(D262:O262)</f>
        <v>80</v>
      </c>
      <c r="D262" s="7"/>
      <c r="E262" s="15">
        <v>80</v>
      </c>
      <c r="F262" s="7"/>
      <c r="G262" s="7"/>
      <c r="H262" s="7"/>
      <c r="I262" s="7"/>
      <c r="J262" s="7"/>
      <c r="K262" s="13"/>
      <c r="L262" s="13"/>
      <c r="M262" s="13"/>
      <c r="N262" s="13"/>
      <c r="O262" s="13"/>
    </row>
    <row r="263" spans="1:15">
      <c r="A263" s="7"/>
      <c r="B263" s="9"/>
      <c r="C263" s="10"/>
      <c r="D263" s="7"/>
      <c r="E263" s="7"/>
      <c r="F263" s="7"/>
      <c r="G263" s="7"/>
      <c r="H263" s="7"/>
      <c r="I263" s="7"/>
      <c r="J263" s="7"/>
      <c r="K263" s="13"/>
      <c r="L263" s="13"/>
      <c r="M263" s="13"/>
      <c r="N263" s="13"/>
      <c r="O263" s="13"/>
    </row>
    <row r="264" spans="1:15">
      <c r="A264" s="7" t="s">
        <v>158</v>
      </c>
      <c r="B264" s="9">
        <f>D264+E264+F264+G264+H264+I264+J264+K264+L264+M264+N264+O264</f>
        <v>1092465</v>
      </c>
      <c r="C264" s="10"/>
      <c r="D264" s="12">
        <f>11363*45</f>
        <v>511335</v>
      </c>
      <c r="E264" s="12">
        <f>12914*45</f>
        <v>581130</v>
      </c>
      <c r="F264" s="13"/>
      <c r="G264" s="14"/>
      <c r="H264" s="14"/>
      <c r="I264" s="13"/>
      <c r="J264" s="13"/>
      <c r="K264" s="13"/>
      <c r="L264" s="13"/>
      <c r="M264" s="13"/>
      <c r="N264" s="13"/>
      <c r="O264" s="13"/>
    </row>
    <row r="265" spans="1:15">
      <c r="A265" s="7"/>
      <c r="B265" s="9"/>
      <c r="C265" s="11">
        <f>SUM(D265:O265)</f>
        <v>65.51</v>
      </c>
      <c r="D265" s="15">
        <v>27.25</v>
      </c>
      <c r="E265" s="15">
        <v>38.26</v>
      </c>
      <c r="F265" s="15"/>
      <c r="G265" s="15"/>
      <c r="H265" s="15"/>
      <c r="I265" s="15"/>
      <c r="J265" s="15"/>
      <c r="K265" s="16"/>
      <c r="L265" s="16"/>
      <c r="M265" s="16"/>
      <c r="N265" s="16"/>
      <c r="O265" s="16"/>
    </row>
    <row r="266" spans="1:15">
      <c r="A266" s="7"/>
      <c r="B266" s="9"/>
      <c r="C266" s="10"/>
      <c r="D266" s="7"/>
      <c r="E266" s="7"/>
      <c r="F266" s="7"/>
      <c r="G266" s="7"/>
      <c r="H266" s="7"/>
      <c r="I266" s="7"/>
      <c r="J266" s="7"/>
      <c r="K266" s="13"/>
      <c r="L266" s="13"/>
      <c r="M266" s="13"/>
      <c r="N266" s="13"/>
      <c r="O266" s="13"/>
    </row>
    <row r="267" spans="1:15">
      <c r="A267" s="7" t="s">
        <v>159</v>
      </c>
      <c r="B267" s="9">
        <f>D267+E267+F267+G267+H267+I267+J267+K267+L267+M267+N267+O267</f>
        <v>1890</v>
      </c>
      <c r="C267" s="10"/>
      <c r="D267" s="12">
        <f>38*45</f>
        <v>1710</v>
      </c>
      <c r="E267" s="12">
        <f>4*45</f>
        <v>180</v>
      </c>
      <c r="F267" s="13"/>
      <c r="G267" s="14"/>
      <c r="H267" s="14"/>
      <c r="I267" s="13"/>
      <c r="J267" s="13"/>
      <c r="K267" s="13"/>
      <c r="L267" s="13"/>
      <c r="M267" s="13"/>
      <c r="N267" s="13"/>
      <c r="O267" s="13"/>
    </row>
    <row r="268" spans="1:15">
      <c r="A268" s="7"/>
      <c r="B268" s="9"/>
      <c r="C268" s="11">
        <f>SUM(D268:O268)</f>
        <v>282.5</v>
      </c>
      <c r="D268" s="15">
        <v>162.5</v>
      </c>
      <c r="E268" s="15">
        <v>120</v>
      </c>
      <c r="F268" s="15"/>
      <c r="G268" s="16"/>
      <c r="H268" s="15"/>
      <c r="I268" s="15"/>
      <c r="J268" s="15"/>
      <c r="K268" s="16"/>
      <c r="L268" s="16"/>
      <c r="M268" s="16"/>
      <c r="N268" s="16"/>
      <c r="O268" s="16"/>
    </row>
    <row r="269" spans="1:15">
      <c r="A269" s="7"/>
      <c r="B269" s="9"/>
      <c r="C269" s="10"/>
      <c r="D269" s="7"/>
      <c r="E269" s="7"/>
      <c r="F269" s="7"/>
      <c r="G269" s="7"/>
      <c r="H269" s="7"/>
      <c r="I269" s="7"/>
      <c r="J269" s="7"/>
      <c r="K269" s="13"/>
      <c r="L269" s="13"/>
      <c r="M269" s="13"/>
      <c r="N269" s="13"/>
      <c r="O269" s="13"/>
    </row>
    <row r="270" spans="1:15">
      <c r="A270" s="7" t="s">
        <v>160</v>
      </c>
      <c r="B270" s="9">
        <f>D270+E270+F270+G270+H270+I270+J270+K270+L270+M270+N270+O270</f>
        <v>0</v>
      </c>
      <c r="C270" s="10"/>
      <c r="D270" s="13"/>
      <c r="E270" s="13"/>
      <c r="F270" s="13"/>
      <c r="G270" s="14"/>
      <c r="H270" s="13"/>
      <c r="I270" s="7"/>
      <c r="J270" s="7"/>
      <c r="K270" s="13"/>
      <c r="L270" s="13"/>
      <c r="M270" s="13"/>
      <c r="N270" s="13"/>
      <c r="O270" s="13"/>
    </row>
    <row r="271" spans="1:15">
      <c r="A271" s="7" t="s">
        <v>161</v>
      </c>
      <c r="B271" s="9"/>
      <c r="C271" s="11">
        <f>SUM(D271:O271)</f>
        <v>0</v>
      </c>
      <c r="D271" s="15"/>
      <c r="E271" s="15"/>
      <c r="F271" s="15"/>
      <c r="G271" s="16"/>
      <c r="H271" s="15"/>
      <c r="I271" s="7"/>
      <c r="J271" s="7"/>
      <c r="K271" s="16"/>
      <c r="L271" s="16"/>
      <c r="M271" s="16"/>
      <c r="N271" s="16"/>
      <c r="O271" s="16"/>
    </row>
    <row r="272" spans="1:15">
      <c r="A272" s="7"/>
      <c r="B272" s="9"/>
      <c r="C272" s="10"/>
      <c r="D272" s="7"/>
      <c r="E272" s="7"/>
      <c r="F272" s="7"/>
      <c r="G272" s="7"/>
      <c r="H272" s="7"/>
      <c r="I272" s="7"/>
      <c r="J272" s="7"/>
      <c r="K272" s="13"/>
      <c r="L272" s="13"/>
      <c r="M272" s="13"/>
      <c r="N272" s="13"/>
      <c r="O272" s="13"/>
    </row>
    <row r="273" spans="1:15">
      <c r="A273" s="7" t="s">
        <v>162</v>
      </c>
      <c r="B273" s="9">
        <f>D273+E273+F273+G273+H273+I273+J273+K273+L273+M273+N273+O273</f>
        <v>240300</v>
      </c>
      <c r="C273" s="10"/>
      <c r="D273" s="12">
        <f>2595*45</f>
        <v>116775</v>
      </c>
      <c r="E273" s="12">
        <f>2745*45</f>
        <v>123525</v>
      </c>
      <c r="F273" s="13"/>
      <c r="G273" s="14"/>
      <c r="H273" s="14"/>
      <c r="I273" s="13"/>
      <c r="J273" s="13"/>
      <c r="K273" s="13"/>
      <c r="L273" s="13"/>
      <c r="M273" s="13"/>
      <c r="N273" s="13"/>
      <c r="O273" s="13"/>
    </row>
    <row r="274" spans="1:15">
      <c r="A274" s="7"/>
      <c r="B274" s="9"/>
      <c r="C274" s="11">
        <f>SUM(D274:O274)</f>
        <v>123.61</v>
      </c>
      <c r="D274" s="15">
        <v>60.02</v>
      </c>
      <c r="E274" s="7">
        <v>63.59</v>
      </c>
      <c r="F274" s="15"/>
      <c r="G274" s="15"/>
      <c r="H274" s="15"/>
      <c r="I274" s="15"/>
      <c r="J274" s="15"/>
      <c r="K274" s="16"/>
      <c r="L274" s="16"/>
      <c r="M274" s="16"/>
      <c r="N274" s="16"/>
      <c r="O274" s="16"/>
    </row>
    <row r="275" spans="1:15">
      <c r="A275" s="7"/>
      <c r="B275" s="9"/>
      <c r="C275" s="10"/>
      <c r="D275" s="7"/>
      <c r="E275" s="7"/>
      <c r="F275" s="7"/>
      <c r="G275" s="7"/>
      <c r="H275" s="7"/>
      <c r="I275" s="7"/>
      <c r="J275" s="7"/>
      <c r="K275" s="13"/>
      <c r="L275" s="13"/>
      <c r="M275" s="13"/>
      <c r="N275" s="13"/>
      <c r="O275" s="13"/>
    </row>
    <row r="276" spans="1:15">
      <c r="A276" s="7" t="s">
        <v>163</v>
      </c>
      <c r="B276" s="9">
        <f>D276+E276+F276+G276+H276+I276+J276+K276+L276+M276+N276+O276</f>
        <v>16920</v>
      </c>
      <c r="C276" s="10"/>
      <c r="D276" s="12">
        <f>232*45</f>
        <v>10440</v>
      </c>
      <c r="E276" s="12">
        <f>144*45</f>
        <v>6480</v>
      </c>
      <c r="F276" s="13"/>
      <c r="G276" s="14"/>
      <c r="H276" s="14"/>
      <c r="I276" s="13"/>
      <c r="J276" s="13"/>
      <c r="K276" s="13"/>
      <c r="L276" s="13"/>
      <c r="M276" s="13"/>
      <c r="N276" s="13"/>
      <c r="O276" s="13"/>
    </row>
    <row r="277" spans="1:15">
      <c r="A277" s="7"/>
      <c r="B277" s="9"/>
      <c r="C277" s="11">
        <f>SUM(D277:O277)</f>
        <v>130.42</v>
      </c>
      <c r="D277" s="15">
        <v>65.71</v>
      </c>
      <c r="E277" s="15">
        <v>64.71</v>
      </c>
      <c r="F277" s="15"/>
      <c r="G277" s="15"/>
      <c r="H277" s="15"/>
      <c r="I277" s="15"/>
      <c r="J277" s="15"/>
      <c r="K277" s="16"/>
      <c r="L277" s="16"/>
      <c r="M277" s="16"/>
      <c r="N277" s="16"/>
      <c r="O277" s="16"/>
    </row>
    <row r="278" spans="1:15">
      <c r="A278" s="7"/>
      <c r="B278" s="9"/>
      <c r="C278" s="11"/>
      <c r="D278" s="15"/>
      <c r="E278" s="15"/>
      <c r="F278" s="15"/>
      <c r="G278" s="15"/>
      <c r="H278" s="15"/>
      <c r="I278" s="15"/>
      <c r="J278" s="15"/>
      <c r="K278" s="16"/>
      <c r="L278" s="16"/>
      <c r="M278" s="16"/>
      <c r="N278" s="16"/>
      <c r="O278" s="16"/>
    </row>
    <row r="279" spans="1:15">
      <c r="A279" s="7" t="s">
        <v>164</v>
      </c>
      <c r="B279" s="9">
        <f>D279+E279+F279+G279+H279+I279+J279+K279+L279+M279+N279+O279</f>
        <v>291870</v>
      </c>
      <c r="C279" s="10"/>
      <c r="D279" s="12">
        <f>3558*45</f>
        <v>160110</v>
      </c>
      <c r="E279" s="12">
        <f>2928*45</f>
        <v>131760</v>
      </c>
      <c r="F279" s="52"/>
      <c r="G279" s="14"/>
      <c r="H279" s="14"/>
      <c r="I279" s="13"/>
      <c r="J279" s="13"/>
      <c r="K279" s="13"/>
      <c r="L279" s="13"/>
      <c r="M279" s="13"/>
      <c r="N279" s="13"/>
      <c r="O279" s="13"/>
    </row>
    <row r="280" spans="1:15">
      <c r="A280" s="7"/>
      <c r="B280" s="9"/>
      <c r="C280" s="11">
        <f>SUM(D280:O280)</f>
        <v>152.43</v>
      </c>
      <c r="D280" s="15">
        <v>79.52</v>
      </c>
      <c r="E280" s="15">
        <v>72.91</v>
      </c>
      <c r="F280" s="15"/>
      <c r="G280" s="15"/>
      <c r="H280" s="15"/>
      <c r="I280" s="15"/>
      <c r="J280" s="15"/>
      <c r="K280" s="16"/>
      <c r="L280" s="16"/>
      <c r="M280" s="16"/>
      <c r="N280" s="16"/>
      <c r="O280" s="16"/>
    </row>
    <row r="281" spans="1:15">
      <c r="A281" s="7"/>
      <c r="B281" s="9"/>
      <c r="C281" s="10"/>
      <c r="D281" s="7"/>
      <c r="E281" s="15"/>
      <c r="F281" s="15"/>
      <c r="G281" s="15"/>
      <c r="H281" s="7"/>
      <c r="I281" s="7"/>
      <c r="J281" s="7"/>
      <c r="K281" s="16"/>
      <c r="L281" s="13"/>
      <c r="M281" s="13"/>
      <c r="N281" s="13"/>
      <c r="O281" s="13"/>
    </row>
    <row r="282" spans="1:15">
      <c r="A282" s="7" t="s">
        <v>165</v>
      </c>
      <c r="B282" s="9">
        <f>D282+E282+F282+G282+H282+I282+J282+K282+L282+M282+N282+O282</f>
        <v>0</v>
      </c>
      <c r="C282" s="10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</row>
    <row r="283" spans="1:15">
      <c r="A283" s="7"/>
      <c r="B283" s="9"/>
      <c r="C283" s="11">
        <f>SUM(D283:O283)</f>
        <v>0</v>
      </c>
      <c r="D283" s="15"/>
      <c r="E283" s="15"/>
      <c r="F283" s="15"/>
      <c r="G283" s="15"/>
      <c r="H283" s="15"/>
      <c r="I283" s="15"/>
      <c r="J283" s="15"/>
      <c r="K283" s="16"/>
      <c r="L283" s="16"/>
      <c r="M283" s="16"/>
      <c r="N283" s="16"/>
      <c r="O283" s="16"/>
    </row>
    <row r="284" ht="13.5" spans="1:15">
      <c r="A284" s="22"/>
      <c r="B284" s="53"/>
      <c r="C284" s="54"/>
      <c r="D284" s="22"/>
      <c r="E284" s="22"/>
      <c r="F284" s="2"/>
      <c r="G284" s="22"/>
      <c r="H284" s="2"/>
      <c r="I284" s="22"/>
      <c r="J284" s="2"/>
      <c r="K284" s="66"/>
      <c r="L284" s="20"/>
      <c r="M284" s="66"/>
      <c r="N284" s="20"/>
      <c r="O284" s="66"/>
    </row>
    <row r="285" ht="13.5" spans="1:15">
      <c r="A285" s="55" t="s">
        <v>166</v>
      </c>
      <c r="B285" s="56">
        <f>B8+B11+B14+B17+B20+B23+B26+B29+B35+B49+B52+B55+B58+B61+B64+B67+B70+B73+B76+B90+B93+B96+B99+B102+B105+B108+B111+B114+B131+B134+B137+B140+B143+B146+B149+B152+B155+B173+B176+B179+B182+B185+B188+B191+B194+B197+B200+B203+B214+B217+B220+B223+B226+B229+B232+B235+B238+B241+B255+Sheet1!B28+B261+B264+B267+B270+B273+B276+B279+B282</f>
        <v>3791250</v>
      </c>
      <c r="C285" s="56" t="e">
        <f>C8+C11+C14+C17+C20+C23+C26+C29+C35+C49+C52+C55+C58+C61+C64+C67+C70+C73+C76+C90+C93+C96+C99+C102+C105+C108+C111+C114+C131+C134+C137+C140+C143+C146+C149+C152+C155+C173+C176+C179+C182+C185+C188+C191+C194+C197+C200+C203+C214+C217+C220+C223+C226+C229+C232+C235+C238+C241+C255+Sheet1!#REF!+C261+C264+C267+C270+C273+C276+C279+C282</f>
        <v>#REF!</v>
      </c>
      <c r="D285" s="56">
        <f>D8+D14+D17+D20+D23+D26+D29+D32+D35+D49+D52+D55+D58+D61+D64+D67+D70+D73+D76+D96+D99+D102+D105+D108+D111+D114+D131+D134+D137+D140+D143+D146+D149+D152+D155+D158+D179+D182+D185+D188+D191+D194+D197+D200+D203+D214+D217+D220+D223+D226+D229+D232+D235+D238+D241+D255+D258+D261+D264+D267+D270+D273+D276+D279+D282</f>
        <v>1967265</v>
      </c>
      <c r="E285" s="56">
        <f>E8+E11+E14+E17+E20+E23+E26+E29+E35+E49+E52+E55+E58+E61+E64+E67+E70+E73+E76+E90+E93+E96+E99+E102+E105+E108+E111+E114+E131+E134+E137+E140+E143+E146+E149+E152+E155+E173+E176+E179+E182+E185+E188+E191+E194+E197+E200+E203+E214+E217+E220+E223+E226+E229+E232+E235+E238+E241+E255+Sheet1!D28+E261+E264+E267+E270+E273+E276+E279+E282</f>
        <v>1637640</v>
      </c>
      <c r="F285" s="57"/>
      <c r="G285" s="58">
        <f>G8+G11+G14+G17+G20+G23+G26+G29+G35+G49+G52+G55+G58+G61+G64+G67+G70+G73+G76+G90+G93+G96+G99+G102+G105+G108+G111+G114+G131+G134+G137+G140+G143+G146+G149+G152+G155+G158+G173+G176+G179+G182+G185+G188+G191+G194+G197+G200+G203+G214+G217+G220+G223+G226+G229+G232+G235+G238+G241+G255+Sheet1!F28+G261+G264+G267+G270+G273+G276+G279+G282</f>
        <v>0</v>
      </c>
      <c r="H285" s="56">
        <f>H8+H11+H14+H17+H20+H23+H26+H29+H35+H49+H52+H55+H58+H61+H64+H67+H70+H73+H76+H90+H93+H96+H99+H102+H105+H108+H111+H114+H131+H134+H137+H140+H143+H146+H149+H152+H155+H173+H176+H179+H182+H185+H188+H191+H194+H197+H200+H203+H214+H217+H220+H223+H226+H229+H232+H235+H238+H241+H255+Sheet1!G28+H261+H264+H267+H270+H273+H276+H279+H282</f>
        <v>0</v>
      </c>
      <c r="I285" s="56"/>
      <c r="J285" s="57"/>
      <c r="K285" s="67"/>
      <c r="L285" s="57"/>
      <c r="M285" s="67"/>
      <c r="N285" s="57"/>
      <c r="O285" s="67"/>
    </row>
    <row r="286" ht="13.5" spans="1:15">
      <c r="A286" s="59" t="s">
        <v>167</v>
      </c>
      <c r="B286" s="60"/>
      <c r="C286" s="61"/>
      <c r="D286" s="61"/>
      <c r="E286" s="61"/>
      <c r="F286" s="62"/>
      <c r="G286" s="61"/>
      <c r="H286" s="62"/>
      <c r="I286" s="61"/>
      <c r="J286" s="62"/>
      <c r="K286" s="61"/>
      <c r="L286" s="62"/>
      <c r="M286" s="61"/>
      <c r="N286" s="62"/>
      <c r="O286" s="61"/>
    </row>
    <row r="287" ht="13.5" spans="4:4">
      <c r="D287" s="63"/>
    </row>
    <row r="288" ht="13.5" spans="4:8">
      <c r="D288" s="64">
        <f>SUM(D255+D258+D264+D267+D273+D276+D279)</f>
        <v>811125</v>
      </c>
      <c r="E288" s="65"/>
      <c r="F288" s="18">
        <f>44052*45</f>
        <v>1982340</v>
      </c>
      <c r="G288" t="s">
        <v>168</v>
      </c>
      <c r="H288" s="45">
        <f>1982.34*45</f>
        <v>89205.3</v>
      </c>
    </row>
    <row r="289" ht="13.5" spans="4:7">
      <c r="D289" s="45"/>
      <c r="E289" s="48"/>
      <c r="F289">
        <f>36400*45</f>
        <v>1638000</v>
      </c>
      <c r="G289" s="65" t="s">
        <v>169</v>
      </c>
    </row>
  </sheetData>
  <pageMargins left="1.1" right="1.05" top="1" bottom="1" header="0.5" footer="0.5"/>
  <pageSetup paperSize="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A18"/>
  <sheetViews>
    <sheetView topLeftCell="A18" workbookViewId="0">
      <selection activeCell="A19" sqref="A19"/>
    </sheetView>
  </sheetViews>
  <sheetFormatPr defaultColWidth="9" defaultRowHeight="12.75"/>
  <sheetData>
    <row r="16" ht="54.75" spans="1:1">
      <c r="A16" s="1" t="s">
        <v>170</v>
      </c>
    </row>
    <row r="18" ht="54.75" spans="1:1">
      <c r="A18" s="1" t="s">
        <v>171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..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pfda-llpc</dc:creator>
  <cp:lastModifiedBy>rovic</cp:lastModifiedBy>
  <dcterms:created xsi:type="dcterms:W3CDTF">2005-04-04T08:54:00Z</dcterms:created>
  <cp:lastPrinted>2023-03-30T08:26:00Z</cp:lastPrinted>
  <dcterms:modified xsi:type="dcterms:W3CDTF">2024-01-08T01:35:03Z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A0F7F39AC6824D3292706D8DD731C87C_12</vt:lpwstr>
  </property>
  <property fmtid="{D5CDD505-2E9C-101B-9397-08002B2CF9AE}" pid="3" name="KSOProductBuildVer">
    <vt:lpwstr>1033-12.2.0.13359</vt:lpwstr>
  </property>
</Properties>
</file>