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trlProps/ctrlProp1.xml" ContentType="application/vnd.ms-excel.controlproperties+xml"/>
  <Override PartName="/xl/drawings/drawing4.xml" ContentType="application/vnd.openxmlformats-officedocument.drawing+xml"/>
  <Override PartName="/xl/ctrlProps/ctrlProp2.xml" ContentType="application/vnd.ms-excel.controlproperties+xml"/>
  <Override PartName="/xl/drawings/drawing5.xml" ContentType="application/vnd.openxmlformats-officedocument.drawing+xml"/>
  <Override PartName="/xl/ctrlProps/ctrlProp3.xml" ContentType="application/vnd.ms-excel.controlproperties+xml"/>
  <Override PartName="/xl/drawings/drawing6.xml" ContentType="application/vnd.openxmlformats-officedocument.drawing+xml"/>
  <Override PartName="/xl/ctrlProps/ctrlProp4.xml" ContentType="application/vnd.ms-excel.controlproperties+xml"/>
  <Override PartName="/xl/drawings/drawing7.xml" ContentType="application/vnd.openxmlformats-officedocument.drawing+xml"/>
  <Override PartName="/xl/ctrlProps/ctrlProp5.xml" ContentType="application/vnd.ms-excel.controlproperties+xml"/>
  <Override PartName="/xl/drawings/drawing8.xml" ContentType="application/vnd.openxmlformats-officedocument.drawing+xml"/>
  <Override PartName="/xl/ctrlProps/ctrlProp6.xml" ContentType="application/vnd.ms-excel.controlproperties+xml"/>
  <Override PartName="/xl/drawings/drawing9.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0.xml" ContentType="application/vnd.openxmlformats-officedocument.drawingml.chartshape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xml" ContentType="application/vnd.openxmlformats-officedocument.themeOverrid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Ajay Rawat\OneDrive\Desktop\"/>
    </mc:Choice>
  </mc:AlternateContent>
  <xr:revisionPtr revIDLastSave="0" documentId="13_ncr:1_{A66832B9-A606-4B6C-98A1-828D0A4E7FF0}" xr6:coauthVersionLast="47" xr6:coauthVersionMax="47" xr10:uidLastSave="{00000000-0000-0000-0000-000000000000}"/>
  <bookViews>
    <workbookView xWindow="-108" yWindow="-108" windowWidth="23256" windowHeight="12456" activeTab="1" xr2:uid="{5DB57AB0-0760-4DA3-ADAE-3983A06AD74C}"/>
  </bookViews>
  <sheets>
    <sheet name="Input Sheet" sheetId="20" r:id="rId1"/>
    <sheet name="WACC" sheetId="23" r:id="rId2"/>
    <sheet name="Damodaran Data" sheetId="22" r:id="rId3"/>
    <sheet name="Assumptions Working " sheetId="5" r:id="rId4"/>
    <sheet name="ControlSheet" sheetId="6" r:id="rId5"/>
    <sheet name="Schedules" sheetId="10" r:id="rId6"/>
    <sheet name="3 Statement Model" sheetId="11" r:id="rId7"/>
    <sheet name="Ratio Analysis" sheetId="12" r:id="rId8"/>
    <sheet name="Common Size Statement" sheetId="21" r:id="rId9"/>
    <sheet name="DCF Val" sheetId="15" r:id="rId10"/>
    <sheet name="Option Value" sheetId="25" r:id="rId11"/>
    <sheet name="Client Data &gt;" sheetId="3" r:id="rId12"/>
    <sheet name="P&amp;l 25-24" sheetId="16" r:id="rId13"/>
    <sheet name="Balance Sheet" sheetId="17" r:id="rId14"/>
    <sheet name="Cash Flow" sheetId="18" r:id="rId15"/>
    <sheet name="Scratch" sheetId="19" r:id="rId16"/>
    <sheet name="Cal Sheet" sheetId="24" r:id="rId17"/>
  </sheets>
  <definedNames>
    <definedName name="_xlnm._FilterDatabase" localSheetId="15" hidden="1">Scratch!$AU$18:$AV$267</definedName>
    <definedName name="CIQWBGuid" hidden="1">"9bd8df8b-044c-4dd6-a0df-b0c3f83b8dd9"</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"06/08/2021 20:37:46"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iterate="1" iterateDelta="9.8999999999999999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A328" i="19" l="1"/>
  <c r="BA327" i="19"/>
  <c r="I318" i="5"/>
  <c r="H318" i="5"/>
  <c r="G318" i="5"/>
  <c r="F318" i="5"/>
  <c r="E318" i="5"/>
  <c r="D318" i="5"/>
  <c r="C318" i="5"/>
  <c r="D326" i="5"/>
  <c r="E326" i="5"/>
  <c r="F326" i="5"/>
  <c r="G326" i="5"/>
  <c r="H326" i="5"/>
  <c r="I326" i="5"/>
  <c r="C326" i="5"/>
  <c r="S64" i="10"/>
  <c r="R64" i="10"/>
  <c r="Q64" i="10"/>
  <c r="P64" i="10"/>
  <c r="F156" i="11"/>
  <c r="E156" i="11"/>
  <c r="D156" i="11"/>
  <c r="P9" i="21"/>
  <c r="Q9" i="21" s="1"/>
  <c r="R9" i="21" s="1"/>
  <c r="S9" i="21" s="1"/>
  <c r="O9" i="21"/>
  <c r="S35" i="21"/>
  <c r="R35" i="21"/>
  <c r="Q35" i="21"/>
  <c r="P35" i="21"/>
  <c r="O35" i="21"/>
  <c r="S25" i="21"/>
  <c r="R25" i="21"/>
  <c r="Q25" i="21"/>
  <c r="P25" i="21"/>
  <c r="O25" i="21"/>
  <c r="S23" i="21"/>
  <c r="R23" i="21"/>
  <c r="Q23" i="21"/>
  <c r="P23" i="21"/>
  <c r="O23" i="21"/>
  <c r="S22" i="21"/>
  <c r="R22" i="21"/>
  <c r="Q22" i="21"/>
  <c r="P22" i="21"/>
  <c r="O22" i="21"/>
  <c r="S21" i="21"/>
  <c r="R21" i="21"/>
  <c r="Q21" i="21"/>
  <c r="P21" i="21"/>
  <c r="O21" i="21"/>
  <c r="S20" i="21"/>
  <c r="R20" i="21"/>
  <c r="Q20" i="21"/>
  <c r="P20" i="21"/>
  <c r="O20" i="21"/>
  <c r="S15" i="21"/>
  <c r="R15" i="21"/>
  <c r="Q15" i="21"/>
  <c r="P15" i="21"/>
  <c r="O15" i="21"/>
  <c r="S14" i="21"/>
  <c r="R14" i="21"/>
  <c r="Q14" i="21"/>
  <c r="P14" i="21"/>
  <c r="O14" i="21"/>
  <c r="S13" i="21"/>
  <c r="R13" i="21"/>
  <c r="Q13" i="21"/>
  <c r="P13" i="21"/>
  <c r="O13" i="21"/>
  <c r="R85" i="12"/>
  <c r="Q85" i="12"/>
  <c r="P85" i="12"/>
  <c r="O85" i="12"/>
  <c r="N85" i="12"/>
  <c r="R80" i="12"/>
  <c r="Q80" i="12"/>
  <c r="R79" i="12"/>
  <c r="Q79" i="12"/>
  <c r="P79" i="12"/>
  <c r="O79" i="12"/>
  <c r="N79" i="12"/>
  <c r="R78" i="12"/>
  <c r="Q78" i="12"/>
  <c r="P78" i="12"/>
  <c r="P80" i="12" s="1"/>
  <c r="O78" i="12"/>
  <c r="O80" i="12" s="1"/>
  <c r="N78" i="12"/>
  <c r="N80" i="12" s="1"/>
  <c r="R74" i="12"/>
  <c r="Q74" i="12"/>
  <c r="P74" i="12"/>
  <c r="O74" i="12"/>
  <c r="N74" i="12"/>
  <c r="R70" i="12"/>
  <c r="Q70" i="12"/>
  <c r="P70" i="12"/>
  <c r="O70" i="12"/>
  <c r="N70" i="12"/>
  <c r="R57" i="12"/>
  <c r="Q57" i="12"/>
  <c r="P57" i="12"/>
  <c r="O57" i="12"/>
  <c r="N57" i="12"/>
  <c r="R53" i="12"/>
  <c r="Q53" i="12"/>
  <c r="P53" i="12"/>
  <c r="O53" i="12"/>
  <c r="N53" i="12"/>
  <c r="N50" i="12"/>
  <c r="R49" i="12"/>
  <c r="R50" i="12" s="1"/>
  <c r="Q49" i="12"/>
  <c r="Q50" i="12" s="1"/>
  <c r="P49" i="12"/>
  <c r="P50" i="12" s="1"/>
  <c r="O49" i="12"/>
  <c r="O50" i="12" s="1"/>
  <c r="N49" i="12"/>
  <c r="R48" i="12"/>
  <c r="Q48" i="12"/>
  <c r="P48" i="12"/>
  <c r="O48" i="12"/>
  <c r="N48" i="12"/>
  <c r="R45" i="12"/>
  <c r="R46" i="12" s="1"/>
  <c r="Q45" i="12"/>
  <c r="Q46" i="12" s="1"/>
  <c r="P45" i="12"/>
  <c r="P46" i="12" s="1"/>
  <c r="O45" i="12"/>
  <c r="O46" i="12" s="1"/>
  <c r="N45" i="12"/>
  <c r="N46" i="12" s="1"/>
  <c r="R44" i="12"/>
  <c r="Q44" i="12"/>
  <c r="P44" i="12"/>
  <c r="O44" i="12"/>
  <c r="N44" i="12"/>
  <c r="R25" i="12"/>
  <c r="Q25" i="12"/>
  <c r="P25" i="12"/>
  <c r="O25" i="12"/>
  <c r="N25" i="12"/>
  <c r="N26" i="12" s="1"/>
  <c r="R24" i="12"/>
  <c r="R26" i="12" s="1"/>
  <c r="Q24" i="12"/>
  <c r="Q26" i="12" s="1"/>
  <c r="P24" i="12"/>
  <c r="O24" i="12"/>
  <c r="O26" i="12" s="1"/>
  <c r="N24" i="12"/>
  <c r="R23" i="12"/>
  <c r="Q23" i="12"/>
  <c r="P23" i="12"/>
  <c r="P26" i="12" s="1"/>
  <c r="O23" i="12"/>
  <c r="N23" i="12"/>
  <c r="R18" i="12"/>
  <c r="Q18" i="12"/>
  <c r="P18" i="12"/>
  <c r="O18" i="12"/>
  <c r="N18" i="12"/>
  <c r="E71" i="12"/>
  <c r="D71" i="12"/>
  <c r="M70" i="12"/>
  <c r="L70" i="12"/>
  <c r="K70" i="12"/>
  <c r="J70" i="12"/>
  <c r="I70" i="12"/>
  <c r="H70" i="12"/>
  <c r="G70" i="12"/>
  <c r="F70" i="12"/>
  <c r="E70" i="12"/>
  <c r="D70" i="12"/>
  <c r="M79" i="12"/>
  <c r="L79" i="12"/>
  <c r="K79" i="12"/>
  <c r="J79" i="12"/>
  <c r="I79" i="12"/>
  <c r="H79" i="12"/>
  <c r="G79" i="12"/>
  <c r="F79" i="12"/>
  <c r="E79" i="12"/>
  <c r="D79" i="12"/>
  <c r="M78" i="12"/>
  <c r="M80" i="12" s="1"/>
  <c r="L78" i="12"/>
  <c r="L80" i="12" s="1"/>
  <c r="K78" i="12"/>
  <c r="J78" i="12"/>
  <c r="I78" i="12"/>
  <c r="H78" i="12"/>
  <c r="G78" i="12"/>
  <c r="F78" i="12"/>
  <c r="E78" i="12"/>
  <c r="D78" i="12"/>
  <c r="E74" i="12"/>
  <c r="F74" i="12"/>
  <c r="G74" i="12"/>
  <c r="H74" i="12"/>
  <c r="I74" i="12"/>
  <c r="J74" i="12"/>
  <c r="K74" i="12"/>
  <c r="L74" i="12"/>
  <c r="M74" i="12"/>
  <c r="E75" i="12"/>
  <c r="E76" i="12" s="1"/>
  <c r="D75" i="12"/>
  <c r="D74" i="12"/>
  <c r="D76" i="12" s="1"/>
  <c r="H65" i="12"/>
  <c r="G65" i="12"/>
  <c r="F65" i="12"/>
  <c r="E65" i="12"/>
  <c r="D65" i="12"/>
  <c r="H64" i="12"/>
  <c r="G64" i="12"/>
  <c r="F64" i="12"/>
  <c r="E64" i="12"/>
  <c r="D64" i="12"/>
  <c r="E61" i="12"/>
  <c r="D61" i="12"/>
  <c r="H60" i="12"/>
  <c r="G60" i="12"/>
  <c r="F60" i="12"/>
  <c r="E60" i="12"/>
  <c r="E62" i="12" s="1"/>
  <c r="D60" i="12"/>
  <c r="D62" i="12" s="1"/>
  <c r="M57" i="12"/>
  <c r="L57" i="12"/>
  <c r="K57" i="12"/>
  <c r="J57" i="12"/>
  <c r="I57" i="12"/>
  <c r="H57" i="12"/>
  <c r="G57" i="12"/>
  <c r="F57" i="12"/>
  <c r="E57" i="12"/>
  <c r="D57" i="12"/>
  <c r="H56" i="12"/>
  <c r="G56" i="12"/>
  <c r="F56" i="12"/>
  <c r="E56" i="12"/>
  <c r="D56" i="12"/>
  <c r="M53" i="12"/>
  <c r="L53" i="12"/>
  <c r="K53" i="12"/>
  <c r="J53" i="12"/>
  <c r="I53" i="12"/>
  <c r="H53" i="12"/>
  <c r="G53" i="12"/>
  <c r="F53" i="12"/>
  <c r="E53" i="12"/>
  <c r="D53" i="12"/>
  <c r="L52" i="12"/>
  <c r="K52" i="12"/>
  <c r="K54" i="12" s="1"/>
  <c r="J52" i="12"/>
  <c r="J54" i="12" s="1"/>
  <c r="I52" i="12"/>
  <c r="I54" i="12" s="1"/>
  <c r="H52" i="12"/>
  <c r="H54" i="12" s="1"/>
  <c r="G52" i="12"/>
  <c r="G54" i="12" s="1"/>
  <c r="F52" i="12"/>
  <c r="F54" i="12" s="1"/>
  <c r="E52" i="12"/>
  <c r="E54" i="12" s="1"/>
  <c r="D52" i="12"/>
  <c r="D54" i="12" s="1"/>
  <c r="M49" i="12"/>
  <c r="L49" i="12"/>
  <c r="K49" i="12"/>
  <c r="J49" i="12"/>
  <c r="I49" i="12"/>
  <c r="H49" i="12"/>
  <c r="G49" i="12"/>
  <c r="F49" i="12"/>
  <c r="E49" i="12"/>
  <c r="D49" i="12"/>
  <c r="M48" i="12"/>
  <c r="M50" i="12" s="1"/>
  <c r="L48" i="12"/>
  <c r="L50" i="12" s="1"/>
  <c r="K48" i="12"/>
  <c r="J48" i="12"/>
  <c r="I48" i="12"/>
  <c r="I50" i="12" s="1"/>
  <c r="H48" i="12"/>
  <c r="H50" i="12" s="1"/>
  <c r="G48" i="12"/>
  <c r="G50" i="12" s="1"/>
  <c r="F48" i="12"/>
  <c r="F50" i="12" s="1"/>
  <c r="E48" i="12"/>
  <c r="D48" i="12"/>
  <c r="M45" i="12"/>
  <c r="L45" i="12"/>
  <c r="K45" i="12"/>
  <c r="J45" i="12"/>
  <c r="I45" i="12"/>
  <c r="H45" i="12"/>
  <c r="G45" i="12"/>
  <c r="F45" i="12"/>
  <c r="E45" i="12"/>
  <c r="D45" i="12"/>
  <c r="M44" i="12"/>
  <c r="L44" i="12"/>
  <c r="K44" i="12"/>
  <c r="J44" i="12"/>
  <c r="I44" i="12"/>
  <c r="I46" i="12" s="1"/>
  <c r="H44" i="12"/>
  <c r="H46" i="12" s="1"/>
  <c r="G44" i="12"/>
  <c r="G46" i="12" s="1"/>
  <c r="F44" i="12"/>
  <c r="F46" i="12" s="1"/>
  <c r="E44" i="12"/>
  <c r="E46" i="12" s="1"/>
  <c r="D44" i="12"/>
  <c r="D46" i="12" s="1"/>
  <c r="H89" i="12"/>
  <c r="G89" i="12"/>
  <c r="F89" i="12"/>
  <c r="E89" i="12"/>
  <c r="D89" i="12"/>
  <c r="L88" i="12"/>
  <c r="K88" i="12"/>
  <c r="J88" i="12"/>
  <c r="I88" i="12"/>
  <c r="H88" i="12"/>
  <c r="H90" i="12" s="1"/>
  <c r="G88" i="12"/>
  <c r="F88" i="12"/>
  <c r="E88" i="12"/>
  <c r="D88" i="12"/>
  <c r="M85" i="12"/>
  <c r="L85" i="12"/>
  <c r="K85" i="12"/>
  <c r="J85" i="12"/>
  <c r="I85" i="12"/>
  <c r="H85" i="12"/>
  <c r="G85" i="12"/>
  <c r="F85" i="12"/>
  <c r="E85" i="12"/>
  <c r="D85" i="12"/>
  <c r="H84" i="12"/>
  <c r="G84" i="12"/>
  <c r="F84" i="12"/>
  <c r="E84" i="12"/>
  <c r="D84" i="12"/>
  <c r="E39" i="12"/>
  <c r="D39" i="12"/>
  <c r="H38" i="12"/>
  <c r="G38" i="12"/>
  <c r="F38" i="12"/>
  <c r="E38" i="12"/>
  <c r="D38" i="12"/>
  <c r="E35" i="12"/>
  <c r="D35" i="12"/>
  <c r="H34" i="12"/>
  <c r="G34" i="12"/>
  <c r="F34" i="12"/>
  <c r="E34" i="12"/>
  <c r="D34" i="12"/>
  <c r="H31" i="12"/>
  <c r="G31" i="12"/>
  <c r="F31" i="12"/>
  <c r="E31" i="12"/>
  <c r="D31" i="12"/>
  <c r="H30" i="12"/>
  <c r="G30" i="12"/>
  <c r="F30" i="12"/>
  <c r="E30" i="12"/>
  <c r="D30" i="12"/>
  <c r="M25" i="12"/>
  <c r="L25" i="12"/>
  <c r="K25" i="12"/>
  <c r="J25" i="12"/>
  <c r="I25" i="12"/>
  <c r="M24" i="12"/>
  <c r="L24" i="12"/>
  <c r="K24" i="12"/>
  <c r="J24" i="12"/>
  <c r="I24" i="12"/>
  <c r="M23" i="12"/>
  <c r="L23" i="12"/>
  <c r="K23" i="12"/>
  <c r="J23" i="12"/>
  <c r="I23" i="12"/>
  <c r="H23" i="12"/>
  <c r="G23" i="12"/>
  <c r="F23" i="12"/>
  <c r="E23" i="12"/>
  <c r="D23" i="12"/>
  <c r="H20" i="12"/>
  <c r="G20" i="12"/>
  <c r="F20" i="12"/>
  <c r="E20" i="12"/>
  <c r="D20" i="12"/>
  <c r="M18" i="12"/>
  <c r="L18" i="12"/>
  <c r="K18" i="12"/>
  <c r="J18" i="12"/>
  <c r="I18" i="12"/>
  <c r="H18" i="12"/>
  <c r="G18" i="12"/>
  <c r="F18" i="12"/>
  <c r="E18" i="12"/>
  <c r="D18" i="12"/>
  <c r="H17" i="12"/>
  <c r="G17" i="12"/>
  <c r="F17" i="12"/>
  <c r="E17" i="12"/>
  <c r="D17" i="12"/>
  <c r="H14" i="12"/>
  <c r="G14" i="12"/>
  <c r="F14" i="12"/>
  <c r="E14" i="12"/>
  <c r="D14" i="12"/>
  <c r="H13" i="12"/>
  <c r="G13" i="12"/>
  <c r="F13" i="12"/>
  <c r="E13" i="12"/>
  <c r="D13" i="12"/>
  <c r="D9" i="12"/>
  <c r="E9" i="12"/>
  <c r="F9" i="12"/>
  <c r="G9" i="12"/>
  <c r="H9" i="12"/>
  <c r="AA140" i="19"/>
  <c r="AB242" i="19"/>
  <c r="AO274" i="19"/>
  <c r="AN274" i="19"/>
  <c r="AM274" i="19"/>
  <c r="AL274" i="19"/>
  <c r="AK274" i="19"/>
  <c r="AJ274" i="19"/>
  <c r="AI274" i="19"/>
  <c r="AH274" i="19"/>
  <c r="AG274" i="19"/>
  <c r="AF274" i="19"/>
  <c r="AA117" i="19"/>
  <c r="AA219" i="19"/>
  <c r="AA220" i="19" s="1"/>
  <c r="AA221" i="19" s="1"/>
  <c r="AA222" i="19" s="1"/>
  <c r="AA223" i="19" s="1"/>
  <c r="AA224" i="19" s="1"/>
  <c r="AA225" i="19" s="1"/>
  <c r="AA226" i="19" s="1"/>
  <c r="AA227" i="19" s="1"/>
  <c r="AA228" i="19" s="1"/>
  <c r="C44" i="15"/>
  <c r="C62" i="15" s="1"/>
  <c r="C42" i="15"/>
  <c r="C45" i="15"/>
  <c r="L54" i="12" l="1"/>
  <c r="M46" i="12"/>
  <c r="E50" i="12"/>
  <c r="E58" i="12"/>
  <c r="G66" i="12"/>
  <c r="E80" i="12"/>
  <c r="D66" i="12"/>
  <c r="F58" i="12"/>
  <c r="H66" i="12"/>
  <c r="F80" i="12"/>
  <c r="J46" i="12"/>
  <c r="F66" i="12"/>
  <c r="G58" i="12"/>
  <c r="G80" i="12"/>
  <c r="D90" i="12"/>
  <c r="H58" i="12"/>
  <c r="H80" i="12"/>
  <c r="D72" i="12"/>
  <c r="K46" i="12"/>
  <c r="D58" i="12"/>
  <c r="E90" i="12"/>
  <c r="I80" i="12"/>
  <c r="E72" i="12"/>
  <c r="D50" i="12"/>
  <c r="F90" i="12"/>
  <c r="J50" i="12"/>
  <c r="J80" i="12"/>
  <c r="E66" i="12"/>
  <c r="L46" i="12"/>
  <c r="D80" i="12"/>
  <c r="G90" i="12"/>
  <c r="K50" i="12"/>
  <c r="K80" i="12"/>
  <c r="G21" i="12"/>
  <c r="F32" i="12"/>
  <c r="D32" i="12"/>
  <c r="E32" i="12"/>
  <c r="L26" i="12"/>
  <c r="M26" i="12"/>
  <c r="H21" i="12"/>
  <c r="H32" i="12"/>
  <c r="G32" i="12"/>
  <c r="E15" i="12"/>
  <c r="G15" i="12"/>
  <c r="D15" i="12"/>
  <c r="F15" i="12"/>
  <c r="H15" i="12"/>
  <c r="D21" i="12"/>
  <c r="D40" i="12"/>
  <c r="E21" i="12"/>
  <c r="E40" i="12"/>
  <c r="F21" i="12"/>
  <c r="F86" i="12"/>
  <c r="D86" i="12"/>
  <c r="I26" i="12"/>
  <c r="G86" i="12"/>
  <c r="J26" i="12"/>
  <c r="D36" i="12"/>
  <c r="H86" i="12"/>
  <c r="E86" i="12"/>
  <c r="K26" i="12"/>
  <c r="E36" i="12"/>
  <c r="C43" i="15"/>
  <c r="F173" i="10" l="1"/>
  <c r="G173" i="10"/>
  <c r="H173" i="10"/>
  <c r="I173" i="10"/>
  <c r="E173" i="10"/>
  <c r="F162" i="10"/>
  <c r="G162" i="10"/>
  <c r="H162" i="10"/>
  <c r="I162" i="10"/>
  <c r="E162" i="10"/>
  <c r="F156" i="10"/>
  <c r="G156" i="10"/>
  <c r="H156" i="10"/>
  <c r="I156" i="10"/>
  <c r="E156" i="10"/>
  <c r="H157" i="10"/>
  <c r="O118" i="10"/>
  <c r="S66" i="10"/>
  <c r="R66" i="10"/>
  <c r="Q66" i="10"/>
  <c r="P66" i="10"/>
  <c r="O66" i="10"/>
  <c r="O9" i="10"/>
  <c r="P9" i="10"/>
  <c r="Q9" i="10"/>
  <c r="R9" i="10"/>
  <c r="S9" i="10"/>
  <c r="N60" i="10"/>
  <c r="N63" i="10"/>
  <c r="O64" i="10" s="1"/>
  <c r="N64" i="10"/>
  <c r="N66" i="10"/>
  <c r="N118" i="10"/>
  <c r="T233" i="6"/>
  <c r="S206" i="10" s="1"/>
  <c r="S233" i="6"/>
  <c r="R206" i="10" s="1"/>
  <c r="R233" i="6"/>
  <c r="Q206" i="10" s="1"/>
  <c r="Q233" i="6"/>
  <c r="P206" i="10" s="1"/>
  <c r="P233" i="6"/>
  <c r="O206" i="10" s="1"/>
  <c r="T227" i="6"/>
  <c r="S202" i="10" s="1"/>
  <c r="S227" i="6"/>
  <c r="R202" i="10" s="1"/>
  <c r="R227" i="6"/>
  <c r="Q202" i="10" s="1"/>
  <c r="Q227" i="6"/>
  <c r="P202" i="10" s="1"/>
  <c r="P227" i="6"/>
  <c r="O202" i="10" s="1"/>
  <c r="T221" i="6"/>
  <c r="S198" i="10" s="1"/>
  <c r="S221" i="6"/>
  <c r="R198" i="10" s="1"/>
  <c r="R221" i="6"/>
  <c r="Q198" i="10" s="1"/>
  <c r="Q221" i="6"/>
  <c r="P198" i="10" s="1"/>
  <c r="P221" i="6"/>
  <c r="O198" i="10" s="1"/>
  <c r="T215" i="6"/>
  <c r="S194" i="10" s="1"/>
  <c r="S215" i="6"/>
  <c r="R194" i="10" s="1"/>
  <c r="R215" i="6"/>
  <c r="Q194" i="10" s="1"/>
  <c r="Q215" i="6"/>
  <c r="P194" i="10" s="1"/>
  <c r="P215" i="6"/>
  <c r="O194" i="10" s="1"/>
  <c r="T209" i="6"/>
  <c r="S190" i="10" s="1"/>
  <c r="S209" i="6"/>
  <c r="R190" i="10" s="1"/>
  <c r="R209" i="6"/>
  <c r="Q190" i="10" s="1"/>
  <c r="Q209" i="6"/>
  <c r="P190" i="10" s="1"/>
  <c r="P209" i="6"/>
  <c r="O190" i="10" s="1"/>
  <c r="T203" i="6"/>
  <c r="S186" i="10" s="1"/>
  <c r="S203" i="6"/>
  <c r="R186" i="10" s="1"/>
  <c r="R203" i="6"/>
  <c r="Q186" i="10" s="1"/>
  <c r="Q203" i="6"/>
  <c r="P186" i="10" s="1"/>
  <c r="P203" i="6"/>
  <c r="O186" i="10" s="1"/>
  <c r="T197" i="6"/>
  <c r="S182" i="10" s="1"/>
  <c r="S197" i="6"/>
  <c r="R182" i="10" s="1"/>
  <c r="R197" i="6"/>
  <c r="Q182" i="10" s="1"/>
  <c r="Q197" i="6"/>
  <c r="P182" i="10" s="1"/>
  <c r="P197" i="6"/>
  <c r="O182" i="10" s="1"/>
  <c r="T191" i="6"/>
  <c r="S173" i="10" s="1"/>
  <c r="S113" i="11" s="1"/>
  <c r="S191" i="6"/>
  <c r="R173" i="10" s="1"/>
  <c r="R113" i="11" s="1"/>
  <c r="R191" i="6"/>
  <c r="Q173" i="10" s="1"/>
  <c r="Q113" i="11" s="1"/>
  <c r="Q191" i="6"/>
  <c r="P173" i="10" s="1"/>
  <c r="P113" i="11" s="1"/>
  <c r="P191" i="6"/>
  <c r="O173" i="10" s="1"/>
  <c r="O113" i="11" s="1"/>
  <c r="T185" i="6"/>
  <c r="S168" i="10" s="1"/>
  <c r="S185" i="6"/>
  <c r="R168" i="10" s="1"/>
  <c r="R185" i="6"/>
  <c r="Q168" i="10" s="1"/>
  <c r="Q185" i="6"/>
  <c r="P168" i="10" s="1"/>
  <c r="P185" i="6"/>
  <c r="O168" i="10" s="1"/>
  <c r="T179" i="6"/>
  <c r="S162" i="10" s="1"/>
  <c r="S112" i="11" s="1"/>
  <c r="S179" i="6"/>
  <c r="R162" i="10" s="1"/>
  <c r="R112" i="11" s="1"/>
  <c r="R179" i="6"/>
  <c r="Q162" i="10" s="1"/>
  <c r="Q112" i="11" s="1"/>
  <c r="Q179" i="6"/>
  <c r="P162" i="10" s="1"/>
  <c r="P112" i="11" s="1"/>
  <c r="P179" i="6"/>
  <c r="O162" i="10" s="1"/>
  <c r="O112" i="11" s="1"/>
  <c r="T173" i="6"/>
  <c r="S156" i="10" s="1"/>
  <c r="S111" i="11" s="1"/>
  <c r="S173" i="6"/>
  <c r="R156" i="10" s="1"/>
  <c r="R111" i="11" s="1"/>
  <c r="R173" i="6"/>
  <c r="Q156" i="10" s="1"/>
  <c r="Q111" i="11" s="1"/>
  <c r="Q173" i="6"/>
  <c r="P156" i="10" s="1"/>
  <c r="P111" i="11" s="1"/>
  <c r="P173" i="6"/>
  <c r="O156" i="10" s="1"/>
  <c r="O111" i="11" s="1"/>
  <c r="T165" i="6"/>
  <c r="S148" i="10" s="1"/>
  <c r="S165" i="6"/>
  <c r="R148" i="10" s="1"/>
  <c r="R165" i="6"/>
  <c r="Q148" i="10" s="1"/>
  <c r="Q165" i="6"/>
  <c r="P148" i="10" s="1"/>
  <c r="P165" i="6"/>
  <c r="O148" i="10" s="1"/>
  <c r="T157" i="6"/>
  <c r="S242" i="10" s="1"/>
  <c r="S157" i="6"/>
  <c r="R242" i="10" s="1"/>
  <c r="R157" i="6"/>
  <c r="Q242" i="10" s="1"/>
  <c r="Q157" i="6"/>
  <c r="P242" i="10" s="1"/>
  <c r="P157" i="6"/>
  <c r="O242" i="10" s="1"/>
  <c r="T149" i="6"/>
  <c r="S249" i="10" s="1"/>
  <c r="S149" i="6"/>
  <c r="R249" i="10" s="1"/>
  <c r="R149" i="6"/>
  <c r="Q249" i="10" s="1"/>
  <c r="Q149" i="6"/>
  <c r="P249" i="10" s="1"/>
  <c r="P149" i="6"/>
  <c r="O249" i="10" s="1"/>
  <c r="T141" i="6"/>
  <c r="S231" i="10" s="1"/>
  <c r="S141" i="6"/>
  <c r="R231" i="10" s="1"/>
  <c r="R141" i="6"/>
  <c r="Q231" i="10" s="1"/>
  <c r="Q141" i="6"/>
  <c r="P231" i="10" s="1"/>
  <c r="P141" i="6"/>
  <c r="O231" i="10" s="1"/>
  <c r="T133" i="6"/>
  <c r="S178" i="10" s="1"/>
  <c r="S133" i="6"/>
  <c r="R178" i="10" s="1"/>
  <c r="R133" i="6"/>
  <c r="Q178" i="10" s="1"/>
  <c r="Q133" i="6"/>
  <c r="P178" i="10" s="1"/>
  <c r="P133" i="6"/>
  <c r="O178" i="10" s="1"/>
  <c r="T125" i="6"/>
  <c r="S139" i="10" s="1"/>
  <c r="S125" i="6"/>
  <c r="R139" i="10" s="1"/>
  <c r="R125" i="6"/>
  <c r="Q139" i="10" s="1"/>
  <c r="Q125" i="6"/>
  <c r="P139" i="10" s="1"/>
  <c r="P125" i="6"/>
  <c r="O139" i="10" s="1"/>
  <c r="T117" i="6"/>
  <c r="S105" i="10" s="1"/>
  <c r="S117" i="6"/>
  <c r="R105" i="10" s="1"/>
  <c r="R117" i="6"/>
  <c r="Q105" i="10" s="1"/>
  <c r="Q117" i="6"/>
  <c r="P105" i="10" s="1"/>
  <c r="P117" i="6"/>
  <c r="O105" i="10" s="1"/>
  <c r="T111" i="6"/>
  <c r="S101" i="10" s="1"/>
  <c r="S111" i="6"/>
  <c r="R101" i="10" s="1"/>
  <c r="R111" i="6"/>
  <c r="Q101" i="10" s="1"/>
  <c r="Q111" i="6"/>
  <c r="P101" i="10" s="1"/>
  <c r="P111" i="6"/>
  <c r="O101" i="10" s="1"/>
  <c r="T105" i="6"/>
  <c r="S97" i="10" s="1"/>
  <c r="S105" i="6"/>
  <c r="R97" i="10" s="1"/>
  <c r="R105" i="6"/>
  <c r="Q97" i="10" s="1"/>
  <c r="Q105" i="6"/>
  <c r="P97" i="10" s="1"/>
  <c r="P105" i="6"/>
  <c r="O97" i="10" s="1"/>
  <c r="T99" i="6"/>
  <c r="S93" i="10" s="1"/>
  <c r="S99" i="6"/>
  <c r="R93" i="10" s="1"/>
  <c r="R99" i="6"/>
  <c r="Q93" i="10" s="1"/>
  <c r="Q99" i="6"/>
  <c r="P93" i="10" s="1"/>
  <c r="P99" i="6"/>
  <c r="O93" i="10" s="1"/>
  <c r="T93" i="6"/>
  <c r="S89" i="10" s="1"/>
  <c r="S93" i="6"/>
  <c r="R89" i="10" s="1"/>
  <c r="R93" i="6"/>
  <c r="Q89" i="10" s="1"/>
  <c r="Q93" i="6"/>
  <c r="P89" i="10" s="1"/>
  <c r="P93" i="6"/>
  <c r="O89" i="10" s="1"/>
  <c r="T87" i="6"/>
  <c r="S79" i="10" s="1"/>
  <c r="S87" i="6"/>
  <c r="R79" i="10" s="1"/>
  <c r="R87" i="6"/>
  <c r="Q79" i="10" s="1"/>
  <c r="Q87" i="6"/>
  <c r="P79" i="10" s="1"/>
  <c r="P87" i="6"/>
  <c r="O79" i="10" s="1"/>
  <c r="T79" i="6"/>
  <c r="S83" i="10" s="1"/>
  <c r="S79" i="6"/>
  <c r="R83" i="10" s="1"/>
  <c r="R79" i="6"/>
  <c r="Q83" i="10" s="1"/>
  <c r="Q79" i="6"/>
  <c r="P83" i="10" s="1"/>
  <c r="P79" i="6"/>
  <c r="O83" i="10" s="1"/>
  <c r="T73" i="6"/>
  <c r="S70" i="10" s="1"/>
  <c r="S73" i="6"/>
  <c r="R70" i="10" s="1"/>
  <c r="R73" i="6"/>
  <c r="Q70" i="10" s="1"/>
  <c r="Q73" i="6"/>
  <c r="P70" i="10" s="1"/>
  <c r="P73" i="6"/>
  <c r="O70" i="10" s="1"/>
  <c r="T67" i="6"/>
  <c r="S67" i="6"/>
  <c r="R67" i="6"/>
  <c r="Q67" i="6"/>
  <c r="P67" i="6"/>
  <c r="T57" i="6"/>
  <c r="S57" i="6"/>
  <c r="R57" i="6"/>
  <c r="Q57" i="6"/>
  <c r="P57" i="6"/>
  <c r="T55" i="6"/>
  <c r="S44" i="10" s="1"/>
  <c r="S55" i="6"/>
  <c r="R44" i="10" s="1"/>
  <c r="R55" i="6"/>
  <c r="Q44" i="10" s="1"/>
  <c r="Q55" i="6"/>
  <c r="P44" i="10" s="1"/>
  <c r="P55" i="6"/>
  <c r="O44" i="10" s="1"/>
  <c r="T49" i="6"/>
  <c r="S39" i="10" s="1"/>
  <c r="S49" i="6"/>
  <c r="R39" i="10" s="1"/>
  <c r="R49" i="6"/>
  <c r="Q39" i="10" s="1"/>
  <c r="Q49" i="6"/>
  <c r="P39" i="10" s="1"/>
  <c r="P49" i="6"/>
  <c r="O39" i="10" s="1"/>
  <c r="T43" i="6"/>
  <c r="S34" i="10" s="1"/>
  <c r="S43" i="6"/>
  <c r="R34" i="10" s="1"/>
  <c r="R43" i="6"/>
  <c r="Q34" i="10" s="1"/>
  <c r="Q43" i="6"/>
  <c r="P34" i="10" s="1"/>
  <c r="P43" i="6"/>
  <c r="O34" i="10" s="1"/>
  <c r="T37" i="6"/>
  <c r="S29" i="10" s="1"/>
  <c r="S37" i="6"/>
  <c r="R29" i="10" s="1"/>
  <c r="R37" i="6"/>
  <c r="Q29" i="10" s="1"/>
  <c r="Q37" i="6"/>
  <c r="P29" i="10" s="1"/>
  <c r="P37" i="6"/>
  <c r="O29" i="10" s="1"/>
  <c r="T27" i="6"/>
  <c r="T29" i="6" s="1"/>
  <c r="S22" i="10" s="1"/>
  <c r="S27" i="6"/>
  <c r="S29" i="6" s="1"/>
  <c r="R22" i="10" s="1"/>
  <c r="R27" i="6"/>
  <c r="R29" i="6" s="1"/>
  <c r="Q22" i="10" s="1"/>
  <c r="Q27" i="6"/>
  <c r="Q29" i="6" s="1"/>
  <c r="P22" i="10" s="1"/>
  <c r="P27" i="6"/>
  <c r="P29" i="6" s="1"/>
  <c r="O22" i="10" s="1"/>
  <c r="T18" i="6"/>
  <c r="S15" i="10" s="1"/>
  <c r="S18" i="6"/>
  <c r="R15" i="10" s="1"/>
  <c r="R18" i="6"/>
  <c r="Q15" i="10" s="1"/>
  <c r="Q18" i="6"/>
  <c r="P15" i="10" s="1"/>
  <c r="P18" i="6"/>
  <c r="O15" i="10" s="1"/>
  <c r="P8" i="6"/>
  <c r="Q8" i="6" s="1"/>
  <c r="R8" i="6" s="1"/>
  <c r="S8" i="6" s="1"/>
  <c r="T8" i="6" s="1"/>
  <c r="S36" i="25"/>
  <c r="Q36" i="25"/>
  <c r="R36" i="25"/>
  <c r="P36" i="25"/>
  <c r="G18" i="25"/>
  <c r="D18" i="25"/>
  <c r="G17" i="25"/>
  <c r="G15" i="25"/>
  <c r="D15" i="25"/>
  <c r="D17" i="25" s="1"/>
  <c r="G14" i="25"/>
  <c r="D14" i="25"/>
  <c r="O60" i="10" l="1"/>
  <c r="O63" i="10" s="1"/>
  <c r="O56" i="11" s="1"/>
  <c r="P60" i="10"/>
  <c r="P63" i="10" s="1"/>
  <c r="P56" i="11" s="1"/>
  <c r="P118" i="10"/>
  <c r="D14" i="23"/>
  <c r="C15" i="20"/>
  <c r="D10" i="23" s="1"/>
  <c r="E10" i="23" s="1"/>
  <c r="F10" i="23" s="1"/>
  <c r="E9" i="23"/>
  <c r="F9" i="23" s="1"/>
  <c r="I89" i="23"/>
  <c r="I90" i="23"/>
  <c r="G90" i="23" s="1"/>
  <c r="I91" i="23"/>
  <c r="G91" i="23" s="1"/>
  <c r="I92" i="23"/>
  <c r="G92" i="23" s="1"/>
  <c r="I93" i="23"/>
  <c r="G93" i="23" s="1"/>
  <c r="I94" i="23"/>
  <c r="G94" i="23" s="1"/>
  <c r="I95" i="23"/>
  <c r="G95" i="23" s="1"/>
  <c r="I88" i="23"/>
  <c r="I97" i="23" s="1"/>
  <c r="H97" i="23"/>
  <c r="J95" i="23"/>
  <c r="J94" i="23"/>
  <c r="H101" i="23"/>
  <c r="J93" i="23"/>
  <c r="J92" i="23"/>
  <c r="H100" i="23"/>
  <c r="J91" i="23"/>
  <c r="H98" i="23"/>
  <c r="J90" i="23"/>
  <c r="J89" i="23"/>
  <c r="G89" i="23"/>
  <c r="J88" i="23"/>
  <c r="I77" i="23"/>
  <c r="I76" i="23"/>
  <c r="I80" i="23"/>
  <c r="I79" i="23"/>
  <c r="I59" i="23"/>
  <c r="I58" i="23"/>
  <c r="I56" i="23"/>
  <c r="I55" i="23"/>
  <c r="J68" i="23"/>
  <c r="J69" i="23"/>
  <c r="J70" i="23"/>
  <c r="J71" i="23"/>
  <c r="J72" i="23"/>
  <c r="J73" i="23"/>
  <c r="J74" i="23"/>
  <c r="H68" i="23"/>
  <c r="G68" i="23" s="1"/>
  <c r="H69" i="23"/>
  <c r="G69" i="23" s="1"/>
  <c r="H70" i="23"/>
  <c r="G70" i="23" s="1"/>
  <c r="H71" i="23"/>
  <c r="G71" i="23" s="1"/>
  <c r="H72" i="23"/>
  <c r="G72" i="23" s="1"/>
  <c r="H73" i="23"/>
  <c r="H74" i="23"/>
  <c r="G74" i="23" s="1"/>
  <c r="J67" i="23"/>
  <c r="H67" i="23"/>
  <c r="G67" i="23" s="1"/>
  <c r="J47" i="23"/>
  <c r="J48" i="23"/>
  <c r="J49" i="23"/>
  <c r="J50" i="23"/>
  <c r="J51" i="23"/>
  <c r="J52" i="23"/>
  <c r="J53" i="23"/>
  <c r="J46" i="23"/>
  <c r="J58" i="23" s="1"/>
  <c r="H47" i="23"/>
  <c r="G47" i="23" s="1"/>
  <c r="H48" i="23"/>
  <c r="G48" i="23" s="1"/>
  <c r="H49" i="23"/>
  <c r="G49" i="23" s="1"/>
  <c r="H50" i="23"/>
  <c r="G50" i="23" s="1"/>
  <c r="H51" i="23"/>
  <c r="G51" i="23" s="1"/>
  <c r="H52" i="23"/>
  <c r="G52" i="23" s="1"/>
  <c r="H53" i="23"/>
  <c r="G53" i="23" s="1"/>
  <c r="H46" i="23"/>
  <c r="F53" i="24"/>
  <c r="E54" i="24"/>
  <c r="F54" i="24"/>
  <c r="E55" i="24"/>
  <c r="F55" i="24"/>
  <c r="E56" i="24"/>
  <c r="F56" i="24"/>
  <c r="E57" i="24"/>
  <c r="F57" i="24"/>
  <c r="E58" i="24"/>
  <c r="F58" i="24"/>
  <c r="E59" i="24"/>
  <c r="F59" i="24"/>
  <c r="E60" i="24"/>
  <c r="F60" i="24"/>
  <c r="E61" i="24"/>
  <c r="F61" i="24"/>
  <c r="E53" i="24"/>
  <c r="D54" i="24"/>
  <c r="D55" i="24"/>
  <c r="D56" i="24"/>
  <c r="D57" i="24"/>
  <c r="D58" i="24"/>
  <c r="D59" i="24"/>
  <c r="D60" i="24"/>
  <c r="D61" i="24"/>
  <c r="D53" i="24"/>
  <c r="C54" i="24"/>
  <c r="C55" i="24"/>
  <c r="C56" i="24"/>
  <c r="C57" i="24"/>
  <c r="C58" i="24"/>
  <c r="C59" i="24"/>
  <c r="C60" i="24"/>
  <c r="C61" i="24"/>
  <c r="C53" i="24"/>
  <c r="O46" i="24"/>
  <c r="N46" i="24"/>
  <c r="M46" i="24"/>
  <c r="L46" i="24"/>
  <c r="K46" i="24"/>
  <c r="O45" i="24"/>
  <c r="N45" i="24"/>
  <c r="M45" i="24"/>
  <c r="L45" i="24"/>
  <c r="K45" i="24"/>
  <c r="O44" i="24"/>
  <c r="N44" i="24"/>
  <c r="M44" i="24"/>
  <c r="L44" i="24"/>
  <c r="K44" i="24"/>
  <c r="O43" i="24"/>
  <c r="N43" i="24"/>
  <c r="M43" i="24"/>
  <c r="L43" i="24"/>
  <c r="K43" i="24"/>
  <c r="O42" i="24"/>
  <c r="N42" i="24"/>
  <c r="M42" i="24"/>
  <c r="L42" i="24"/>
  <c r="K42" i="24"/>
  <c r="O41" i="24"/>
  <c r="N41" i="24"/>
  <c r="M41" i="24"/>
  <c r="L41" i="24"/>
  <c r="K41" i="24"/>
  <c r="O40" i="24"/>
  <c r="N40" i="24"/>
  <c r="M40" i="24"/>
  <c r="L40" i="24"/>
  <c r="K40" i="24"/>
  <c r="O39" i="24"/>
  <c r="N39" i="24"/>
  <c r="M39" i="24"/>
  <c r="L39" i="24"/>
  <c r="K39" i="24"/>
  <c r="O38" i="24"/>
  <c r="N38" i="24"/>
  <c r="M38" i="24"/>
  <c r="L38" i="24"/>
  <c r="K38" i="24"/>
  <c r="G46" i="24"/>
  <c r="F46" i="24"/>
  <c r="E46" i="24"/>
  <c r="D46" i="24"/>
  <c r="C46" i="24"/>
  <c r="G45" i="24"/>
  <c r="F45" i="24"/>
  <c r="E45" i="24"/>
  <c r="D45" i="24"/>
  <c r="C45" i="24"/>
  <c r="G44" i="24"/>
  <c r="F44" i="24"/>
  <c r="E44" i="24"/>
  <c r="D44" i="24"/>
  <c r="C44" i="24"/>
  <c r="G43" i="24"/>
  <c r="F43" i="24"/>
  <c r="E43" i="24"/>
  <c r="D43" i="24"/>
  <c r="C43" i="24"/>
  <c r="G42" i="24"/>
  <c r="F42" i="24"/>
  <c r="E42" i="24"/>
  <c r="D42" i="24"/>
  <c r="C42" i="24"/>
  <c r="G41" i="24"/>
  <c r="F41" i="24"/>
  <c r="E41" i="24"/>
  <c r="D41" i="24"/>
  <c r="C41" i="24"/>
  <c r="G40" i="24"/>
  <c r="F40" i="24"/>
  <c r="E40" i="24"/>
  <c r="D40" i="24"/>
  <c r="C40" i="24"/>
  <c r="G39" i="24"/>
  <c r="F39" i="24"/>
  <c r="E39" i="24"/>
  <c r="D39" i="24"/>
  <c r="C39" i="24"/>
  <c r="G38" i="24"/>
  <c r="F38" i="24"/>
  <c r="E38" i="24"/>
  <c r="D38" i="24"/>
  <c r="C38" i="24"/>
  <c r="L36" i="24"/>
  <c r="M36" i="24" s="1"/>
  <c r="N36" i="24" s="1"/>
  <c r="O36" i="24" s="1"/>
  <c r="D36" i="24"/>
  <c r="E36" i="24" s="1"/>
  <c r="F36" i="24" s="1"/>
  <c r="G36" i="24" s="1"/>
  <c r="D20" i="24"/>
  <c r="E20" i="24" s="1"/>
  <c r="F20" i="24" s="1"/>
  <c r="G20" i="24" s="1"/>
  <c r="D5" i="24"/>
  <c r="E5" i="24" s="1"/>
  <c r="F5" i="24" s="1"/>
  <c r="G5" i="24" s="1"/>
  <c r="D22" i="23"/>
  <c r="E22" i="23" s="1"/>
  <c r="F22" i="23" s="1"/>
  <c r="D19" i="23"/>
  <c r="E19" i="23" s="1"/>
  <c r="F19" i="23" s="1"/>
  <c r="D18" i="23"/>
  <c r="E15" i="23"/>
  <c r="F15" i="23" s="1"/>
  <c r="E14" i="23"/>
  <c r="F14" i="23" s="1"/>
  <c r="B2" i="23"/>
  <c r="B40" i="23" s="1"/>
  <c r="C16" i="20"/>
  <c r="C11" i="20"/>
  <c r="D7" i="23" s="1"/>
  <c r="C10" i="20"/>
  <c r="B10" i="20"/>
  <c r="D113" i="11"/>
  <c r="D112" i="11"/>
  <c r="D111" i="11"/>
  <c r="D163" i="10"/>
  <c r="F206" i="10"/>
  <c r="G206" i="10"/>
  <c r="H206" i="10"/>
  <c r="I206" i="10"/>
  <c r="E206" i="10"/>
  <c r="E205" i="10"/>
  <c r="F205" i="10"/>
  <c r="G205" i="10"/>
  <c r="H205" i="10"/>
  <c r="I205" i="10"/>
  <c r="D205" i="10"/>
  <c r="B205" i="10"/>
  <c r="O233" i="6"/>
  <c r="N206" i="10" s="1"/>
  <c r="N233" i="6"/>
  <c r="M206" i="10" s="1"/>
  <c r="M233" i="6"/>
  <c r="L206" i="10" s="1"/>
  <c r="L233" i="6"/>
  <c r="K206" i="10" s="1"/>
  <c r="K233" i="6"/>
  <c r="J206" i="10" s="1"/>
  <c r="J205" i="10" s="1"/>
  <c r="B233" i="6"/>
  <c r="E233" i="10"/>
  <c r="F233" i="10"/>
  <c r="G233" i="10"/>
  <c r="H233" i="10"/>
  <c r="I233" i="10"/>
  <c r="D233" i="10"/>
  <c r="E177" i="10"/>
  <c r="F177" i="10"/>
  <c r="G177" i="10"/>
  <c r="H177" i="10"/>
  <c r="I177" i="10"/>
  <c r="D177" i="10"/>
  <c r="E171" i="10"/>
  <c r="F171" i="10"/>
  <c r="G171" i="10"/>
  <c r="H171" i="10"/>
  <c r="I171" i="10"/>
  <c r="D171" i="10"/>
  <c r="E166" i="10"/>
  <c r="F166" i="10"/>
  <c r="G166" i="10"/>
  <c r="H166" i="10"/>
  <c r="I166" i="10"/>
  <c r="D166" i="10"/>
  <c r="E160" i="10"/>
  <c r="F160" i="10"/>
  <c r="G160" i="10"/>
  <c r="H160" i="10"/>
  <c r="I160" i="10"/>
  <c r="D160" i="10"/>
  <c r="E154" i="10"/>
  <c r="F154" i="10"/>
  <c r="G154" i="10"/>
  <c r="H154" i="10"/>
  <c r="I154" i="10"/>
  <c r="D154" i="10"/>
  <c r="H69" i="10"/>
  <c r="G69" i="10"/>
  <c r="F69" i="10"/>
  <c r="E69" i="10"/>
  <c r="D69" i="10"/>
  <c r="D53" i="10"/>
  <c r="E53" i="10"/>
  <c r="F53" i="10"/>
  <c r="G53" i="10"/>
  <c r="H53" i="10"/>
  <c r="I53" i="10"/>
  <c r="E60" i="10"/>
  <c r="F60" i="10"/>
  <c r="G60" i="10"/>
  <c r="H60" i="10"/>
  <c r="I60" i="10"/>
  <c r="J60" i="10"/>
  <c r="D60" i="10"/>
  <c r="J53" i="10"/>
  <c r="D29" i="10"/>
  <c r="E29" i="10"/>
  <c r="F29" i="10"/>
  <c r="G29" i="10"/>
  <c r="H29" i="10"/>
  <c r="I29" i="10"/>
  <c r="H82" i="10"/>
  <c r="G82" i="10"/>
  <c r="F82" i="10"/>
  <c r="E82" i="10"/>
  <c r="D82" i="10"/>
  <c r="H88" i="10"/>
  <c r="G88" i="10"/>
  <c r="F88" i="10"/>
  <c r="G89" i="10" s="1"/>
  <c r="E88" i="10"/>
  <c r="D88" i="10"/>
  <c r="E63" i="11"/>
  <c r="F63" i="11"/>
  <c r="G63" i="11"/>
  <c r="H63" i="11"/>
  <c r="I63" i="11"/>
  <c r="D63" i="11"/>
  <c r="D92" i="10"/>
  <c r="E92" i="10"/>
  <c r="F92" i="10"/>
  <c r="F93" i="10" s="1"/>
  <c r="G92" i="10"/>
  <c r="G93" i="10" s="1"/>
  <c r="H92" i="10"/>
  <c r="D96" i="10"/>
  <c r="E96" i="10"/>
  <c r="F96" i="10"/>
  <c r="F97" i="10" s="1"/>
  <c r="G96" i="10"/>
  <c r="H96" i="10"/>
  <c r="D100" i="10"/>
  <c r="E100" i="10"/>
  <c r="F100" i="10"/>
  <c r="G100" i="10"/>
  <c r="H100" i="10"/>
  <c r="D104" i="10"/>
  <c r="E104" i="10"/>
  <c r="F104" i="10"/>
  <c r="G104" i="10"/>
  <c r="H104" i="10"/>
  <c r="J73" i="10"/>
  <c r="F34" i="10"/>
  <c r="I118" i="10"/>
  <c r="I124" i="10" s="1"/>
  <c r="J62" i="10"/>
  <c r="E20" i="10"/>
  <c r="E14" i="11" s="1"/>
  <c r="F20" i="10"/>
  <c r="F14" i="11" s="1"/>
  <c r="G20" i="10"/>
  <c r="G14" i="11" s="1"/>
  <c r="H20" i="10"/>
  <c r="H14" i="11" s="1"/>
  <c r="I20" i="10"/>
  <c r="I14" i="11" s="1"/>
  <c r="I130" i="10" s="1"/>
  <c r="D20" i="10"/>
  <c r="D14" i="11" s="1"/>
  <c r="B2" i="15"/>
  <c r="B2" i="12"/>
  <c r="B2" i="11"/>
  <c r="B2" i="10"/>
  <c r="B2" i="6"/>
  <c r="N185" i="6"/>
  <c r="M168" i="10" s="1"/>
  <c r="M133" i="6"/>
  <c r="L191" i="6"/>
  <c r="K173" i="10" s="1"/>
  <c r="K113" i="11" s="1"/>
  <c r="M191" i="6"/>
  <c r="L173" i="10" s="1"/>
  <c r="L113" i="11" s="1"/>
  <c r="N191" i="6"/>
  <c r="M173" i="10" s="1"/>
  <c r="M113" i="11" s="1"/>
  <c r="O191" i="6"/>
  <c r="N173" i="10" s="1"/>
  <c r="N113" i="11" s="1"/>
  <c r="K191" i="6"/>
  <c r="J173" i="10" s="1"/>
  <c r="B191" i="6"/>
  <c r="O185" i="6"/>
  <c r="N168" i="10" s="1"/>
  <c r="M185" i="6"/>
  <c r="L168" i="10" s="1"/>
  <c r="L185" i="6"/>
  <c r="K168" i="10" s="1"/>
  <c r="K185" i="6"/>
  <c r="J168" i="10" s="1"/>
  <c r="B185" i="6"/>
  <c r="O179" i="6"/>
  <c r="N162" i="10" s="1"/>
  <c r="N112" i="11" s="1"/>
  <c r="N179" i="6"/>
  <c r="M162" i="10" s="1"/>
  <c r="M112" i="11" s="1"/>
  <c r="M179" i="6"/>
  <c r="L162" i="10" s="1"/>
  <c r="L112" i="11" s="1"/>
  <c r="L179" i="6"/>
  <c r="K162" i="10" s="1"/>
  <c r="K112" i="11" s="1"/>
  <c r="K179" i="6"/>
  <c r="J162" i="10" s="1"/>
  <c r="J112" i="11" s="1"/>
  <c r="B179" i="6"/>
  <c r="O173" i="6"/>
  <c r="N156" i="10" s="1"/>
  <c r="N111" i="11" s="1"/>
  <c r="N173" i="6"/>
  <c r="M156" i="10" s="1"/>
  <c r="M111" i="11" s="1"/>
  <c r="M173" i="6"/>
  <c r="L156" i="10" s="1"/>
  <c r="L111" i="11" s="1"/>
  <c r="L173" i="6"/>
  <c r="K156" i="10" s="1"/>
  <c r="K111" i="11" s="1"/>
  <c r="K173" i="6"/>
  <c r="J156" i="10" s="1"/>
  <c r="J111" i="11" s="1"/>
  <c r="B173" i="6"/>
  <c r="O227" i="6"/>
  <c r="N202" i="10" s="1"/>
  <c r="N227" i="6"/>
  <c r="M202" i="10" s="1"/>
  <c r="M227" i="6"/>
  <c r="L202" i="10" s="1"/>
  <c r="L227" i="6"/>
  <c r="K202" i="10" s="1"/>
  <c r="K227" i="6"/>
  <c r="J202" i="10" s="1"/>
  <c r="B227" i="6"/>
  <c r="O221" i="6"/>
  <c r="N198" i="10" s="1"/>
  <c r="N221" i="6"/>
  <c r="M198" i="10" s="1"/>
  <c r="M221" i="6"/>
  <c r="L198" i="10" s="1"/>
  <c r="L221" i="6"/>
  <c r="K198" i="10" s="1"/>
  <c r="K221" i="6"/>
  <c r="J198" i="10" s="1"/>
  <c r="B221" i="6"/>
  <c r="O215" i="6"/>
  <c r="N194" i="10" s="1"/>
  <c r="N215" i="6"/>
  <c r="M194" i="10" s="1"/>
  <c r="M215" i="6"/>
  <c r="L194" i="10" s="1"/>
  <c r="L215" i="6"/>
  <c r="K194" i="10" s="1"/>
  <c r="K215" i="6"/>
  <c r="J194" i="10" s="1"/>
  <c r="B215" i="6"/>
  <c r="O209" i="6"/>
  <c r="N190" i="10" s="1"/>
  <c r="N209" i="6"/>
  <c r="M190" i="10" s="1"/>
  <c r="M209" i="6"/>
  <c r="L190" i="10" s="1"/>
  <c r="L209" i="6"/>
  <c r="K190" i="10" s="1"/>
  <c r="K209" i="6"/>
  <c r="J190" i="10" s="1"/>
  <c r="B209" i="6"/>
  <c r="O203" i="6"/>
  <c r="N186" i="10" s="1"/>
  <c r="N203" i="6"/>
  <c r="M186" i="10" s="1"/>
  <c r="M203" i="6"/>
  <c r="L186" i="10" s="1"/>
  <c r="L203" i="6"/>
  <c r="K186" i="10" s="1"/>
  <c r="K203" i="6"/>
  <c r="J186" i="10" s="1"/>
  <c r="B203" i="6"/>
  <c r="O197" i="6"/>
  <c r="N182" i="10" s="1"/>
  <c r="N197" i="6"/>
  <c r="M182" i="10" s="1"/>
  <c r="M197" i="6"/>
  <c r="L182" i="10" s="1"/>
  <c r="L197" i="6"/>
  <c r="K182" i="10" s="1"/>
  <c r="K197" i="6"/>
  <c r="J182" i="10" s="1"/>
  <c r="B197" i="6"/>
  <c r="B201" i="10"/>
  <c r="B197" i="10"/>
  <c r="B185" i="10"/>
  <c r="B193" i="10"/>
  <c r="B189" i="10"/>
  <c r="B181" i="10"/>
  <c r="I100" i="23" l="1"/>
  <c r="I98" i="23"/>
  <c r="J97" i="23"/>
  <c r="J77" i="23"/>
  <c r="J100" i="23"/>
  <c r="H79" i="23"/>
  <c r="J101" i="23"/>
  <c r="J80" i="23"/>
  <c r="G88" i="23"/>
  <c r="G100" i="23" s="1"/>
  <c r="F11" i="23"/>
  <c r="I101" i="23"/>
  <c r="J113" i="11"/>
  <c r="J172" i="10"/>
  <c r="Q118" i="10"/>
  <c r="Q60" i="10"/>
  <c r="Q63" i="10" s="1"/>
  <c r="Q56" i="11" s="1"/>
  <c r="E11" i="23"/>
  <c r="D8" i="23"/>
  <c r="E8" i="23" s="1"/>
  <c r="F8" i="23" s="1"/>
  <c r="D9" i="23"/>
  <c r="D20" i="23"/>
  <c r="J98" i="23"/>
  <c r="J79" i="23"/>
  <c r="H80" i="23"/>
  <c r="J76" i="23"/>
  <c r="H59" i="23"/>
  <c r="H77" i="23"/>
  <c r="H76" i="23"/>
  <c r="H58" i="23"/>
  <c r="G73" i="23"/>
  <c r="G76" i="23" s="1"/>
  <c r="J59" i="23"/>
  <c r="J55" i="23"/>
  <c r="G46" i="23"/>
  <c r="H55" i="23"/>
  <c r="H56" i="23"/>
  <c r="J56" i="23"/>
  <c r="E18" i="23"/>
  <c r="E7" i="23"/>
  <c r="K205" i="10"/>
  <c r="K68" i="11" s="1"/>
  <c r="J68" i="11"/>
  <c r="E97" i="10"/>
  <c r="E89" i="10"/>
  <c r="F89" i="10"/>
  <c r="H89" i="10"/>
  <c r="H97" i="10"/>
  <c r="G97" i="10"/>
  <c r="H93" i="10"/>
  <c r="E105" i="10"/>
  <c r="E93" i="10"/>
  <c r="F83" i="10"/>
  <c r="G83" i="10"/>
  <c r="H83" i="10"/>
  <c r="E83" i="10"/>
  <c r="H105" i="10"/>
  <c r="F105" i="10"/>
  <c r="G105" i="10"/>
  <c r="J171" i="10"/>
  <c r="D722" i="5"/>
  <c r="E722" i="5"/>
  <c r="F722" i="5"/>
  <c r="G722" i="5"/>
  <c r="H722" i="5"/>
  <c r="I722" i="5"/>
  <c r="C722" i="5"/>
  <c r="I723" i="5"/>
  <c r="I724" i="5" s="1"/>
  <c r="H723" i="5"/>
  <c r="H724" i="5" s="1"/>
  <c r="G723" i="5"/>
  <c r="F723" i="5"/>
  <c r="F724" i="5" s="1"/>
  <c r="E723" i="5"/>
  <c r="E724" i="5" s="1"/>
  <c r="D723" i="5"/>
  <c r="D724" i="5" s="1"/>
  <c r="C723" i="5"/>
  <c r="C724" i="5" s="1"/>
  <c r="G101" i="23" l="1"/>
  <c r="G97" i="23"/>
  <c r="G98" i="23"/>
  <c r="F72" i="15"/>
  <c r="E8" i="25"/>
  <c r="G16" i="25" s="1"/>
  <c r="G19" i="25" s="1"/>
  <c r="D21" i="25" s="1"/>
  <c r="C34" i="15"/>
  <c r="H18" i="23"/>
  <c r="R60" i="10"/>
  <c r="R63" i="10" s="1"/>
  <c r="R56" i="11" s="1"/>
  <c r="R118" i="10"/>
  <c r="H13" i="23"/>
  <c r="D11" i="23"/>
  <c r="D12" i="23" s="1"/>
  <c r="D16" i="23" s="1"/>
  <c r="D23" i="23" s="1"/>
  <c r="D24" i="23" s="1"/>
  <c r="G77" i="23"/>
  <c r="G80" i="23"/>
  <c r="G79" i="23"/>
  <c r="G55" i="23"/>
  <c r="G58" i="23"/>
  <c r="G59" i="23"/>
  <c r="G56" i="23"/>
  <c r="E20" i="23"/>
  <c r="F18" i="23"/>
  <c r="F20" i="23" s="1"/>
  <c r="E12" i="23"/>
  <c r="E16" i="23" s="1"/>
  <c r="F7" i="23"/>
  <c r="F12" i="23" s="1"/>
  <c r="F16" i="23" s="1"/>
  <c r="L205" i="10"/>
  <c r="M205" i="10" s="1"/>
  <c r="G724" i="5"/>
  <c r="C66" i="18"/>
  <c r="D66" i="18"/>
  <c r="E66" i="18"/>
  <c r="F66" i="18"/>
  <c r="G66" i="18"/>
  <c r="H66" i="18"/>
  <c r="I66" i="18"/>
  <c r="D727" i="5"/>
  <c r="E727" i="5" s="1"/>
  <c r="F727" i="5" s="1"/>
  <c r="G727" i="5" s="1"/>
  <c r="S60" i="10" l="1"/>
  <c r="S63" i="10" s="1"/>
  <c r="S118" i="10"/>
  <c r="H7" i="23"/>
  <c r="F23" i="23"/>
  <c r="F24" i="23" s="1"/>
  <c r="E23" i="23"/>
  <c r="E24" i="23" s="1"/>
  <c r="C26" i="15" s="1"/>
  <c r="L68" i="11"/>
  <c r="N205" i="10"/>
  <c r="M68" i="11"/>
  <c r="E132" i="11"/>
  <c r="F132" i="11"/>
  <c r="G132" i="11"/>
  <c r="H132" i="11"/>
  <c r="I132" i="11"/>
  <c r="D132" i="11"/>
  <c r="S56" i="11" l="1"/>
  <c r="N68" i="11"/>
  <c r="O205" i="10"/>
  <c r="D137" i="11"/>
  <c r="E137" i="11"/>
  <c r="F137" i="11"/>
  <c r="G137" i="11"/>
  <c r="H137" i="11"/>
  <c r="I137" i="11"/>
  <c r="E138" i="11"/>
  <c r="F138" i="11"/>
  <c r="G138" i="11"/>
  <c r="H138" i="11"/>
  <c r="I138" i="11"/>
  <c r="D138" i="11"/>
  <c r="E136" i="11"/>
  <c r="F136" i="11"/>
  <c r="G136" i="11"/>
  <c r="H136" i="11"/>
  <c r="I136" i="11"/>
  <c r="D136" i="11"/>
  <c r="I242" i="10"/>
  <c r="E250" i="10"/>
  <c r="F250" i="10"/>
  <c r="G250" i="10"/>
  <c r="H250" i="10"/>
  <c r="I250" i="10"/>
  <c r="D250" i="10"/>
  <c r="D715" i="5"/>
  <c r="E715" i="5"/>
  <c r="F715" i="5"/>
  <c r="G715" i="5"/>
  <c r="H715" i="5"/>
  <c r="I715" i="5"/>
  <c r="C715" i="5"/>
  <c r="D714" i="5"/>
  <c r="E714" i="5"/>
  <c r="F714" i="5"/>
  <c r="G714" i="5"/>
  <c r="H714" i="5"/>
  <c r="I714" i="5"/>
  <c r="C714" i="5"/>
  <c r="C707" i="5"/>
  <c r="D697" i="5"/>
  <c r="D698" i="5" s="1"/>
  <c r="E697" i="5"/>
  <c r="E698" i="5" s="1"/>
  <c r="F697" i="5"/>
  <c r="F698" i="5" s="1"/>
  <c r="G697" i="5"/>
  <c r="G698" i="5" s="1"/>
  <c r="H697" i="5"/>
  <c r="H698" i="5" s="1"/>
  <c r="I697" i="5"/>
  <c r="I698" i="5" s="1"/>
  <c r="C697" i="5"/>
  <c r="C698" i="5" s="1"/>
  <c r="E230" i="10"/>
  <c r="F230" i="10"/>
  <c r="G231" i="10" s="1"/>
  <c r="G230" i="10"/>
  <c r="H230" i="10"/>
  <c r="I231" i="10" s="1"/>
  <c r="I230" i="10"/>
  <c r="D230" i="10"/>
  <c r="D147" i="11"/>
  <c r="E143" i="11"/>
  <c r="F143" i="11"/>
  <c r="G143" i="11"/>
  <c r="H143" i="11"/>
  <c r="I143" i="11"/>
  <c r="D143" i="11"/>
  <c r="I140" i="11"/>
  <c r="H140" i="11"/>
  <c r="G140" i="11"/>
  <c r="F140" i="11"/>
  <c r="E140" i="11"/>
  <c r="I139" i="11"/>
  <c r="H139" i="11"/>
  <c r="G139" i="11"/>
  <c r="F139" i="11"/>
  <c r="E139" i="11"/>
  <c r="D140" i="11"/>
  <c r="D139" i="11"/>
  <c r="E133" i="11"/>
  <c r="F133" i="11"/>
  <c r="G133" i="11"/>
  <c r="H133" i="11"/>
  <c r="I133" i="11"/>
  <c r="D133" i="11"/>
  <c r="E134" i="11"/>
  <c r="F134" i="11"/>
  <c r="G134" i="11"/>
  <c r="H134" i="11"/>
  <c r="I134" i="11"/>
  <c r="D134" i="11"/>
  <c r="E135" i="11"/>
  <c r="F135" i="11"/>
  <c r="G135" i="11"/>
  <c r="H135" i="11"/>
  <c r="I135" i="11"/>
  <c r="D135" i="11"/>
  <c r="E127" i="11"/>
  <c r="F127" i="11"/>
  <c r="G127" i="11"/>
  <c r="H127" i="11"/>
  <c r="I127" i="11"/>
  <c r="E128" i="11"/>
  <c r="F128" i="11"/>
  <c r="G128" i="11"/>
  <c r="H128" i="11"/>
  <c r="I128" i="11"/>
  <c r="E129" i="11"/>
  <c r="F129" i="11"/>
  <c r="G129" i="11"/>
  <c r="H129" i="11"/>
  <c r="I129" i="11"/>
  <c r="D129" i="11"/>
  <c r="D128" i="11"/>
  <c r="D127" i="11"/>
  <c r="D126" i="11"/>
  <c r="E126" i="11"/>
  <c r="F126" i="11"/>
  <c r="G126" i="11"/>
  <c r="H126" i="11"/>
  <c r="I126" i="11"/>
  <c r="E125" i="11"/>
  <c r="F22" i="15" s="1"/>
  <c r="F125" i="11"/>
  <c r="G22" i="15" s="1"/>
  <c r="G125" i="11"/>
  <c r="H22" i="15" s="1"/>
  <c r="H125" i="11"/>
  <c r="I22" i="15" s="1"/>
  <c r="I125" i="11"/>
  <c r="J22" i="15" s="1"/>
  <c r="D125" i="11"/>
  <c r="E22" i="15" s="1"/>
  <c r="E122" i="11"/>
  <c r="F122" i="11"/>
  <c r="G122" i="11"/>
  <c r="H122" i="11"/>
  <c r="I122" i="11"/>
  <c r="D122" i="11"/>
  <c r="D20" i="18"/>
  <c r="D120" i="11"/>
  <c r="E120" i="11"/>
  <c r="F120" i="11"/>
  <c r="G120" i="11"/>
  <c r="H120" i="11"/>
  <c r="I120" i="11"/>
  <c r="I105" i="11"/>
  <c r="H105" i="11"/>
  <c r="G105" i="11"/>
  <c r="F105" i="11"/>
  <c r="E105" i="11"/>
  <c r="I104" i="11"/>
  <c r="H104" i="11"/>
  <c r="G104" i="11"/>
  <c r="F104" i="11"/>
  <c r="E104" i="11"/>
  <c r="I103" i="11"/>
  <c r="H103" i="11"/>
  <c r="G103" i="11"/>
  <c r="F103" i="11"/>
  <c r="E103" i="11"/>
  <c r="I102" i="11"/>
  <c r="H102" i="11"/>
  <c r="G102" i="11"/>
  <c r="F102" i="11"/>
  <c r="E102" i="11"/>
  <c r="I101" i="11"/>
  <c r="H101" i="11"/>
  <c r="G101" i="11"/>
  <c r="F101" i="11"/>
  <c r="E101" i="11"/>
  <c r="I100" i="11"/>
  <c r="H100" i="11"/>
  <c r="G100" i="11"/>
  <c r="F100" i="11"/>
  <c r="E100" i="11"/>
  <c r="I99" i="11"/>
  <c r="H99" i="11"/>
  <c r="G99" i="11"/>
  <c r="F99" i="11"/>
  <c r="E99" i="11"/>
  <c r="I98" i="11"/>
  <c r="H98" i="11"/>
  <c r="G98" i="11"/>
  <c r="F98" i="11"/>
  <c r="E98" i="11"/>
  <c r="D105" i="11"/>
  <c r="D104" i="11"/>
  <c r="D103" i="11"/>
  <c r="D102" i="11"/>
  <c r="D101" i="11"/>
  <c r="D100" i="11"/>
  <c r="D99" i="11"/>
  <c r="D98" i="11"/>
  <c r="I93" i="11"/>
  <c r="H93" i="11"/>
  <c r="G93" i="11"/>
  <c r="F93" i="11"/>
  <c r="E93" i="11"/>
  <c r="I92" i="11"/>
  <c r="H92" i="11"/>
  <c r="G92" i="11"/>
  <c r="F92" i="11"/>
  <c r="E92" i="11"/>
  <c r="I91" i="11"/>
  <c r="H91" i="11"/>
  <c r="G91" i="11"/>
  <c r="F91" i="11"/>
  <c r="E91" i="11"/>
  <c r="I90" i="11"/>
  <c r="H90" i="11"/>
  <c r="G90" i="11"/>
  <c r="F90" i="11"/>
  <c r="E90" i="11"/>
  <c r="I89" i="11"/>
  <c r="H89" i="11"/>
  <c r="G89" i="11"/>
  <c r="F89" i="11"/>
  <c r="E89" i="11"/>
  <c r="I88" i="11"/>
  <c r="H88" i="11"/>
  <c r="G88" i="11"/>
  <c r="F88" i="11"/>
  <c r="E88" i="11"/>
  <c r="D93" i="11"/>
  <c r="D92" i="11"/>
  <c r="D91" i="11"/>
  <c r="D90" i="11"/>
  <c r="D89" i="11"/>
  <c r="D88" i="11"/>
  <c r="E83" i="11"/>
  <c r="F83" i="11"/>
  <c r="G83" i="11"/>
  <c r="H83" i="11"/>
  <c r="I83" i="11"/>
  <c r="D83" i="11"/>
  <c r="E80" i="11"/>
  <c r="F80" i="11"/>
  <c r="G80" i="11"/>
  <c r="H80" i="11"/>
  <c r="I80" i="11"/>
  <c r="E81" i="11"/>
  <c r="F81" i="11"/>
  <c r="G81" i="11"/>
  <c r="H81" i="11"/>
  <c r="I81" i="11"/>
  <c r="D81" i="11"/>
  <c r="D80" i="11"/>
  <c r="E176" i="10"/>
  <c r="F176" i="10"/>
  <c r="G176" i="10"/>
  <c r="H176" i="10"/>
  <c r="I176" i="10"/>
  <c r="D176" i="10"/>
  <c r="E161" i="10"/>
  <c r="F161" i="10"/>
  <c r="G161" i="10"/>
  <c r="H161" i="10"/>
  <c r="I161" i="10"/>
  <c r="D161" i="10"/>
  <c r="E155" i="10"/>
  <c r="F155" i="10"/>
  <c r="G155" i="10"/>
  <c r="H155" i="10"/>
  <c r="I155" i="10"/>
  <c r="D155" i="10"/>
  <c r="I70" i="11"/>
  <c r="H70" i="11"/>
  <c r="G70" i="11"/>
  <c r="F70" i="11"/>
  <c r="E70" i="11"/>
  <c r="I69" i="11"/>
  <c r="H69" i="11"/>
  <c r="G69" i="11"/>
  <c r="F69" i="11"/>
  <c r="E69" i="11"/>
  <c r="D70" i="11"/>
  <c r="D69" i="11"/>
  <c r="I68" i="11"/>
  <c r="H68" i="11"/>
  <c r="G68" i="11"/>
  <c r="F68" i="11"/>
  <c r="E68" i="11"/>
  <c r="D68" i="11"/>
  <c r="I62" i="11"/>
  <c r="H62" i="11"/>
  <c r="G62" i="11"/>
  <c r="F62" i="11"/>
  <c r="E62" i="11"/>
  <c r="I61" i="11"/>
  <c r="H61" i="11"/>
  <c r="G61" i="11"/>
  <c r="F61" i="11"/>
  <c r="E61" i="11"/>
  <c r="I59" i="11"/>
  <c r="H59" i="11"/>
  <c r="G59" i="11"/>
  <c r="F59" i="11"/>
  <c r="E59" i="11"/>
  <c r="I58" i="11"/>
  <c r="H58" i="11"/>
  <c r="G58" i="11"/>
  <c r="F58" i="11"/>
  <c r="E58" i="11"/>
  <c r="I57" i="11"/>
  <c r="H57" i="11"/>
  <c r="G57" i="11"/>
  <c r="F57" i="11"/>
  <c r="E57" i="11"/>
  <c r="I56" i="11"/>
  <c r="H56" i="11"/>
  <c r="G56" i="11"/>
  <c r="F56" i="11"/>
  <c r="E56" i="11"/>
  <c r="I55" i="11"/>
  <c r="H55" i="11"/>
  <c r="G55" i="11"/>
  <c r="F55" i="11"/>
  <c r="E55" i="11"/>
  <c r="I54" i="11"/>
  <c r="H54" i="11"/>
  <c r="G54" i="11"/>
  <c r="F54" i="11"/>
  <c r="E54" i="11"/>
  <c r="D62" i="11"/>
  <c r="D61" i="11"/>
  <c r="D59" i="11"/>
  <c r="D58" i="11"/>
  <c r="D57" i="11"/>
  <c r="D56" i="11"/>
  <c r="D55" i="11"/>
  <c r="D54" i="11"/>
  <c r="I38" i="11"/>
  <c r="J16" i="15" s="1"/>
  <c r="H38" i="11"/>
  <c r="I16" i="15" s="1"/>
  <c r="G38" i="11"/>
  <c r="H16" i="15" s="1"/>
  <c r="F38" i="11"/>
  <c r="G16" i="15" s="1"/>
  <c r="E38" i="11"/>
  <c r="F16" i="15" s="1"/>
  <c r="D38" i="11"/>
  <c r="E16" i="15" s="1"/>
  <c r="E35" i="11"/>
  <c r="F35" i="11"/>
  <c r="G35" i="11"/>
  <c r="H35" i="11"/>
  <c r="I35" i="11"/>
  <c r="D35" i="11"/>
  <c r="E34" i="11"/>
  <c r="F34" i="11"/>
  <c r="G34" i="11"/>
  <c r="H34" i="11"/>
  <c r="I34" i="11"/>
  <c r="D34" i="11"/>
  <c r="E29" i="11"/>
  <c r="F14" i="15" s="1"/>
  <c r="F18" i="15" s="1"/>
  <c r="F29" i="11"/>
  <c r="G14" i="15" s="1"/>
  <c r="G18" i="15" s="1"/>
  <c r="G29" i="11"/>
  <c r="H14" i="15" s="1"/>
  <c r="H18" i="15" s="1"/>
  <c r="H29" i="11"/>
  <c r="I14" i="15" s="1"/>
  <c r="I18" i="15" s="1"/>
  <c r="I29" i="11"/>
  <c r="J14" i="15" s="1"/>
  <c r="J18" i="15" s="1"/>
  <c r="D29" i="11"/>
  <c r="E14" i="15" s="1"/>
  <c r="E18" i="15" s="1"/>
  <c r="I202" i="5"/>
  <c r="D8" i="16"/>
  <c r="D16" i="16"/>
  <c r="D18" i="16" s="1"/>
  <c r="D34" i="16" s="1"/>
  <c r="D37" i="16" s="1"/>
  <c r="D42" i="16" s="1"/>
  <c r="D45" i="16" s="1"/>
  <c r="D20" i="16"/>
  <c r="D21" i="16"/>
  <c r="D22" i="16"/>
  <c r="D23" i="16"/>
  <c r="D25" i="16"/>
  <c r="D26" i="16"/>
  <c r="D27" i="16"/>
  <c r="D32" i="16"/>
  <c r="M66" i="10"/>
  <c r="L66" i="10"/>
  <c r="K66" i="10"/>
  <c r="J66" i="10"/>
  <c r="P205" i="10" l="1"/>
  <c r="O68" i="11"/>
  <c r="H119" i="11"/>
  <c r="F185" i="10"/>
  <c r="E119" i="11"/>
  <c r="H185" i="10"/>
  <c r="G201" i="10"/>
  <c r="D118" i="11"/>
  <c r="G189" i="10"/>
  <c r="I201" i="10"/>
  <c r="H118" i="11"/>
  <c r="I189" i="10"/>
  <c r="J189" i="10" s="1"/>
  <c r="E193" i="10"/>
  <c r="F118" i="11"/>
  <c r="D181" i="10"/>
  <c r="E182" i="10" s="1"/>
  <c r="E181" i="10"/>
  <c r="F182" i="10" s="1"/>
  <c r="F193" i="10"/>
  <c r="J91" i="11"/>
  <c r="K91" i="11" s="1"/>
  <c r="L91" i="11" s="1"/>
  <c r="M91" i="11" s="1"/>
  <c r="N91" i="11" s="1"/>
  <c r="O91" i="11" s="1"/>
  <c r="P91" i="11" s="1"/>
  <c r="Q91" i="11" s="1"/>
  <c r="R91" i="11" s="1"/>
  <c r="S91" i="11" s="1"/>
  <c r="H181" i="10"/>
  <c r="I181" i="10"/>
  <c r="J181" i="10" s="1"/>
  <c r="G119" i="11"/>
  <c r="E185" i="10"/>
  <c r="F197" i="10"/>
  <c r="F119" i="11"/>
  <c r="E201" i="10"/>
  <c r="F201" i="10"/>
  <c r="H201" i="10"/>
  <c r="J93" i="11"/>
  <c r="K93" i="11" s="1"/>
  <c r="L93" i="11" s="1"/>
  <c r="M93" i="11" s="1"/>
  <c r="N93" i="11" s="1"/>
  <c r="O93" i="11" s="1"/>
  <c r="P93" i="11" s="1"/>
  <c r="Q93" i="11" s="1"/>
  <c r="R93" i="11" s="1"/>
  <c r="S93" i="11" s="1"/>
  <c r="G118" i="11"/>
  <c r="D185" i="10"/>
  <c r="F181" i="10"/>
  <c r="G193" i="10"/>
  <c r="D193" i="10"/>
  <c r="I193" i="10"/>
  <c r="D197" i="10"/>
  <c r="E197" i="10"/>
  <c r="J83" i="11"/>
  <c r="K83" i="11" s="1"/>
  <c r="L83" i="11" s="1"/>
  <c r="M83" i="11" s="1"/>
  <c r="N83" i="11" s="1"/>
  <c r="O83" i="11" s="1"/>
  <c r="P83" i="11" s="1"/>
  <c r="Q83" i="11" s="1"/>
  <c r="R83" i="11" s="1"/>
  <c r="S83" i="11" s="1"/>
  <c r="D201" i="10"/>
  <c r="G197" i="10"/>
  <c r="G185" i="10"/>
  <c r="G186" i="10" s="1"/>
  <c r="H197" i="10"/>
  <c r="J92" i="11"/>
  <c r="K92" i="11" s="1"/>
  <c r="L92" i="11" s="1"/>
  <c r="M92" i="11" s="1"/>
  <c r="N92" i="11" s="1"/>
  <c r="O92" i="11" s="1"/>
  <c r="P92" i="11" s="1"/>
  <c r="Q92" i="11" s="1"/>
  <c r="R92" i="11" s="1"/>
  <c r="S92" i="11" s="1"/>
  <c r="I197" i="10"/>
  <c r="I134" i="10"/>
  <c r="J89" i="11"/>
  <c r="K89" i="11" s="1"/>
  <c r="L89" i="11" s="1"/>
  <c r="M89" i="11" s="1"/>
  <c r="N89" i="11" s="1"/>
  <c r="O89" i="11" s="1"/>
  <c r="P89" i="11" s="1"/>
  <c r="Q89" i="11" s="1"/>
  <c r="R89" i="11" s="1"/>
  <c r="S89" i="11" s="1"/>
  <c r="I185" i="10"/>
  <c r="J185" i="10" s="1"/>
  <c r="E189" i="10"/>
  <c r="F189" i="10"/>
  <c r="H189" i="10"/>
  <c r="J90" i="11"/>
  <c r="K90" i="11" s="1"/>
  <c r="L90" i="11" s="1"/>
  <c r="M90" i="11" s="1"/>
  <c r="N90" i="11" s="1"/>
  <c r="O90" i="11" s="1"/>
  <c r="P90" i="11" s="1"/>
  <c r="Q90" i="11" s="1"/>
  <c r="R90" i="11" s="1"/>
  <c r="S90" i="11" s="1"/>
  <c r="J80" i="11"/>
  <c r="K80" i="11" s="1"/>
  <c r="L80" i="11" s="1"/>
  <c r="M80" i="11" s="1"/>
  <c r="N80" i="11" s="1"/>
  <c r="O80" i="11" s="1"/>
  <c r="P80" i="11" s="1"/>
  <c r="Q80" i="11" s="1"/>
  <c r="R80" i="11" s="1"/>
  <c r="S80" i="11" s="1"/>
  <c r="E118" i="11"/>
  <c r="D119" i="11"/>
  <c r="D189" i="10"/>
  <c r="G181" i="10"/>
  <c r="H193" i="10"/>
  <c r="I119" i="11"/>
  <c r="I118" i="11"/>
  <c r="J143" i="10"/>
  <c r="I136" i="10"/>
  <c r="H231" i="10"/>
  <c r="E198" i="10"/>
  <c r="J197" i="10"/>
  <c r="I186" i="10"/>
  <c r="I133" i="10"/>
  <c r="I132" i="10"/>
  <c r="D716" i="5"/>
  <c r="H716" i="5"/>
  <c r="I716" i="5"/>
  <c r="F716" i="5"/>
  <c r="C716" i="5"/>
  <c r="G716" i="5"/>
  <c r="E716" i="5"/>
  <c r="D141" i="11"/>
  <c r="G141" i="11"/>
  <c r="H141" i="11"/>
  <c r="I141" i="11"/>
  <c r="F141" i="11"/>
  <c r="E141" i="11"/>
  <c r="I130" i="11"/>
  <c r="D130" i="11"/>
  <c r="F130" i="11"/>
  <c r="E130" i="11"/>
  <c r="H130" i="11"/>
  <c r="G130" i="11"/>
  <c r="D82" i="11"/>
  <c r="D94" i="11"/>
  <c r="D106" i="11"/>
  <c r="I94" i="11"/>
  <c r="E106" i="11"/>
  <c r="H106" i="11"/>
  <c r="F106" i="11"/>
  <c r="G106" i="11"/>
  <c r="I106" i="11"/>
  <c r="E94" i="11"/>
  <c r="F94" i="11"/>
  <c r="G94" i="11"/>
  <c r="H94" i="11"/>
  <c r="H82" i="11"/>
  <c r="I82" i="11"/>
  <c r="G82" i="11"/>
  <c r="F82" i="11"/>
  <c r="E82" i="11"/>
  <c r="I69" i="10"/>
  <c r="G497" i="5"/>
  <c r="F497" i="5"/>
  <c r="H497" i="5" s="1"/>
  <c r="F190" i="10" l="1"/>
  <c r="I194" i="10"/>
  <c r="H190" i="10"/>
  <c r="E194" i="10"/>
  <c r="Q205" i="10"/>
  <c r="P68" i="11"/>
  <c r="J193" i="10"/>
  <c r="K193" i="10" s="1"/>
  <c r="E190" i="10"/>
  <c r="I198" i="10"/>
  <c r="G202" i="10"/>
  <c r="F202" i="10"/>
  <c r="E202" i="10"/>
  <c r="H182" i="10"/>
  <c r="I182" i="10"/>
  <c r="E186" i="10"/>
  <c r="F186" i="10"/>
  <c r="H194" i="10"/>
  <c r="H198" i="10"/>
  <c r="G182" i="10"/>
  <c r="I190" i="10"/>
  <c r="H202" i="10"/>
  <c r="I202" i="10"/>
  <c r="E84" i="11"/>
  <c r="E108" i="11" s="1"/>
  <c r="D84" i="11"/>
  <c r="H186" i="10"/>
  <c r="G198" i="10"/>
  <c r="F194" i="10"/>
  <c r="G194" i="10"/>
  <c r="J201" i="10"/>
  <c r="J105" i="11" s="1"/>
  <c r="F84" i="11"/>
  <c r="F198" i="10"/>
  <c r="G190" i="10"/>
  <c r="G84" i="11"/>
  <c r="I84" i="11"/>
  <c r="H84" i="11"/>
  <c r="K185" i="10"/>
  <c r="J218" i="10"/>
  <c r="J101" i="11"/>
  <c r="K197" i="10"/>
  <c r="J221" i="10"/>
  <c r="J104" i="11"/>
  <c r="J219" i="10"/>
  <c r="K189" i="10"/>
  <c r="J102" i="11"/>
  <c r="J217" i="10"/>
  <c r="J100" i="11"/>
  <c r="K181" i="10"/>
  <c r="I196" i="19"/>
  <c r="H196" i="19"/>
  <c r="G196" i="19"/>
  <c r="F196" i="19"/>
  <c r="E196" i="19"/>
  <c r="D196" i="19"/>
  <c r="C196" i="19"/>
  <c r="R205" i="10" l="1"/>
  <c r="Q68" i="11"/>
  <c r="J220" i="10"/>
  <c r="J103" i="11"/>
  <c r="J222" i="10"/>
  <c r="E107" i="21"/>
  <c r="E98" i="21"/>
  <c r="E89" i="21"/>
  <c r="E91" i="21"/>
  <c r="E101" i="21"/>
  <c r="E90" i="21"/>
  <c r="E80" i="21"/>
  <c r="E79" i="21"/>
  <c r="E87" i="21"/>
  <c r="E99" i="21"/>
  <c r="E103" i="21"/>
  <c r="E104" i="21"/>
  <c r="E88" i="21"/>
  <c r="E100" i="21"/>
  <c r="E92" i="21"/>
  <c r="E97" i="21"/>
  <c r="E82" i="21"/>
  <c r="E102" i="21"/>
  <c r="K201" i="10"/>
  <c r="K222" i="10" s="1"/>
  <c r="E93" i="21"/>
  <c r="H108" i="11"/>
  <c r="G108" i="11"/>
  <c r="I108" i="11"/>
  <c r="F108" i="11"/>
  <c r="D108" i="11"/>
  <c r="E105" i="21"/>
  <c r="E81" i="21"/>
  <c r="E83" i="21"/>
  <c r="L189" i="10"/>
  <c r="K219" i="10"/>
  <c r="K102" i="11"/>
  <c r="K103" i="11"/>
  <c r="L193" i="10"/>
  <c r="K220" i="10"/>
  <c r="K221" i="10"/>
  <c r="K104" i="11"/>
  <c r="L197" i="10"/>
  <c r="K100" i="11"/>
  <c r="L181" i="10"/>
  <c r="K217" i="10"/>
  <c r="L185" i="10"/>
  <c r="K218" i="10"/>
  <c r="K101" i="11"/>
  <c r="I572" i="5"/>
  <c r="H572" i="5"/>
  <c r="G572" i="5"/>
  <c r="G580" i="5" s="1"/>
  <c r="F572" i="5"/>
  <c r="F575" i="5" s="1"/>
  <c r="E572" i="5"/>
  <c r="E580" i="5" s="1"/>
  <c r="D572" i="5"/>
  <c r="D575" i="5" s="1"/>
  <c r="C572" i="5"/>
  <c r="C575" i="5" s="1"/>
  <c r="S205" i="10" l="1"/>
  <c r="S68" i="11" s="1"/>
  <c r="R68" i="11"/>
  <c r="D107" i="21"/>
  <c r="D101" i="21"/>
  <c r="D97" i="21"/>
  <c r="D79" i="21"/>
  <c r="D92" i="21"/>
  <c r="D99" i="21"/>
  <c r="D89" i="21"/>
  <c r="D91" i="21"/>
  <c r="D80" i="21"/>
  <c r="D104" i="21"/>
  <c r="D102" i="21"/>
  <c r="D88" i="21"/>
  <c r="D90" i="21"/>
  <c r="D100" i="21"/>
  <c r="D98" i="21"/>
  <c r="D82" i="21"/>
  <c r="D103" i="21"/>
  <c r="D87" i="21"/>
  <c r="D105" i="21"/>
  <c r="D81" i="21"/>
  <c r="D93" i="21"/>
  <c r="D83" i="21"/>
  <c r="I107" i="21"/>
  <c r="I90" i="21"/>
  <c r="I100" i="21"/>
  <c r="I82" i="21"/>
  <c r="I87" i="21"/>
  <c r="I101" i="21"/>
  <c r="I91" i="21"/>
  <c r="I99" i="21"/>
  <c r="I102" i="21"/>
  <c r="I80" i="21"/>
  <c r="I92" i="21"/>
  <c r="I104" i="21"/>
  <c r="I88" i="21"/>
  <c r="I98" i="21"/>
  <c r="I103" i="21"/>
  <c r="I89" i="21"/>
  <c r="I79" i="21"/>
  <c r="I97" i="21"/>
  <c r="I93" i="21"/>
  <c r="I81" i="21"/>
  <c r="I105" i="21"/>
  <c r="G107" i="21"/>
  <c r="G102" i="21"/>
  <c r="G104" i="21"/>
  <c r="G99" i="21"/>
  <c r="G82" i="21"/>
  <c r="G80" i="21"/>
  <c r="G97" i="21"/>
  <c r="G100" i="21"/>
  <c r="G91" i="21"/>
  <c r="G98" i="21"/>
  <c r="G79" i="21"/>
  <c r="G90" i="21"/>
  <c r="G103" i="21"/>
  <c r="G88" i="21"/>
  <c r="G89" i="21"/>
  <c r="G101" i="21"/>
  <c r="G87" i="21"/>
  <c r="G92" i="21"/>
  <c r="G93" i="21"/>
  <c r="G81" i="21"/>
  <c r="G105" i="21"/>
  <c r="H107" i="21"/>
  <c r="H98" i="21"/>
  <c r="H89" i="21"/>
  <c r="H102" i="21"/>
  <c r="H100" i="21"/>
  <c r="H92" i="21"/>
  <c r="H91" i="21"/>
  <c r="H103" i="21"/>
  <c r="H99" i="21"/>
  <c r="H79" i="21"/>
  <c r="H88" i="21"/>
  <c r="H101" i="21"/>
  <c r="H104" i="21"/>
  <c r="H97" i="21"/>
  <c r="H87" i="21"/>
  <c r="H82" i="21"/>
  <c r="H90" i="21"/>
  <c r="H80" i="21"/>
  <c r="H93" i="21"/>
  <c r="H105" i="21"/>
  <c r="H81" i="21"/>
  <c r="I83" i="21"/>
  <c r="H83" i="21"/>
  <c r="F107" i="21"/>
  <c r="F97" i="21"/>
  <c r="F91" i="21"/>
  <c r="F88" i="21"/>
  <c r="F98" i="21"/>
  <c r="F104" i="21"/>
  <c r="F82" i="21"/>
  <c r="F89" i="21"/>
  <c r="F87" i="21"/>
  <c r="F90" i="21"/>
  <c r="F101" i="21"/>
  <c r="F80" i="21"/>
  <c r="F99" i="21"/>
  <c r="F79" i="21"/>
  <c r="F103" i="21"/>
  <c r="F100" i="21"/>
  <c r="F102" i="21"/>
  <c r="F92" i="21"/>
  <c r="F81" i="21"/>
  <c r="F93" i="21"/>
  <c r="F105" i="21"/>
  <c r="K105" i="11"/>
  <c r="G83" i="21"/>
  <c r="L201" i="10"/>
  <c r="M201" i="10" s="1"/>
  <c r="F83" i="21"/>
  <c r="M185" i="10"/>
  <c r="L101" i="11"/>
  <c r="L218" i="10"/>
  <c r="M181" i="10"/>
  <c r="L217" i="10"/>
  <c r="L100" i="11"/>
  <c r="M197" i="10"/>
  <c r="L221" i="10"/>
  <c r="L104" i="11"/>
  <c r="M193" i="10"/>
  <c r="L103" i="11"/>
  <c r="L220" i="10"/>
  <c r="L102" i="11"/>
  <c r="L219" i="10"/>
  <c r="M189" i="10"/>
  <c r="G575" i="5"/>
  <c r="C580" i="5"/>
  <c r="F580" i="5"/>
  <c r="D580" i="5"/>
  <c r="H580" i="5"/>
  <c r="I575" i="5"/>
  <c r="E575" i="5"/>
  <c r="I580" i="5"/>
  <c r="H575" i="5"/>
  <c r="J118" i="10"/>
  <c r="K118" i="10" s="1"/>
  <c r="I100" i="10"/>
  <c r="O111" i="6"/>
  <c r="N101" i="10" s="1"/>
  <c r="N111" i="6"/>
  <c r="M101" i="10" s="1"/>
  <c r="M111" i="6"/>
  <c r="L101" i="10" s="1"/>
  <c r="L111" i="6"/>
  <c r="K101" i="10" s="1"/>
  <c r="K111" i="6"/>
  <c r="J101" i="10" s="1"/>
  <c r="B111" i="6"/>
  <c r="I96" i="10"/>
  <c r="I104" i="10"/>
  <c r="I105" i="10" s="1"/>
  <c r="O117" i="6"/>
  <c r="N105" i="10" s="1"/>
  <c r="N117" i="6"/>
  <c r="M105" i="10" s="1"/>
  <c r="M117" i="6"/>
  <c r="L105" i="10" s="1"/>
  <c r="L117" i="6"/>
  <c r="K105" i="10" s="1"/>
  <c r="K117" i="6"/>
  <c r="J105" i="10" s="1"/>
  <c r="B117" i="6"/>
  <c r="O105" i="6"/>
  <c r="N97" i="10" s="1"/>
  <c r="N105" i="6"/>
  <c r="M97" i="10" s="1"/>
  <c r="M105" i="6"/>
  <c r="L97" i="10" s="1"/>
  <c r="L105" i="6"/>
  <c r="K97" i="10" s="1"/>
  <c r="K105" i="6"/>
  <c r="J97" i="10" s="1"/>
  <c r="B105" i="6"/>
  <c r="O99" i="6"/>
  <c r="N93" i="10" s="1"/>
  <c r="N99" i="6"/>
  <c r="M93" i="10" s="1"/>
  <c r="M99" i="6"/>
  <c r="L93" i="10" s="1"/>
  <c r="L99" i="6"/>
  <c r="K93" i="10" s="1"/>
  <c r="K99" i="6"/>
  <c r="J93" i="10" s="1"/>
  <c r="B99" i="6"/>
  <c r="D535" i="5"/>
  <c r="D582" i="5" s="1"/>
  <c r="E535" i="5"/>
  <c r="E582" i="5" s="1"/>
  <c r="F535" i="5"/>
  <c r="F582" i="5" s="1"/>
  <c r="G535" i="5"/>
  <c r="G582" i="5" s="1"/>
  <c r="H535" i="5"/>
  <c r="H582" i="5" s="1"/>
  <c r="I535" i="5"/>
  <c r="I582" i="5" s="1"/>
  <c r="C535" i="5"/>
  <c r="C582" i="5" s="1"/>
  <c r="D536" i="5"/>
  <c r="E536" i="5"/>
  <c r="F536" i="5"/>
  <c r="G536" i="5"/>
  <c r="H536" i="5"/>
  <c r="I536" i="5"/>
  <c r="C536" i="5"/>
  <c r="I88" i="10"/>
  <c r="I82" i="10"/>
  <c r="I83" i="10" s="1"/>
  <c r="L105" i="11" l="1"/>
  <c r="L222" i="10"/>
  <c r="I97" i="10"/>
  <c r="J96" i="10"/>
  <c r="K61" i="11" s="1"/>
  <c r="I89" i="10"/>
  <c r="M102" i="11"/>
  <c r="N189" i="10"/>
  <c r="O189" i="10" s="1"/>
  <c r="O102" i="11" s="1"/>
  <c r="M219" i="10"/>
  <c r="N193" i="10"/>
  <c r="O193" i="10" s="1"/>
  <c r="O103" i="11" s="1"/>
  <c r="M220" i="10"/>
  <c r="M103" i="11"/>
  <c r="N197" i="10"/>
  <c r="O197" i="10" s="1"/>
  <c r="O104" i="11" s="1"/>
  <c r="M221" i="10"/>
  <c r="M104" i="11"/>
  <c r="N181" i="10"/>
  <c r="O181" i="10" s="1"/>
  <c r="O100" i="11" s="1"/>
  <c r="M100" i="11"/>
  <c r="M217" i="10"/>
  <c r="M105" i="11"/>
  <c r="M222" i="10"/>
  <c r="N201" i="10"/>
  <c r="O201" i="10" s="1"/>
  <c r="O105" i="11" s="1"/>
  <c r="M101" i="11"/>
  <c r="M218" i="10"/>
  <c r="N185" i="10"/>
  <c r="O185" i="10" s="1"/>
  <c r="O101" i="11" s="1"/>
  <c r="J100" i="10"/>
  <c r="L575" i="5"/>
  <c r="L582" i="5"/>
  <c r="K582" i="5"/>
  <c r="L580" i="5"/>
  <c r="K580" i="5"/>
  <c r="I538" i="5"/>
  <c r="K575" i="5"/>
  <c r="L118" i="10"/>
  <c r="G538" i="5"/>
  <c r="F538" i="5"/>
  <c r="H538" i="5"/>
  <c r="E538" i="5"/>
  <c r="C538" i="5"/>
  <c r="D538" i="5"/>
  <c r="J104" i="10"/>
  <c r="J63" i="11" s="1"/>
  <c r="I464" i="5"/>
  <c r="I465" i="5" s="1"/>
  <c r="H464" i="5"/>
  <c r="H465" i="5" s="1"/>
  <c r="G464" i="5"/>
  <c r="G465" i="5" s="1"/>
  <c r="F464" i="5"/>
  <c r="F465" i="5" s="1"/>
  <c r="E464" i="5"/>
  <c r="E465" i="5" s="1"/>
  <c r="L132" i="19"/>
  <c r="L136" i="19" s="1"/>
  <c r="O117" i="19"/>
  <c r="H448" i="5"/>
  <c r="H482" i="5" s="1"/>
  <c r="I437" i="5"/>
  <c r="I543" i="5" s="1"/>
  <c r="H437" i="5"/>
  <c r="H543" i="5" s="1"/>
  <c r="G437" i="5"/>
  <c r="G543" i="5" s="1"/>
  <c r="F437" i="5"/>
  <c r="F543" i="5" s="1"/>
  <c r="E437" i="5"/>
  <c r="E543" i="5" s="1"/>
  <c r="D437" i="5"/>
  <c r="D543" i="5" s="1"/>
  <c r="C437" i="5"/>
  <c r="C543" i="5" s="1"/>
  <c r="D452" i="5"/>
  <c r="E452" i="5"/>
  <c r="F452" i="5"/>
  <c r="G452" i="5"/>
  <c r="H452" i="5"/>
  <c r="I452" i="5"/>
  <c r="I446" i="5"/>
  <c r="H446" i="5"/>
  <c r="G446" i="5"/>
  <c r="F446" i="5"/>
  <c r="E446" i="5"/>
  <c r="D446" i="5"/>
  <c r="I490" i="5"/>
  <c r="I492" i="5" s="1"/>
  <c r="I483" i="5"/>
  <c r="I485" i="5" s="1"/>
  <c r="H483" i="5"/>
  <c r="H485" i="5" s="1"/>
  <c r="G483" i="5"/>
  <c r="G485" i="5" s="1"/>
  <c r="F483" i="5"/>
  <c r="E483" i="5"/>
  <c r="D483" i="5"/>
  <c r="C483" i="5"/>
  <c r="C485" i="5" s="1"/>
  <c r="C482" i="5"/>
  <c r="D448" i="5"/>
  <c r="D482" i="5" s="1"/>
  <c r="I142" i="19"/>
  <c r="I566" i="5"/>
  <c r="I568" i="5" s="1"/>
  <c r="H566" i="5"/>
  <c r="H568" i="5" s="1"/>
  <c r="G566" i="5"/>
  <c r="G568" i="5" s="1"/>
  <c r="F566" i="5"/>
  <c r="F568" i="5" s="1"/>
  <c r="E566" i="5"/>
  <c r="E568" i="5" s="1"/>
  <c r="D566" i="5"/>
  <c r="D568" i="5" s="1"/>
  <c r="C566" i="5"/>
  <c r="I152" i="19"/>
  <c r="H152" i="19"/>
  <c r="G152" i="19"/>
  <c r="F152" i="19"/>
  <c r="E152" i="19"/>
  <c r="D152" i="19"/>
  <c r="C152" i="19"/>
  <c r="I143" i="19"/>
  <c r="H143" i="19"/>
  <c r="H144" i="19" s="1"/>
  <c r="G143" i="19"/>
  <c r="G144" i="19" s="1"/>
  <c r="F143" i="19"/>
  <c r="E143" i="19"/>
  <c r="D143" i="19"/>
  <c r="C143" i="19"/>
  <c r="H142" i="19"/>
  <c r="G142" i="19"/>
  <c r="F142" i="19"/>
  <c r="E142" i="19"/>
  <c r="D142" i="19"/>
  <c r="C142" i="19"/>
  <c r="I121" i="19"/>
  <c r="H121" i="19"/>
  <c r="H128" i="19" s="1"/>
  <c r="G121" i="19"/>
  <c r="G132" i="19" s="1"/>
  <c r="F121" i="19"/>
  <c r="F126" i="19" s="1"/>
  <c r="E121" i="19"/>
  <c r="E133" i="19" s="1"/>
  <c r="D121" i="19"/>
  <c r="D126" i="19" s="1"/>
  <c r="C121" i="19"/>
  <c r="C131" i="19" s="1"/>
  <c r="C464" i="5"/>
  <c r="C465" i="5" s="1"/>
  <c r="E448" i="5"/>
  <c r="E482" i="5" s="1"/>
  <c r="F448" i="5"/>
  <c r="F482" i="5" s="1"/>
  <c r="G448" i="5"/>
  <c r="G482" i="5" s="1"/>
  <c r="I448" i="5"/>
  <c r="I482" i="5" s="1"/>
  <c r="K435" i="5"/>
  <c r="K141" i="6"/>
  <c r="J231" i="10" s="1"/>
  <c r="J230" i="10" s="1"/>
  <c r="L141" i="6"/>
  <c r="K231" i="10" s="1"/>
  <c r="M141" i="6"/>
  <c r="L231" i="10" s="1"/>
  <c r="N141" i="6"/>
  <c r="M231" i="10" s="1"/>
  <c r="O141" i="6"/>
  <c r="N231" i="10" s="1"/>
  <c r="O133" i="6"/>
  <c r="N133" i="6"/>
  <c r="L133" i="6"/>
  <c r="K178" i="10" s="1"/>
  <c r="K133" i="6"/>
  <c r="J178" i="10" s="1"/>
  <c r="B141" i="6"/>
  <c r="E172" i="10"/>
  <c r="F172" i="10"/>
  <c r="G172" i="10"/>
  <c r="H172" i="10"/>
  <c r="I172" i="10"/>
  <c r="D172" i="10"/>
  <c r="O93" i="6"/>
  <c r="N89" i="10" s="1"/>
  <c r="N93" i="6"/>
  <c r="M89" i="10" s="1"/>
  <c r="M93" i="6"/>
  <c r="L89" i="10" s="1"/>
  <c r="L93" i="6"/>
  <c r="K89" i="10" s="1"/>
  <c r="K93" i="6"/>
  <c r="B93" i="6"/>
  <c r="O79" i="6"/>
  <c r="N83" i="10" s="1"/>
  <c r="N79" i="6"/>
  <c r="M83" i="10" s="1"/>
  <c r="M79" i="6"/>
  <c r="L83" i="10" s="1"/>
  <c r="L79" i="6"/>
  <c r="K83" i="10" s="1"/>
  <c r="K79" i="6"/>
  <c r="B79" i="6"/>
  <c r="O73" i="6"/>
  <c r="N70" i="10" s="1"/>
  <c r="N73" i="6"/>
  <c r="M70" i="10" s="1"/>
  <c r="M73" i="6"/>
  <c r="L70" i="10" s="1"/>
  <c r="L73" i="6"/>
  <c r="K70" i="10" s="1"/>
  <c r="K73" i="6"/>
  <c r="J70" i="10" s="1"/>
  <c r="J69" i="10" s="1"/>
  <c r="B73" i="6"/>
  <c r="O67" i="6"/>
  <c r="N67" i="6"/>
  <c r="M67" i="6"/>
  <c r="L67" i="6"/>
  <c r="K67" i="6"/>
  <c r="B67" i="6"/>
  <c r="D671" i="5"/>
  <c r="E671" i="5" s="1"/>
  <c r="F671" i="5" s="1"/>
  <c r="G671" i="5" s="1"/>
  <c r="I646" i="5"/>
  <c r="F133" i="19" l="1"/>
  <c r="G133" i="19"/>
  <c r="I128" i="19"/>
  <c r="I127" i="19"/>
  <c r="I133" i="19"/>
  <c r="H133" i="19"/>
  <c r="I144" i="19"/>
  <c r="D144" i="19"/>
  <c r="E144" i="19"/>
  <c r="H127" i="19"/>
  <c r="F144" i="19"/>
  <c r="O221" i="10"/>
  <c r="P197" i="10"/>
  <c r="P104" i="11" s="1"/>
  <c r="P189" i="10"/>
  <c r="P102" i="11" s="1"/>
  <c r="O219" i="10"/>
  <c r="P185" i="10"/>
  <c r="P101" i="11" s="1"/>
  <c r="O218" i="10"/>
  <c r="O220" i="10"/>
  <c r="P193" i="10"/>
  <c r="P103" i="11" s="1"/>
  <c r="P201" i="10"/>
  <c r="P105" i="11" s="1"/>
  <c r="O222" i="10"/>
  <c r="P181" i="10"/>
  <c r="P100" i="11" s="1"/>
  <c r="O217" i="10"/>
  <c r="K96" i="10"/>
  <c r="J61" i="11"/>
  <c r="J83" i="10"/>
  <c r="J82" i="10" s="1"/>
  <c r="K69" i="10"/>
  <c r="J55" i="11"/>
  <c r="J134" i="11"/>
  <c r="N105" i="11"/>
  <c r="N222" i="10"/>
  <c r="N217" i="10"/>
  <c r="N100" i="11"/>
  <c r="N218" i="10"/>
  <c r="N101" i="11"/>
  <c r="N102" i="11"/>
  <c r="N219" i="10"/>
  <c r="N221" i="10"/>
  <c r="N104" i="11"/>
  <c r="N220" i="10"/>
  <c r="N103" i="11"/>
  <c r="J88" i="11"/>
  <c r="K100" i="10"/>
  <c r="J62" i="11"/>
  <c r="C444" i="5"/>
  <c r="C568" i="5"/>
  <c r="F570" i="5"/>
  <c r="F578" i="5" s="1"/>
  <c r="F574" i="5"/>
  <c r="F576" i="5"/>
  <c r="E576" i="5"/>
  <c r="E570" i="5"/>
  <c r="E578" i="5" s="1"/>
  <c r="E574" i="5"/>
  <c r="H570" i="5"/>
  <c r="H578" i="5" s="1"/>
  <c r="H576" i="5"/>
  <c r="H574" i="5"/>
  <c r="D570" i="5"/>
  <c r="D578" i="5" s="1"/>
  <c r="D574" i="5"/>
  <c r="D576" i="5"/>
  <c r="G570" i="5"/>
  <c r="G578" i="5" s="1"/>
  <c r="G574" i="5"/>
  <c r="G576" i="5"/>
  <c r="I570" i="5"/>
  <c r="I578" i="5" s="1"/>
  <c r="I574" i="5"/>
  <c r="I576" i="5"/>
  <c r="M118" i="10"/>
  <c r="L446" i="5"/>
  <c r="K104" i="10"/>
  <c r="K63" i="11" s="1"/>
  <c r="J89" i="10"/>
  <c r="J88" i="10" s="1"/>
  <c r="F234" i="10"/>
  <c r="F236" i="10" s="1"/>
  <c r="D234" i="10"/>
  <c r="D236" i="10" s="1"/>
  <c r="C144" i="19"/>
  <c r="D464" i="5"/>
  <c r="D465" i="5" s="1"/>
  <c r="E486" i="5"/>
  <c r="D486" i="5"/>
  <c r="I486" i="5"/>
  <c r="I487" i="5" s="1"/>
  <c r="M136" i="19"/>
  <c r="F486" i="5"/>
  <c r="F485" i="5"/>
  <c r="G486" i="5"/>
  <c r="G487" i="5" s="1"/>
  <c r="D485" i="5"/>
  <c r="E485" i="5"/>
  <c r="H486" i="5"/>
  <c r="H487" i="5" s="1"/>
  <c r="K446" i="5"/>
  <c r="G468" i="5"/>
  <c r="I468" i="5"/>
  <c r="G469" i="5"/>
  <c r="C469" i="5"/>
  <c r="E469" i="5"/>
  <c r="F469" i="5"/>
  <c r="E470" i="5"/>
  <c r="H472" i="5"/>
  <c r="F470" i="5"/>
  <c r="I472" i="5"/>
  <c r="C473" i="5"/>
  <c r="E473" i="5"/>
  <c r="F473" i="5"/>
  <c r="G473" i="5"/>
  <c r="H475" i="5"/>
  <c r="F129" i="19"/>
  <c r="I129" i="19"/>
  <c r="E131" i="19"/>
  <c r="F131" i="19"/>
  <c r="E127" i="19"/>
  <c r="G131" i="19"/>
  <c r="C129" i="19"/>
  <c r="G129" i="19"/>
  <c r="H126" i="19"/>
  <c r="D131" i="19"/>
  <c r="D127" i="19"/>
  <c r="F127" i="19"/>
  <c r="H131" i="19"/>
  <c r="D129" i="19"/>
  <c r="E129" i="19"/>
  <c r="G126" i="19"/>
  <c r="H129" i="19"/>
  <c r="I126" i="19"/>
  <c r="C127" i="19"/>
  <c r="G127" i="19"/>
  <c r="I131" i="19"/>
  <c r="C130" i="19"/>
  <c r="F132" i="19"/>
  <c r="C128" i="19"/>
  <c r="D128" i="19"/>
  <c r="F130" i="19"/>
  <c r="H132" i="19"/>
  <c r="D132" i="19"/>
  <c r="E130" i="19"/>
  <c r="E128" i="19"/>
  <c r="H130" i="19"/>
  <c r="C133" i="19"/>
  <c r="D130" i="19"/>
  <c r="G130" i="19"/>
  <c r="I132" i="19"/>
  <c r="F128" i="19"/>
  <c r="E126" i="19"/>
  <c r="G128" i="19"/>
  <c r="I130" i="19"/>
  <c r="D133" i="19"/>
  <c r="C132" i="19"/>
  <c r="E132" i="19"/>
  <c r="C126" i="19"/>
  <c r="H473" i="5"/>
  <c r="G470" i="5"/>
  <c r="H470" i="5"/>
  <c r="E475" i="5"/>
  <c r="H474" i="5"/>
  <c r="I474" i="5"/>
  <c r="I470" i="5"/>
  <c r="C475" i="5"/>
  <c r="C471" i="5"/>
  <c r="C468" i="5"/>
  <c r="E471" i="5"/>
  <c r="F475" i="5"/>
  <c r="E468" i="5"/>
  <c r="F471" i="5"/>
  <c r="G475" i="5"/>
  <c r="F468" i="5"/>
  <c r="G471" i="5"/>
  <c r="F472" i="5"/>
  <c r="I475" i="5"/>
  <c r="H468" i="5"/>
  <c r="G472" i="5"/>
  <c r="C476" i="5"/>
  <c r="I473" i="5"/>
  <c r="H471" i="5"/>
  <c r="C474" i="5"/>
  <c r="E476" i="5"/>
  <c r="I471" i="5"/>
  <c r="F476" i="5"/>
  <c r="H469" i="5"/>
  <c r="C472" i="5"/>
  <c r="E474" i="5"/>
  <c r="G476" i="5"/>
  <c r="I469" i="5"/>
  <c r="F474" i="5"/>
  <c r="H476" i="5"/>
  <c r="C470" i="5"/>
  <c r="E472" i="5"/>
  <c r="G474" i="5"/>
  <c r="I476" i="5"/>
  <c r="N178" i="10"/>
  <c r="M178" i="10"/>
  <c r="L178" i="10"/>
  <c r="F231" i="10"/>
  <c r="E231" i="10"/>
  <c r="K230" i="10"/>
  <c r="K134" i="11" s="1"/>
  <c r="I654" i="5"/>
  <c r="I657" i="5" s="1"/>
  <c r="H654" i="5"/>
  <c r="G654" i="5"/>
  <c r="F654" i="5"/>
  <c r="E654" i="5"/>
  <c r="D654" i="5"/>
  <c r="C654" i="5"/>
  <c r="H646" i="5"/>
  <c r="G646" i="5"/>
  <c r="F646" i="5"/>
  <c r="E646" i="5"/>
  <c r="D646" i="5"/>
  <c r="C646" i="5"/>
  <c r="D644" i="5"/>
  <c r="E644" i="5"/>
  <c r="F644" i="5"/>
  <c r="G644" i="5"/>
  <c r="H644" i="5"/>
  <c r="I644" i="5"/>
  <c r="I648" i="5" s="1"/>
  <c r="C644" i="5"/>
  <c r="G620" i="5"/>
  <c r="F620" i="5"/>
  <c r="E620" i="5"/>
  <c r="D620" i="5"/>
  <c r="G619" i="5"/>
  <c r="F619" i="5"/>
  <c r="E619" i="5"/>
  <c r="D619" i="5"/>
  <c r="C620" i="5"/>
  <c r="C619" i="5"/>
  <c r="L617" i="5"/>
  <c r="K617" i="5"/>
  <c r="L616" i="5"/>
  <c r="K616" i="5"/>
  <c r="D615" i="5"/>
  <c r="E615" i="5" s="1"/>
  <c r="F615" i="5" s="1"/>
  <c r="G615" i="5" s="1"/>
  <c r="Q193" i="10" l="1"/>
  <c r="Q103" i="11" s="1"/>
  <c r="P220" i="10"/>
  <c r="P217" i="10"/>
  <c r="Q181" i="10"/>
  <c r="Q100" i="11" s="1"/>
  <c r="Q185" i="10"/>
  <c r="Q101" i="11" s="1"/>
  <c r="P218" i="10"/>
  <c r="P219" i="10"/>
  <c r="Q189" i="10"/>
  <c r="Q102" i="11" s="1"/>
  <c r="Q201" i="10"/>
  <c r="Q105" i="11" s="1"/>
  <c r="P222" i="10"/>
  <c r="Q197" i="10"/>
  <c r="Q104" i="11" s="1"/>
  <c r="P221" i="10"/>
  <c r="L96" i="10"/>
  <c r="L61" i="11"/>
  <c r="J57" i="11"/>
  <c r="K82" i="10"/>
  <c r="K57" i="11" s="1"/>
  <c r="L69" i="10"/>
  <c r="K55" i="11"/>
  <c r="J132" i="11"/>
  <c r="J94" i="11"/>
  <c r="G234" i="10"/>
  <c r="G236" i="10" s="1"/>
  <c r="D237" i="10"/>
  <c r="F237" i="10"/>
  <c r="L230" i="10"/>
  <c r="L134" i="11" s="1"/>
  <c r="K88" i="11"/>
  <c r="L100" i="10"/>
  <c r="K62" i="11"/>
  <c r="J63" i="10"/>
  <c r="D470" i="5"/>
  <c r="D474" i="5"/>
  <c r="C576" i="5"/>
  <c r="C574" i="5"/>
  <c r="C570" i="5"/>
  <c r="C578" i="5" s="1"/>
  <c r="D468" i="5"/>
  <c r="D476" i="5"/>
  <c r="D487" i="5"/>
  <c r="D471" i="5"/>
  <c r="D469" i="5"/>
  <c r="D472" i="5"/>
  <c r="D473" i="5"/>
  <c r="D475" i="5"/>
  <c r="L104" i="10"/>
  <c r="L63" i="11" s="1"/>
  <c r="I234" i="10"/>
  <c r="I236" i="10" s="1"/>
  <c r="E234" i="10"/>
  <c r="E236" i="10" s="1"/>
  <c r="H234" i="10"/>
  <c r="E487" i="5"/>
  <c r="F487" i="5"/>
  <c r="H657" i="5"/>
  <c r="G648" i="5"/>
  <c r="G651" i="5" s="1"/>
  <c r="H645" i="5"/>
  <c r="E645" i="5"/>
  <c r="G656" i="5"/>
  <c r="D647" i="5"/>
  <c r="C656" i="5"/>
  <c r="F647" i="5"/>
  <c r="H647" i="5"/>
  <c r="G647" i="5"/>
  <c r="I647" i="5"/>
  <c r="L644" i="5"/>
  <c r="H656" i="5"/>
  <c r="L646" i="5"/>
  <c r="E647" i="5"/>
  <c r="C657" i="5"/>
  <c r="D648" i="5"/>
  <c r="D652" i="5" s="1"/>
  <c r="E648" i="5"/>
  <c r="E651" i="5" s="1"/>
  <c r="F656" i="5"/>
  <c r="I656" i="5"/>
  <c r="D657" i="5"/>
  <c r="K646" i="5"/>
  <c r="C648" i="5"/>
  <c r="C651" i="5" s="1"/>
  <c r="H648" i="5"/>
  <c r="I649" i="5" s="1"/>
  <c r="F645" i="5"/>
  <c r="E657" i="5"/>
  <c r="F648" i="5"/>
  <c r="K644" i="5"/>
  <c r="D645" i="5"/>
  <c r="F657" i="5"/>
  <c r="G657" i="5"/>
  <c r="D656" i="5"/>
  <c r="E656" i="5"/>
  <c r="I652" i="5"/>
  <c r="I651" i="5"/>
  <c r="I610" i="5"/>
  <c r="H610" i="5"/>
  <c r="G610" i="5"/>
  <c r="F610" i="5"/>
  <c r="E610" i="5"/>
  <c r="D610" i="5"/>
  <c r="I609" i="5"/>
  <c r="H609" i="5"/>
  <c r="G609" i="5"/>
  <c r="F609" i="5"/>
  <c r="E609" i="5"/>
  <c r="D609" i="5"/>
  <c r="I608" i="5"/>
  <c r="H608" i="5"/>
  <c r="G608" i="5"/>
  <c r="F608" i="5"/>
  <c r="E608" i="5"/>
  <c r="D608" i="5"/>
  <c r="C610" i="5"/>
  <c r="C609" i="5"/>
  <c r="C608" i="5"/>
  <c r="C369" i="5"/>
  <c r="C604" i="5" s="1"/>
  <c r="C601" i="5"/>
  <c r="D601" i="5"/>
  <c r="E601" i="5"/>
  <c r="F601" i="5"/>
  <c r="G601" i="5"/>
  <c r="H601" i="5"/>
  <c r="I601" i="5"/>
  <c r="C594" i="5"/>
  <c r="D589" i="5"/>
  <c r="E589" i="5"/>
  <c r="F589" i="5"/>
  <c r="G589" i="5"/>
  <c r="H589" i="5"/>
  <c r="I589" i="5"/>
  <c r="C589" i="5"/>
  <c r="D551" i="5"/>
  <c r="E551" i="5" s="1"/>
  <c r="F551" i="5" s="1"/>
  <c r="G551" i="5" s="1"/>
  <c r="Q222" i="10" l="1"/>
  <c r="R201" i="10"/>
  <c r="R105" i="11" s="1"/>
  <c r="R181" i="10"/>
  <c r="R100" i="11" s="1"/>
  <c r="Q217" i="10"/>
  <c r="R197" i="10"/>
  <c r="R104" i="11" s="1"/>
  <c r="Q221" i="10"/>
  <c r="R189" i="10"/>
  <c r="R102" i="11" s="1"/>
  <c r="Q219" i="10"/>
  <c r="Q218" i="10"/>
  <c r="R185" i="10"/>
  <c r="R101" i="11" s="1"/>
  <c r="Q220" i="10"/>
  <c r="R193" i="10"/>
  <c r="R103" i="11" s="1"/>
  <c r="L82" i="10"/>
  <c r="L57" i="11" s="1"/>
  <c r="M96" i="10"/>
  <c r="N96" i="10" s="1"/>
  <c r="M61" i="11"/>
  <c r="M69" i="10"/>
  <c r="N69" i="10" s="1"/>
  <c r="O69" i="10" s="1"/>
  <c r="L55" i="11"/>
  <c r="K132" i="11"/>
  <c r="K94" i="11"/>
  <c r="K589" i="5"/>
  <c r="H236" i="10"/>
  <c r="I243" i="10"/>
  <c r="I244" i="10" s="1"/>
  <c r="H237" i="10"/>
  <c r="I237" i="10"/>
  <c r="G237" i="10"/>
  <c r="E237" i="10"/>
  <c r="M230" i="10"/>
  <c r="M134" i="11" s="1"/>
  <c r="L88" i="11"/>
  <c r="K60" i="10"/>
  <c r="J56" i="11"/>
  <c r="M100" i="10"/>
  <c r="N100" i="10" s="1"/>
  <c r="O100" i="10" s="1"/>
  <c r="L62" i="11"/>
  <c r="L578" i="5"/>
  <c r="K578" i="5"/>
  <c r="L574" i="5"/>
  <c r="K574" i="5"/>
  <c r="M104" i="10"/>
  <c r="G649" i="5"/>
  <c r="C613" i="5"/>
  <c r="G652" i="5"/>
  <c r="C612" i="5"/>
  <c r="G592" i="5"/>
  <c r="E603" i="5"/>
  <c r="F592" i="5"/>
  <c r="E592" i="5"/>
  <c r="C596" i="5"/>
  <c r="D592" i="5"/>
  <c r="H592" i="5"/>
  <c r="I592" i="5"/>
  <c r="K656" i="5"/>
  <c r="I603" i="5"/>
  <c r="H652" i="5"/>
  <c r="G603" i="5"/>
  <c r="E652" i="5"/>
  <c r="H590" i="5"/>
  <c r="F590" i="5"/>
  <c r="F652" i="5"/>
  <c r="L656" i="5"/>
  <c r="I612" i="5"/>
  <c r="D612" i="5"/>
  <c r="I590" i="5"/>
  <c r="F603" i="5"/>
  <c r="E612" i="5"/>
  <c r="L589" i="5"/>
  <c r="D649" i="5"/>
  <c r="D651" i="5"/>
  <c r="F649" i="5"/>
  <c r="C603" i="5"/>
  <c r="L648" i="5"/>
  <c r="C652" i="5"/>
  <c r="H603" i="5"/>
  <c r="E649" i="5"/>
  <c r="L657" i="5"/>
  <c r="K657" i="5"/>
  <c r="G590" i="5"/>
  <c r="H649" i="5"/>
  <c r="H651" i="5"/>
  <c r="K648" i="5"/>
  <c r="F651" i="5"/>
  <c r="F613" i="5"/>
  <c r="D603" i="5"/>
  <c r="I613" i="5"/>
  <c r="E590" i="5"/>
  <c r="H613" i="5"/>
  <c r="G613" i="5"/>
  <c r="D590" i="5"/>
  <c r="F612" i="5"/>
  <c r="G612" i="5"/>
  <c r="D613" i="5"/>
  <c r="E613" i="5"/>
  <c r="H612" i="5"/>
  <c r="D544" i="5"/>
  <c r="E544" i="5"/>
  <c r="F544" i="5"/>
  <c r="G544" i="5"/>
  <c r="H544" i="5"/>
  <c r="I544" i="5"/>
  <c r="I545" i="5" s="1"/>
  <c r="C544" i="5"/>
  <c r="P100" i="10" l="1"/>
  <c r="O62" i="11"/>
  <c r="P69" i="10"/>
  <c r="O55" i="11"/>
  <c r="O96" i="10"/>
  <c r="O61" i="11"/>
  <c r="M63" i="11"/>
  <c r="N104" i="10"/>
  <c r="O104" i="10" s="1"/>
  <c r="R218" i="10"/>
  <c r="S185" i="10"/>
  <c r="S193" i="10"/>
  <c r="R220" i="10"/>
  <c r="R219" i="10"/>
  <c r="S189" i="10"/>
  <c r="S197" i="10"/>
  <c r="R221" i="10"/>
  <c r="R217" i="10"/>
  <c r="S181" i="10"/>
  <c r="R222" i="10"/>
  <c r="S201" i="10"/>
  <c r="M82" i="10"/>
  <c r="N61" i="11"/>
  <c r="N55" i="11"/>
  <c r="M55" i="11"/>
  <c r="L132" i="11"/>
  <c r="L94" i="11"/>
  <c r="N230" i="10"/>
  <c r="M88" i="11"/>
  <c r="N62" i="11"/>
  <c r="M62" i="11"/>
  <c r="K652" i="5"/>
  <c r="L651" i="5"/>
  <c r="K651" i="5"/>
  <c r="L652" i="5"/>
  <c r="C598" i="5"/>
  <c r="F545" i="5"/>
  <c r="G545" i="5"/>
  <c r="L543" i="5"/>
  <c r="K543" i="5"/>
  <c r="C545" i="5"/>
  <c r="H545" i="5"/>
  <c r="E545" i="5"/>
  <c r="D545" i="5"/>
  <c r="I7" i="17"/>
  <c r="L435" i="5"/>
  <c r="C452" i="5"/>
  <c r="D490" i="5"/>
  <c r="D492" i="5" s="1"/>
  <c r="E490" i="5"/>
  <c r="E492" i="5" s="1"/>
  <c r="F490" i="5"/>
  <c r="F492" i="5" s="1"/>
  <c r="G490" i="5"/>
  <c r="H490" i="5"/>
  <c r="C490" i="5"/>
  <c r="C492" i="5" s="1"/>
  <c r="N63" i="11" l="1"/>
  <c r="S219" i="10"/>
  <c r="S102" i="11"/>
  <c r="S218" i="10"/>
  <c r="S101" i="11"/>
  <c r="S222" i="10"/>
  <c r="S105" i="11"/>
  <c r="S221" i="10"/>
  <c r="S104" i="11"/>
  <c r="S220" i="10"/>
  <c r="S103" i="11"/>
  <c r="P96" i="10"/>
  <c r="P61" i="11"/>
  <c r="S217" i="10"/>
  <c r="S100" i="11"/>
  <c r="P104" i="10"/>
  <c r="O63" i="11"/>
  <c r="Q69" i="10"/>
  <c r="P55" i="11"/>
  <c r="Q100" i="10"/>
  <c r="P62" i="11"/>
  <c r="M57" i="11"/>
  <c r="N82" i="10"/>
  <c r="O82" i="10" s="1"/>
  <c r="N134" i="11"/>
  <c r="O230" i="10"/>
  <c r="M132" i="11"/>
  <c r="M94" i="11"/>
  <c r="N88" i="11"/>
  <c r="G491" i="5"/>
  <c r="G492" i="5"/>
  <c r="I491" i="5"/>
  <c r="H492" i="5"/>
  <c r="C607" i="5"/>
  <c r="L545" i="5"/>
  <c r="K545" i="5"/>
  <c r="F491" i="5"/>
  <c r="E491" i="5"/>
  <c r="L452" i="5"/>
  <c r="H491" i="5"/>
  <c r="K452" i="5"/>
  <c r="D491" i="5"/>
  <c r="N57" i="11" l="1"/>
  <c r="Q104" i="10"/>
  <c r="P63" i="11"/>
  <c r="Q96" i="10"/>
  <c r="Q61" i="11"/>
  <c r="O134" i="11"/>
  <c r="O88" i="11"/>
  <c r="P82" i="10"/>
  <c r="O57" i="11"/>
  <c r="R100" i="10"/>
  <c r="Q62" i="11"/>
  <c r="R69" i="10"/>
  <c r="Q55" i="11"/>
  <c r="P230" i="10"/>
  <c r="N132" i="11"/>
  <c r="N94" i="11"/>
  <c r="D444" i="5"/>
  <c r="E444" i="5"/>
  <c r="F444" i="5"/>
  <c r="G444" i="5"/>
  <c r="H441" i="5"/>
  <c r="I441" i="5"/>
  <c r="C441" i="5"/>
  <c r="E441" i="5"/>
  <c r="F441" i="5"/>
  <c r="P134" i="11" l="1"/>
  <c r="P88" i="11"/>
  <c r="S69" i="10"/>
  <c r="S55" i="11" s="1"/>
  <c r="R55" i="11"/>
  <c r="Q82" i="10"/>
  <c r="P57" i="11"/>
  <c r="S100" i="10"/>
  <c r="S62" i="11" s="1"/>
  <c r="R62" i="11"/>
  <c r="O132" i="11"/>
  <c r="O94" i="11"/>
  <c r="R96" i="10"/>
  <c r="R61" i="11"/>
  <c r="R104" i="10"/>
  <c r="Q63" i="11"/>
  <c r="Q230" i="10"/>
  <c r="G441" i="5"/>
  <c r="D441" i="5"/>
  <c r="I444" i="5"/>
  <c r="H444" i="5"/>
  <c r="I449" i="5"/>
  <c r="H449" i="5"/>
  <c r="G449" i="5"/>
  <c r="G451" i="5" s="1"/>
  <c r="F449" i="5"/>
  <c r="E449" i="5"/>
  <c r="D449" i="5"/>
  <c r="S104" i="10" l="1"/>
  <c r="S63" i="11" s="1"/>
  <c r="R63" i="11"/>
  <c r="R82" i="10"/>
  <c r="Q57" i="11"/>
  <c r="Q134" i="11"/>
  <c r="Q88" i="11"/>
  <c r="S96" i="10"/>
  <c r="S61" i="11"/>
  <c r="P132" i="11"/>
  <c r="P94" i="11"/>
  <c r="R230" i="10"/>
  <c r="D451" i="5"/>
  <c r="F451" i="5"/>
  <c r="E451" i="5"/>
  <c r="H451" i="5"/>
  <c r="I451" i="5"/>
  <c r="K444" i="5"/>
  <c r="L444" i="5"/>
  <c r="R134" i="11" l="1"/>
  <c r="R88" i="11"/>
  <c r="Q132" i="11"/>
  <c r="Q94" i="11"/>
  <c r="S82" i="10"/>
  <c r="S57" i="11" s="1"/>
  <c r="R57" i="11"/>
  <c r="S230" i="10"/>
  <c r="K451" i="5"/>
  <c r="L451" i="5"/>
  <c r="K441" i="5"/>
  <c r="L441" i="5"/>
  <c r="I417" i="5"/>
  <c r="H417" i="5"/>
  <c r="G417" i="5"/>
  <c r="F417" i="5"/>
  <c r="E417" i="5"/>
  <c r="D417" i="5"/>
  <c r="I415" i="5"/>
  <c r="H415" i="5"/>
  <c r="G415" i="5"/>
  <c r="F415" i="5"/>
  <c r="E415" i="5"/>
  <c r="D415" i="5"/>
  <c r="I412" i="5"/>
  <c r="H412" i="5"/>
  <c r="G412" i="5"/>
  <c r="F412" i="5"/>
  <c r="E412" i="5"/>
  <c r="D412" i="5"/>
  <c r="S134" i="11" l="1"/>
  <c r="S88" i="11"/>
  <c r="R132" i="11"/>
  <c r="R94" i="11"/>
  <c r="L415" i="5"/>
  <c r="K412" i="5"/>
  <c r="L417" i="5"/>
  <c r="K417" i="5"/>
  <c r="L412" i="5"/>
  <c r="K415" i="5"/>
  <c r="I384" i="5"/>
  <c r="H384" i="5"/>
  <c r="G384" i="5"/>
  <c r="F384" i="5"/>
  <c r="E384" i="5"/>
  <c r="D384" i="5"/>
  <c r="C384" i="5"/>
  <c r="I383" i="5"/>
  <c r="H383" i="5"/>
  <c r="G383" i="5"/>
  <c r="F383" i="5"/>
  <c r="E383" i="5"/>
  <c r="D383" i="5"/>
  <c r="C383" i="5"/>
  <c r="C371" i="5"/>
  <c r="I367" i="5"/>
  <c r="I371" i="5" s="1"/>
  <c r="I373" i="5" s="1"/>
  <c r="I378" i="5" s="1"/>
  <c r="D365" i="5"/>
  <c r="F367" i="5"/>
  <c r="E367" i="5"/>
  <c r="I365" i="5"/>
  <c r="H365" i="5"/>
  <c r="G365" i="5"/>
  <c r="F365" i="5"/>
  <c r="E365" i="5"/>
  <c r="D367" i="5"/>
  <c r="D371" i="5" s="1"/>
  <c r="D373" i="5" s="1"/>
  <c r="D378" i="5" s="1"/>
  <c r="I362" i="5"/>
  <c r="H362" i="5"/>
  <c r="G362" i="5"/>
  <c r="F362" i="5"/>
  <c r="E362" i="5"/>
  <c r="D362" i="5"/>
  <c r="S132" i="11" l="1"/>
  <c r="S94" i="11"/>
  <c r="K362" i="5"/>
  <c r="I369" i="5"/>
  <c r="I604" i="5" s="1"/>
  <c r="L365" i="5"/>
  <c r="D369" i="5"/>
  <c r="D604" i="5" s="1"/>
  <c r="L362" i="5"/>
  <c r="E369" i="5"/>
  <c r="E604" i="5" s="1"/>
  <c r="E371" i="5"/>
  <c r="C373" i="5"/>
  <c r="C378" i="5" s="1"/>
  <c r="K365" i="5"/>
  <c r="F369" i="5"/>
  <c r="F604" i="5" s="1"/>
  <c r="F371" i="5"/>
  <c r="F373" i="5" s="1"/>
  <c r="F378" i="5" s="1"/>
  <c r="G367" i="5"/>
  <c r="H367" i="5"/>
  <c r="I332" i="5"/>
  <c r="Q83" i="19"/>
  <c r="G369" i="5" l="1"/>
  <c r="G604" i="5" s="1"/>
  <c r="G371" i="5"/>
  <c r="G373" i="5" s="1"/>
  <c r="G378" i="5" s="1"/>
  <c r="K367" i="5"/>
  <c r="H369" i="5"/>
  <c r="H604" i="5" s="1"/>
  <c r="H371" i="5"/>
  <c r="H373" i="5" s="1"/>
  <c r="H378" i="5" s="1"/>
  <c r="L367" i="5"/>
  <c r="E373" i="5"/>
  <c r="K369" i="5"/>
  <c r="H332" i="5"/>
  <c r="G332" i="5"/>
  <c r="F332" i="5"/>
  <c r="E332" i="5"/>
  <c r="D332" i="5"/>
  <c r="I331" i="5"/>
  <c r="H331" i="5"/>
  <c r="G331" i="5"/>
  <c r="F331" i="5"/>
  <c r="E331" i="5"/>
  <c r="D331" i="5"/>
  <c r="C332" i="5"/>
  <c r="C331" i="5"/>
  <c r="C316" i="5"/>
  <c r="I309" i="5"/>
  <c r="H309" i="5"/>
  <c r="G309" i="5"/>
  <c r="F309" i="5"/>
  <c r="E309" i="5"/>
  <c r="D309" i="5"/>
  <c r="C309" i="5"/>
  <c r="C312" i="5" s="1"/>
  <c r="I307" i="5"/>
  <c r="H307" i="5"/>
  <c r="G307" i="5"/>
  <c r="F307" i="5"/>
  <c r="E307" i="5"/>
  <c r="D307" i="5"/>
  <c r="K284" i="5"/>
  <c r="L284" i="5"/>
  <c r="K285" i="5"/>
  <c r="L285" i="5"/>
  <c r="K286" i="5"/>
  <c r="L286" i="5"/>
  <c r="L283" i="5"/>
  <c r="K283" i="5"/>
  <c r="D296" i="5"/>
  <c r="E296" i="5" s="1"/>
  <c r="F296" i="5" s="1"/>
  <c r="G296" i="5" s="1"/>
  <c r="H296" i="5" s="1"/>
  <c r="I296" i="5" s="1"/>
  <c r="C287" i="5"/>
  <c r="C301" i="5" s="1"/>
  <c r="D282" i="5"/>
  <c r="E282" i="5" s="1"/>
  <c r="F282" i="5" s="1"/>
  <c r="G282" i="5" s="1"/>
  <c r="H282" i="5" s="1"/>
  <c r="I282" i="5" s="1"/>
  <c r="I287" i="5"/>
  <c r="I300" i="5" s="1"/>
  <c r="H287" i="5"/>
  <c r="H298" i="5" s="1"/>
  <c r="G287" i="5"/>
  <c r="G298" i="5" s="1"/>
  <c r="F287" i="5"/>
  <c r="E287" i="5"/>
  <c r="E298" i="5" s="1"/>
  <c r="D287" i="5"/>
  <c r="L369" i="5" l="1"/>
  <c r="K371" i="5"/>
  <c r="E312" i="5"/>
  <c r="E314" i="5" s="1"/>
  <c r="I310" i="5"/>
  <c r="F312" i="5"/>
  <c r="F314" i="5" s="1"/>
  <c r="D312" i="5"/>
  <c r="D319" i="5" s="1"/>
  <c r="D322" i="5" s="1"/>
  <c r="E300" i="5"/>
  <c r="G310" i="5"/>
  <c r="G312" i="5"/>
  <c r="H310" i="5"/>
  <c r="H312" i="5"/>
  <c r="I312" i="5"/>
  <c r="I319" i="5" s="1"/>
  <c r="I322" i="5" s="1"/>
  <c r="L371" i="5"/>
  <c r="F310" i="5"/>
  <c r="D310" i="5"/>
  <c r="E310" i="5"/>
  <c r="C314" i="5"/>
  <c r="C319" i="5"/>
  <c r="E378" i="5"/>
  <c r="L373" i="5"/>
  <c r="K373" i="5"/>
  <c r="K307" i="5"/>
  <c r="L307" i="5"/>
  <c r="H300" i="5"/>
  <c r="L287" i="5"/>
  <c r="K287" i="5"/>
  <c r="H301" i="5"/>
  <c r="I301" i="5"/>
  <c r="D297" i="5"/>
  <c r="E297" i="5"/>
  <c r="H297" i="5"/>
  <c r="E301" i="5"/>
  <c r="F301" i="5"/>
  <c r="F297" i="5"/>
  <c r="G297" i="5"/>
  <c r="I297" i="5"/>
  <c r="D301" i="5"/>
  <c r="G301" i="5"/>
  <c r="I298" i="5"/>
  <c r="D299" i="5"/>
  <c r="G299" i="5"/>
  <c r="I299" i="5"/>
  <c r="E299" i="5"/>
  <c r="F299" i="5"/>
  <c r="H299" i="5"/>
  <c r="D300" i="5"/>
  <c r="C297" i="5"/>
  <c r="D298" i="5"/>
  <c r="F300" i="5"/>
  <c r="C298" i="5"/>
  <c r="G300" i="5"/>
  <c r="F298" i="5"/>
  <c r="C300" i="5"/>
  <c r="C299" i="5"/>
  <c r="E319" i="5" l="1"/>
  <c r="E322" i="5" s="1"/>
  <c r="D314" i="5"/>
  <c r="F319" i="5"/>
  <c r="F322" i="5" s="1"/>
  <c r="H314" i="5"/>
  <c r="H319" i="5"/>
  <c r="H322" i="5" s="1"/>
  <c r="I314" i="5"/>
  <c r="L310" i="5"/>
  <c r="G314" i="5"/>
  <c r="G319" i="5"/>
  <c r="G322" i="5" s="1"/>
  <c r="K310" i="5"/>
  <c r="C322" i="5"/>
  <c r="C321" i="5"/>
  <c r="I245" i="5"/>
  <c r="I248" i="5"/>
  <c r="L314" i="5" l="1"/>
  <c r="L319" i="5"/>
  <c r="K314" i="5"/>
  <c r="K319" i="5"/>
  <c r="L322" i="5"/>
  <c r="K322" i="5"/>
  <c r="F216" i="5"/>
  <c r="E38" i="10"/>
  <c r="E22" i="11" s="1"/>
  <c r="F38" i="10"/>
  <c r="F22" i="11" s="1"/>
  <c r="G38" i="10"/>
  <c r="G22" i="11" s="1"/>
  <c r="H38" i="10"/>
  <c r="H22" i="11" s="1"/>
  <c r="I38" i="10"/>
  <c r="I22" i="11" s="1"/>
  <c r="D38" i="10"/>
  <c r="D22" i="11" s="1"/>
  <c r="E33" i="10"/>
  <c r="E21" i="11" s="1"/>
  <c r="F33" i="10"/>
  <c r="F21" i="11" s="1"/>
  <c r="G33" i="10"/>
  <c r="G21" i="11" s="1"/>
  <c r="H33" i="10"/>
  <c r="H21" i="11" s="1"/>
  <c r="I33" i="10"/>
  <c r="I21" i="11" s="1"/>
  <c r="D33" i="10"/>
  <c r="D21" i="11" s="1"/>
  <c r="E28" i="10"/>
  <c r="F28" i="10"/>
  <c r="G28" i="10"/>
  <c r="H28" i="10"/>
  <c r="I28" i="10"/>
  <c r="D28" i="10"/>
  <c r="I216" i="5"/>
  <c r="J32" i="16"/>
  <c r="D20" i="11" l="1"/>
  <c r="H20" i="11"/>
  <c r="F20" i="11"/>
  <c r="E20" i="11"/>
  <c r="I20" i="11"/>
  <c r="G20" i="11"/>
  <c r="B23" i="11"/>
  <c r="B22" i="11"/>
  <c r="B21" i="11"/>
  <c r="B20" i="11"/>
  <c r="I34" i="10"/>
  <c r="J40" i="6"/>
  <c r="J41" i="6" s="1"/>
  <c r="J42" i="6" s="1"/>
  <c r="K57" i="6"/>
  <c r="L57" i="6"/>
  <c r="M57" i="6"/>
  <c r="N57" i="6"/>
  <c r="O57" i="6"/>
  <c r="I253" i="5"/>
  <c r="H253" i="5"/>
  <c r="H43" i="10" s="1"/>
  <c r="G253" i="5"/>
  <c r="G43" i="10" s="1"/>
  <c r="F253" i="5"/>
  <c r="E253" i="5"/>
  <c r="D253" i="5"/>
  <c r="C253" i="5"/>
  <c r="C254" i="5" s="1"/>
  <c r="I251" i="5"/>
  <c r="I39" i="10" s="1"/>
  <c r="H251" i="5"/>
  <c r="H39" i="10" s="1"/>
  <c r="G251" i="5"/>
  <c r="G39" i="10" s="1"/>
  <c r="F251" i="5"/>
  <c r="F39" i="10" s="1"/>
  <c r="E251" i="5"/>
  <c r="E39" i="10" s="1"/>
  <c r="D251" i="5"/>
  <c r="E46" i="6" s="1"/>
  <c r="E47" i="6" s="1"/>
  <c r="E48" i="6" s="1"/>
  <c r="C251" i="5"/>
  <c r="H248" i="5"/>
  <c r="H34" i="10" s="1"/>
  <c r="G248" i="5"/>
  <c r="G34" i="10" s="1"/>
  <c r="F248" i="5"/>
  <c r="G40" i="6" s="1"/>
  <c r="G41" i="6" s="1"/>
  <c r="G42" i="6" s="1"/>
  <c r="E248" i="5"/>
  <c r="F40" i="6" s="1"/>
  <c r="F41" i="6" s="1"/>
  <c r="F42" i="6" s="1"/>
  <c r="D248" i="5"/>
  <c r="D34" i="10" s="1"/>
  <c r="C248" i="5"/>
  <c r="C245" i="5"/>
  <c r="H245" i="5"/>
  <c r="I34" i="6" s="1"/>
  <c r="I35" i="6" s="1"/>
  <c r="I36" i="6" s="1"/>
  <c r="G245" i="5"/>
  <c r="F245" i="5"/>
  <c r="E245" i="5"/>
  <c r="D245" i="5"/>
  <c r="H202" i="5"/>
  <c r="G202" i="5"/>
  <c r="F202" i="5"/>
  <c r="E202" i="5"/>
  <c r="D202" i="5"/>
  <c r="C202" i="5"/>
  <c r="D240" i="5"/>
  <c r="E240" i="5" s="1"/>
  <c r="F240" i="5" s="1"/>
  <c r="G240" i="5" s="1"/>
  <c r="H240" i="5" s="1"/>
  <c r="I240" i="5" s="1"/>
  <c r="H216" i="5"/>
  <c r="H233" i="5" s="1"/>
  <c r="G216" i="5"/>
  <c r="G231" i="5" s="1"/>
  <c r="F236" i="5"/>
  <c r="E216" i="5"/>
  <c r="E234" i="5" s="1"/>
  <c r="D216" i="5"/>
  <c r="D231" i="5" s="1"/>
  <c r="C216" i="5"/>
  <c r="C224" i="5" s="1"/>
  <c r="I236" i="5"/>
  <c r="D222" i="5"/>
  <c r="E222" i="5" s="1"/>
  <c r="F222" i="5" s="1"/>
  <c r="G222" i="5" s="1"/>
  <c r="H222" i="5" s="1"/>
  <c r="I222" i="5" s="1"/>
  <c r="D200" i="5"/>
  <c r="E200" i="5" s="1"/>
  <c r="F200" i="5" s="1"/>
  <c r="G200" i="5" s="1"/>
  <c r="H200" i="5" s="1"/>
  <c r="I200" i="5" s="1"/>
  <c r="I40" i="6" l="1"/>
  <c r="I41" i="6" s="1"/>
  <c r="I42" i="6" s="1"/>
  <c r="H40" i="6"/>
  <c r="H41" i="6" s="1"/>
  <c r="H42" i="6" s="1"/>
  <c r="K248" i="5"/>
  <c r="H254" i="5"/>
  <c r="I44" i="10" s="1"/>
  <c r="F46" i="6"/>
  <c r="F47" i="6" s="1"/>
  <c r="F48" i="6" s="1"/>
  <c r="G46" i="6"/>
  <c r="G47" i="6" s="1"/>
  <c r="G48" i="6" s="1"/>
  <c r="E34" i="10"/>
  <c r="K251" i="5"/>
  <c r="E34" i="6"/>
  <c r="E35" i="6" s="1"/>
  <c r="E36" i="6" s="1"/>
  <c r="K245" i="5"/>
  <c r="L251" i="5"/>
  <c r="H46" i="6"/>
  <c r="H47" i="6" s="1"/>
  <c r="H48" i="6" s="1"/>
  <c r="G34" i="6"/>
  <c r="G35" i="6" s="1"/>
  <c r="G36" i="6" s="1"/>
  <c r="J46" i="6"/>
  <c r="J47" i="6" s="1"/>
  <c r="J48" i="6" s="1"/>
  <c r="J34" i="6"/>
  <c r="J35" i="6" s="1"/>
  <c r="J36" i="6" s="1"/>
  <c r="D39" i="10"/>
  <c r="H34" i="6"/>
  <c r="H35" i="6" s="1"/>
  <c r="H36" i="6" s="1"/>
  <c r="I46" i="6"/>
  <c r="I47" i="6" s="1"/>
  <c r="I48" i="6" s="1"/>
  <c r="F34" i="6"/>
  <c r="F35" i="6" s="1"/>
  <c r="F36" i="6" s="1"/>
  <c r="L248" i="5"/>
  <c r="L245" i="5"/>
  <c r="E40" i="6"/>
  <c r="E41" i="6" s="1"/>
  <c r="E42" i="6" s="1"/>
  <c r="D254" i="5"/>
  <c r="D43" i="10"/>
  <c r="E254" i="5"/>
  <c r="E43" i="10"/>
  <c r="D44" i="10"/>
  <c r="C256" i="5"/>
  <c r="F254" i="5"/>
  <c r="F43" i="10"/>
  <c r="G254" i="5"/>
  <c r="G23" i="11"/>
  <c r="G46" i="10"/>
  <c r="H23" i="11"/>
  <c r="H46" i="10"/>
  <c r="I254" i="5"/>
  <c r="I256" i="5" s="1"/>
  <c r="I43" i="10"/>
  <c r="H218" i="5"/>
  <c r="G218" i="5"/>
  <c r="F218" i="5"/>
  <c r="C218" i="5"/>
  <c r="I218" i="5"/>
  <c r="D218" i="5"/>
  <c r="E218" i="5"/>
  <c r="I226" i="5"/>
  <c r="E227" i="5"/>
  <c r="F227" i="5"/>
  <c r="H230" i="5"/>
  <c r="F224" i="5"/>
  <c r="H227" i="5"/>
  <c r="H231" i="5"/>
  <c r="E232" i="5"/>
  <c r="F232" i="5"/>
  <c r="E235" i="5"/>
  <c r="F235" i="5"/>
  <c r="D235" i="5"/>
  <c r="C232" i="5"/>
  <c r="H223" i="5"/>
  <c r="H235" i="5"/>
  <c r="I231" i="5"/>
  <c r="H232" i="5"/>
  <c r="C231" i="5"/>
  <c r="E224" i="5"/>
  <c r="E229" i="5"/>
  <c r="D225" i="5"/>
  <c r="G229" i="5"/>
  <c r="E233" i="5"/>
  <c r="D232" i="5"/>
  <c r="G235" i="5"/>
  <c r="D224" i="5"/>
  <c r="D229" i="5"/>
  <c r="G232" i="5"/>
  <c r="G224" i="5"/>
  <c r="H224" i="5"/>
  <c r="D233" i="5"/>
  <c r="E225" i="5"/>
  <c r="H229" i="5"/>
  <c r="F233" i="5"/>
  <c r="C226" i="5"/>
  <c r="G233" i="5"/>
  <c r="C227" i="5"/>
  <c r="G225" i="5"/>
  <c r="D230" i="5"/>
  <c r="F234" i="5"/>
  <c r="D227" i="5"/>
  <c r="I223" i="5"/>
  <c r="G227" i="5"/>
  <c r="F229" i="5"/>
  <c r="C225" i="5"/>
  <c r="I229" i="5"/>
  <c r="F226" i="5"/>
  <c r="C229" i="5"/>
  <c r="G226" i="5"/>
  <c r="F230" i="5"/>
  <c r="H234" i="5"/>
  <c r="F225" i="5"/>
  <c r="C228" i="5"/>
  <c r="E230" i="5"/>
  <c r="G234" i="5"/>
  <c r="C230" i="5"/>
  <c r="H226" i="5"/>
  <c r="G230" i="5"/>
  <c r="I234" i="5"/>
  <c r="I232" i="5"/>
  <c r="C234" i="5"/>
  <c r="I235" i="5"/>
  <c r="C235" i="5"/>
  <c r="D228" i="5"/>
  <c r="D236" i="5"/>
  <c r="C236" i="5"/>
  <c r="E228" i="5"/>
  <c r="I225" i="5"/>
  <c r="I233" i="5"/>
  <c r="C223" i="5"/>
  <c r="F223" i="5"/>
  <c r="D226" i="5"/>
  <c r="H228" i="5"/>
  <c r="F231" i="5"/>
  <c r="D234" i="5"/>
  <c r="H236" i="5"/>
  <c r="I224" i="5"/>
  <c r="C233" i="5"/>
  <c r="I227" i="5"/>
  <c r="I230" i="5"/>
  <c r="E236" i="5"/>
  <c r="D223" i="5"/>
  <c r="H225" i="5"/>
  <c r="F228" i="5"/>
  <c r="E223" i="5"/>
  <c r="G228" i="5"/>
  <c r="E231" i="5"/>
  <c r="G236" i="5"/>
  <c r="G223" i="5"/>
  <c r="E226" i="5"/>
  <c r="I228" i="5"/>
  <c r="I175" i="5"/>
  <c r="C175" i="5"/>
  <c r="C178" i="5" s="1"/>
  <c r="C173" i="5"/>
  <c r="L172" i="5"/>
  <c r="K172" i="5"/>
  <c r="O27" i="6"/>
  <c r="O29" i="6" s="1"/>
  <c r="N22" i="10" s="1"/>
  <c r="K27" i="6"/>
  <c r="K29" i="6" s="1"/>
  <c r="J22" i="10" s="1"/>
  <c r="B27" i="6"/>
  <c r="H256" i="5" l="1"/>
  <c r="I52" i="6"/>
  <c r="I53" i="6" s="1"/>
  <c r="I54" i="6" s="1"/>
  <c r="I178" i="5"/>
  <c r="D23" i="11"/>
  <c r="D46" i="10"/>
  <c r="D256" i="5"/>
  <c r="E44" i="10"/>
  <c r="E52" i="6"/>
  <c r="E23" i="11"/>
  <c r="E46" i="10"/>
  <c r="E256" i="5"/>
  <c r="F52" i="6"/>
  <c r="F44" i="10"/>
  <c r="F23" i="11"/>
  <c r="F46" i="10"/>
  <c r="G52" i="6"/>
  <c r="G44" i="10"/>
  <c r="F256" i="5"/>
  <c r="H52" i="6"/>
  <c r="G256" i="5"/>
  <c r="H44" i="10"/>
  <c r="I23" i="11"/>
  <c r="I46" i="10"/>
  <c r="J52" i="6"/>
  <c r="K254" i="5"/>
  <c r="L254" i="5"/>
  <c r="L231" i="5"/>
  <c r="K224" i="5"/>
  <c r="K232" i="5"/>
  <c r="L224" i="5"/>
  <c r="L227" i="5"/>
  <c r="K227" i="5"/>
  <c r="K231" i="5"/>
  <c r="K225" i="5"/>
  <c r="L225" i="5"/>
  <c r="L232" i="5"/>
  <c r="L229" i="5"/>
  <c r="K229" i="5"/>
  <c r="L234" i="5"/>
  <c r="K234" i="5"/>
  <c r="L230" i="5"/>
  <c r="K230" i="5"/>
  <c r="L226" i="5"/>
  <c r="K226" i="5"/>
  <c r="L235" i="5"/>
  <c r="K235" i="5"/>
  <c r="L223" i="5"/>
  <c r="K223" i="5"/>
  <c r="K228" i="5"/>
  <c r="L228" i="5"/>
  <c r="K233" i="5"/>
  <c r="L233" i="5"/>
  <c r="E21" i="16"/>
  <c r="F21" i="16"/>
  <c r="G21" i="16"/>
  <c r="H21" i="16"/>
  <c r="I21" i="16"/>
  <c r="J21" i="16"/>
  <c r="I27" i="16"/>
  <c r="H27" i="16"/>
  <c r="F27" i="16"/>
  <c r="E27" i="16"/>
  <c r="G27" i="16"/>
  <c r="J27" i="16"/>
  <c r="J26" i="16"/>
  <c r="I26" i="16"/>
  <c r="H26" i="16"/>
  <c r="G26" i="16"/>
  <c r="F26" i="16"/>
  <c r="E26" i="16"/>
  <c r="J25" i="16"/>
  <c r="I25" i="16"/>
  <c r="H25" i="16"/>
  <c r="G25" i="16"/>
  <c r="F25" i="16"/>
  <c r="E25" i="16"/>
  <c r="I131" i="10" l="1"/>
  <c r="I57" i="6"/>
  <c r="E53" i="6"/>
  <c r="E54" i="6" s="1"/>
  <c r="E57" i="6"/>
  <c r="F53" i="6"/>
  <c r="F54" i="6" s="1"/>
  <c r="F57" i="6"/>
  <c r="G53" i="6"/>
  <c r="G54" i="6" s="1"/>
  <c r="G57" i="6"/>
  <c r="H53" i="6"/>
  <c r="H54" i="6" s="1"/>
  <c r="H57" i="6"/>
  <c r="K256" i="5"/>
  <c r="L256" i="5"/>
  <c r="J53" i="6"/>
  <c r="J54" i="6" s="1"/>
  <c r="J57" i="6"/>
  <c r="D108" i="5"/>
  <c r="E108" i="5"/>
  <c r="F108" i="5"/>
  <c r="G108" i="5"/>
  <c r="H108" i="5"/>
  <c r="I108" i="5"/>
  <c r="C108" i="5"/>
  <c r="C110" i="5"/>
  <c r="E13" i="10"/>
  <c r="F13" i="10"/>
  <c r="G13" i="10"/>
  <c r="H13" i="10"/>
  <c r="I13" i="10"/>
  <c r="D13" i="10"/>
  <c r="D9" i="10"/>
  <c r="D9" i="11" s="1"/>
  <c r="E9" i="15" s="1"/>
  <c r="H101" i="10" l="1"/>
  <c r="G101" i="10"/>
  <c r="F101" i="10"/>
  <c r="I22" i="10"/>
  <c r="I101" i="10"/>
  <c r="E101" i="10"/>
  <c r="D248" i="10"/>
  <c r="D249" i="10" s="1"/>
  <c r="D22" i="10"/>
  <c r="I248" i="10"/>
  <c r="I249" i="10" s="1"/>
  <c r="I15" i="10"/>
  <c r="H248" i="10"/>
  <c r="H249" i="10" s="1"/>
  <c r="H15" i="10"/>
  <c r="G248" i="10"/>
  <c r="G249" i="10" s="1"/>
  <c r="G15" i="10"/>
  <c r="F248" i="10"/>
  <c r="F249" i="10" s="1"/>
  <c r="F15" i="10"/>
  <c r="E248" i="10"/>
  <c r="E249" i="10" s="1"/>
  <c r="E15" i="10"/>
  <c r="F178" i="10"/>
  <c r="D178" i="10"/>
  <c r="I178" i="10"/>
  <c r="H178" i="10"/>
  <c r="G178" i="10"/>
  <c r="E178" i="10"/>
  <c r="D47" i="10"/>
  <c r="D157" i="10"/>
  <c r="F13" i="11"/>
  <c r="E13" i="11"/>
  <c r="F47" i="10"/>
  <c r="D13" i="11"/>
  <c r="I13" i="11"/>
  <c r="H13" i="11"/>
  <c r="H47" i="10"/>
  <c r="G13" i="11"/>
  <c r="G47" i="10"/>
  <c r="E47" i="10"/>
  <c r="I47" i="10"/>
  <c r="O18" i="6"/>
  <c r="N15" i="10" s="1"/>
  <c r="K18" i="6"/>
  <c r="J15" i="10" s="1"/>
  <c r="J13" i="10" s="1"/>
  <c r="B18" i="6"/>
  <c r="F8" i="6"/>
  <c r="AA68" i="19"/>
  <c r="AB35" i="19"/>
  <c r="E13" i="21" l="1"/>
  <c r="E14" i="21"/>
  <c r="E29" i="21"/>
  <c r="E38" i="21"/>
  <c r="E35" i="21"/>
  <c r="E34" i="21"/>
  <c r="E21" i="21"/>
  <c r="E22" i="21"/>
  <c r="E20" i="21"/>
  <c r="E23" i="21"/>
  <c r="F13" i="21"/>
  <c r="F14" i="21"/>
  <c r="F34" i="21"/>
  <c r="F35" i="21"/>
  <c r="F29" i="21"/>
  <c r="F38" i="21"/>
  <c r="F22" i="21"/>
  <c r="F21" i="21"/>
  <c r="F20" i="21"/>
  <c r="F23" i="21"/>
  <c r="H41" i="11"/>
  <c r="H13" i="21"/>
  <c r="H14" i="21"/>
  <c r="H29" i="21"/>
  <c r="H34" i="21"/>
  <c r="H38" i="21"/>
  <c r="H35" i="21"/>
  <c r="H22" i="21"/>
  <c r="H21" i="21"/>
  <c r="H20" i="21"/>
  <c r="H23" i="21"/>
  <c r="I13" i="21"/>
  <c r="I14" i="21"/>
  <c r="I34" i="21"/>
  <c r="I29" i="21"/>
  <c r="I35" i="21"/>
  <c r="I38" i="21"/>
  <c r="I21" i="21"/>
  <c r="I22" i="21"/>
  <c r="I20" i="21"/>
  <c r="I23" i="21"/>
  <c r="D13" i="21"/>
  <c r="D14" i="21"/>
  <c r="D29" i="21"/>
  <c r="D38" i="21"/>
  <c r="D34" i="21"/>
  <c r="D35" i="21"/>
  <c r="D22" i="21"/>
  <c r="D21" i="21"/>
  <c r="D20" i="21"/>
  <c r="D23" i="21"/>
  <c r="G13" i="21"/>
  <c r="G14" i="21"/>
  <c r="G38" i="21"/>
  <c r="G29" i="21"/>
  <c r="G35" i="21"/>
  <c r="G34" i="21"/>
  <c r="G22" i="21"/>
  <c r="G21" i="21"/>
  <c r="G20" i="21"/>
  <c r="G23" i="21"/>
  <c r="I41" i="11"/>
  <c r="E41" i="11"/>
  <c r="F41" i="11"/>
  <c r="G41" i="11"/>
  <c r="E744" i="5"/>
  <c r="E754" i="5" s="1"/>
  <c r="F15" i="11"/>
  <c r="G744" i="5"/>
  <c r="G754" i="5" s="1"/>
  <c r="H15" i="11"/>
  <c r="I15" i="11"/>
  <c r="I15" i="21" s="1"/>
  <c r="C744" i="5"/>
  <c r="C754" i="5" s="1"/>
  <c r="D15" i="11"/>
  <c r="D15" i="21" s="1"/>
  <c r="D744" i="5"/>
  <c r="D754" i="5" s="1"/>
  <c r="E15" i="11"/>
  <c r="F744" i="5"/>
  <c r="F754" i="5" s="1"/>
  <c r="G15" i="11"/>
  <c r="J20" i="10"/>
  <c r="J14" i="11" s="1"/>
  <c r="I129" i="10"/>
  <c r="I135" i="10" s="1"/>
  <c r="H744" i="5"/>
  <c r="H754" i="5" s="1"/>
  <c r="F111" i="11"/>
  <c r="E24" i="12" s="1"/>
  <c r="F157" i="10"/>
  <c r="G111" i="11"/>
  <c r="F24" i="12" s="1"/>
  <c r="G157" i="10"/>
  <c r="H111" i="11"/>
  <c r="G24" i="12" s="1"/>
  <c r="E111" i="11"/>
  <c r="D24" i="12" s="1"/>
  <c r="E157" i="10"/>
  <c r="I111" i="11"/>
  <c r="H24" i="12" s="1"/>
  <c r="I157" i="10"/>
  <c r="I112" i="11"/>
  <c r="I163" i="10"/>
  <c r="G112" i="11"/>
  <c r="G163" i="10"/>
  <c r="H112" i="11"/>
  <c r="H163" i="10"/>
  <c r="E112" i="11"/>
  <c r="E163" i="10"/>
  <c r="F112" i="11"/>
  <c r="F163" i="10"/>
  <c r="G8" i="6"/>
  <c r="E9" i="10"/>
  <c r="E9" i="11" s="1"/>
  <c r="F9" i="15" s="1"/>
  <c r="L7" i="5"/>
  <c r="K7" i="5"/>
  <c r="C6" i="5"/>
  <c r="D6" i="5"/>
  <c r="E6" i="5"/>
  <c r="F6" i="5"/>
  <c r="G6" i="5"/>
  <c r="H6" i="5"/>
  <c r="I6" i="5"/>
  <c r="B6" i="5"/>
  <c r="I53" i="18"/>
  <c r="H53" i="18"/>
  <c r="G53" i="18"/>
  <c r="F53" i="18"/>
  <c r="E53" i="18"/>
  <c r="D53" i="18"/>
  <c r="C53" i="18"/>
  <c r="C37" i="18"/>
  <c r="C41" i="18" s="1"/>
  <c r="C69" i="18" s="1"/>
  <c r="C72" i="18" s="1"/>
  <c r="I35" i="18"/>
  <c r="I121" i="11" s="1"/>
  <c r="J21" i="15" s="1"/>
  <c r="H35" i="18"/>
  <c r="H121" i="11" s="1"/>
  <c r="I21" i="15" s="1"/>
  <c r="G35" i="18"/>
  <c r="G121" i="11" s="1"/>
  <c r="H21" i="15" s="1"/>
  <c r="F35" i="18"/>
  <c r="F121" i="11" s="1"/>
  <c r="G21" i="15" s="1"/>
  <c r="E35" i="18"/>
  <c r="E121" i="11" s="1"/>
  <c r="F21" i="15" s="1"/>
  <c r="D35" i="18"/>
  <c r="D121" i="11" s="1"/>
  <c r="E21" i="15" s="1"/>
  <c r="C35" i="18"/>
  <c r="I20" i="18"/>
  <c r="H20" i="18"/>
  <c r="G20" i="18"/>
  <c r="F20" i="18"/>
  <c r="F37" i="18" s="1"/>
  <c r="F41" i="18" s="1"/>
  <c r="E20" i="18"/>
  <c r="C20" i="18"/>
  <c r="I78" i="17"/>
  <c r="I80" i="17" s="1"/>
  <c r="H78" i="17"/>
  <c r="H80" i="17" s="1"/>
  <c r="I70" i="17"/>
  <c r="H70" i="17"/>
  <c r="G70" i="17"/>
  <c r="G78" i="17" s="1"/>
  <c r="F70" i="17"/>
  <c r="F78" i="17" s="1"/>
  <c r="E70" i="17"/>
  <c r="E78" i="17" s="1"/>
  <c r="D70" i="17"/>
  <c r="D78" i="17" s="1"/>
  <c r="C70" i="17"/>
  <c r="I66" i="17"/>
  <c r="H66" i="17"/>
  <c r="G66" i="17"/>
  <c r="F66" i="17"/>
  <c r="E66" i="17"/>
  <c r="D66" i="17"/>
  <c r="C66" i="17"/>
  <c r="G54" i="17"/>
  <c r="G660" i="5" s="1"/>
  <c r="I51" i="17"/>
  <c r="H51" i="17"/>
  <c r="G51" i="17"/>
  <c r="G659" i="5" s="1"/>
  <c r="F51" i="17"/>
  <c r="E51" i="17"/>
  <c r="D51" i="17"/>
  <c r="C51" i="17"/>
  <c r="I29" i="17"/>
  <c r="H29" i="17"/>
  <c r="G29" i="17"/>
  <c r="G167" i="10" s="1"/>
  <c r="F29" i="17"/>
  <c r="F167" i="10" s="1"/>
  <c r="E29" i="17"/>
  <c r="E167" i="10" s="1"/>
  <c r="D29" i="17"/>
  <c r="D167" i="10" s="1"/>
  <c r="C29" i="17"/>
  <c r="C40" i="17" s="1"/>
  <c r="I15" i="17"/>
  <c r="H15" i="17"/>
  <c r="G15" i="17"/>
  <c r="F15" i="17"/>
  <c r="E15" i="17"/>
  <c r="D15" i="17"/>
  <c r="C15" i="17"/>
  <c r="H7" i="17"/>
  <c r="G7" i="17"/>
  <c r="F7" i="17"/>
  <c r="E7" i="17"/>
  <c r="E23" i="17" s="1"/>
  <c r="D7" i="17"/>
  <c r="C7" i="17"/>
  <c r="I32" i="16"/>
  <c r="H175" i="5" s="1"/>
  <c r="H32" i="16"/>
  <c r="G175" i="5" s="1"/>
  <c r="G32" i="16"/>
  <c r="F175" i="5" s="1"/>
  <c r="F32" i="16"/>
  <c r="E175" i="5" s="1"/>
  <c r="E32" i="16"/>
  <c r="D175" i="5" s="1"/>
  <c r="J16" i="16"/>
  <c r="I16" i="16"/>
  <c r="H16" i="16"/>
  <c r="G16" i="16"/>
  <c r="F16" i="16"/>
  <c r="E16" i="16"/>
  <c r="J8" i="16"/>
  <c r="I8" i="16"/>
  <c r="H8" i="16"/>
  <c r="G8" i="16"/>
  <c r="F8" i="16"/>
  <c r="E8" i="16"/>
  <c r="C8" i="5"/>
  <c r="F42" i="11" l="1"/>
  <c r="F15" i="21"/>
  <c r="G42" i="11"/>
  <c r="G15" i="21"/>
  <c r="E42" i="11"/>
  <c r="E15" i="21"/>
  <c r="H42" i="11"/>
  <c r="H15" i="21"/>
  <c r="J130" i="10"/>
  <c r="I42" i="11"/>
  <c r="D25" i="11"/>
  <c r="D42" i="11"/>
  <c r="K171" i="10"/>
  <c r="K172" i="10" s="1"/>
  <c r="J248" i="10"/>
  <c r="F69" i="18"/>
  <c r="F72" i="18" s="1"/>
  <c r="I37" i="18"/>
  <c r="I41" i="18" s="1"/>
  <c r="D37" i="18"/>
  <c r="D41" i="18" s="1"/>
  <c r="D69" i="18" s="1"/>
  <c r="D72" i="18" s="1"/>
  <c r="E37" i="18"/>
  <c r="E41" i="18" s="1"/>
  <c r="E69" i="18" s="1"/>
  <c r="E72" i="18" s="1"/>
  <c r="G37" i="18"/>
  <c r="G41" i="18" s="1"/>
  <c r="G69" i="18" s="1"/>
  <c r="G72" i="18" s="1"/>
  <c r="H37" i="18"/>
  <c r="H41" i="18" s="1"/>
  <c r="H69" i="18" s="1"/>
  <c r="H72" i="18" s="1"/>
  <c r="H71" i="11"/>
  <c r="H167" i="10"/>
  <c r="I71" i="11"/>
  <c r="I167" i="10"/>
  <c r="G80" i="17"/>
  <c r="G81" i="17" s="1"/>
  <c r="G71" i="11"/>
  <c r="F71" i="11"/>
  <c r="C23" i="17"/>
  <c r="C42" i="17" s="1"/>
  <c r="E71" i="11"/>
  <c r="F60" i="11"/>
  <c r="D23" i="17"/>
  <c r="D60" i="11"/>
  <c r="D168" i="10"/>
  <c r="D71" i="11"/>
  <c r="D40" i="17"/>
  <c r="H60" i="11"/>
  <c r="E60" i="11"/>
  <c r="G60" i="11"/>
  <c r="I23" i="17"/>
  <c r="I60" i="11"/>
  <c r="C63" i="15" s="1"/>
  <c r="I92" i="10"/>
  <c r="I93" i="10" s="1"/>
  <c r="I113" i="11"/>
  <c r="H25" i="12" s="1"/>
  <c r="H26" i="12" s="1"/>
  <c r="I594" i="5"/>
  <c r="I596" i="5" s="1"/>
  <c r="I598" i="5" s="1"/>
  <c r="I607" i="5" s="1"/>
  <c r="I316" i="5"/>
  <c r="I321" i="5" s="1"/>
  <c r="J20" i="16"/>
  <c r="D178" i="5"/>
  <c r="L175" i="5"/>
  <c r="D176" i="5"/>
  <c r="E178" i="5"/>
  <c r="E176" i="5"/>
  <c r="G178" i="5"/>
  <c r="G176" i="5"/>
  <c r="F15" i="6"/>
  <c r="F16" i="6" s="1"/>
  <c r="F17" i="6" s="1"/>
  <c r="E173" i="5"/>
  <c r="G15" i="6"/>
  <c r="G16" i="6" s="1"/>
  <c r="G17" i="6" s="1"/>
  <c r="F173" i="5"/>
  <c r="H15" i="6"/>
  <c r="H16" i="6" s="1"/>
  <c r="H17" i="6" s="1"/>
  <c r="G173" i="5"/>
  <c r="I15" i="6"/>
  <c r="I16" i="6" s="1"/>
  <c r="I17" i="6" s="1"/>
  <c r="H173" i="5"/>
  <c r="J15" i="6"/>
  <c r="J16" i="6" s="1"/>
  <c r="J17" i="6" s="1"/>
  <c r="I173" i="5"/>
  <c r="D594" i="5"/>
  <c r="D596" i="5" s="1"/>
  <c r="D316" i="5"/>
  <c r="E20" i="16"/>
  <c r="E113" i="11"/>
  <c r="D25" i="12" s="1"/>
  <c r="D26" i="12" s="1"/>
  <c r="E594" i="5"/>
  <c r="E596" i="5" s="1"/>
  <c r="E598" i="5" s="1"/>
  <c r="E607" i="5" s="1"/>
  <c r="E316" i="5"/>
  <c r="E321" i="5" s="1"/>
  <c r="F20" i="16"/>
  <c r="F113" i="11"/>
  <c r="E25" i="12" s="1"/>
  <c r="E26" i="12" s="1"/>
  <c r="F594" i="5"/>
  <c r="F596" i="5" s="1"/>
  <c r="F598" i="5" s="1"/>
  <c r="F607" i="5" s="1"/>
  <c r="F316" i="5"/>
  <c r="F321" i="5" s="1"/>
  <c r="G20" i="16"/>
  <c r="G113" i="11"/>
  <c r="F25" i="12" s="1"/>
  <c r="F26" i="12" s="1"/>
  <c r="G594" i="5"/>
  <c r="G596" i="5" s="1"/>
  <c r="G598" i="5" s="1"/>
  <c r="G607" i="5" s="1"/>
  <c r="G316" i="5"/>
  <c r="G321" i="5" s="1"/>
  <c r="H20" i="16"/>
  <c r="H113" i="11"/>
  <c r="G25" i="12" s="1"/>
  <c r="G26" i="12" s="1"/>
  <c r="H594" i="5"/>
  <c r="H596" i="5" s="1"/>
  <c r="H598" i="5" s="1"/>
  <c r="H607" i="5" s="1"/>
  <c r="H316" i="5"/>
  <c r="H321" i="5" s="1"/>
  <c r="I20" i="16"/>
  <c r="F178" i="5"/>
  <c r="K175" i="5"/>
  <c r="F176" i="5"/>
  <c r="E15" i="6"/>
  <c r="E16" i="6" s="1"/>
  <c r="E17" i="6" s="1"/>
  <c r="D173" i="5"/>
  <c r="H178" i="5"/>
  <c r="I176" i="5"/>
  <c r="H176" i="5"/>
  <c r="J177" i="10"/>
  <c r="J176" i="10" s="1"/>
  <c r="J216" i="10" s="1"/>
  <c r="C78" i="17"/>
  <c r="C80" i="17" s="1"/>
  <c r="H23" i="17"/>
  <c r="F80" i="17"/>
  <c r="G168" i="10"/>
  <c r="F40" i="17"/>
  <c r="G40" i="17"/>
  <c r="D54" i="17"/>
  <c r="D660" i="5" s="1"/>
  <c r="D659" i="5"/>
  <c r="F168" i="10"/>
  <c r="I54" i="17"/>
  <c r="I660" i="5" s="1"/>
  <c r="I659" i="5"/>
  <c r="F23" i="17"/>
  <c r="F42" i="17" s="1"/>
  <c r="G23" i="17"/>
  <c r="D80" i="17"/>
  <c r="E80" i="17"/>
  <c r="E54" i="17"/>
  <c r="E660" i="5" s="1"/>
  <c r="E659" i="5"/>
  <c r="F54" i="17"/>
  <c r="F660" i="5" s="1"/>
  <c r="F659" i="5"/>
  <c r="E168" i="10"/>
  <c r="H40" i="17"/>
  <c r="I40" i="17"/>
  <c r="E40" i="17"/>
  <c r="E42" i="17" s="1"/>
  <c r="C54" i="17"/>
  <c r="C660" i="5" s="1"/>
  <c r="C659" i="5"/>
  <c r="H54" i="17"/>
  <c r="H660" i="5" s="1"/>
  <c r="H659" i="5"/>
  <c r="J166" i="10"/>
  <c r="J160" i="10"/>
  <c r="J154" i="10"/>
  <c r="J155" i="10" s="1"/>
  <c r="J13" i="11"/>
  <c r="H8" i="6"/>
  <c r="F9" i="10"/>
  <c r="F9" i="11" s="1"/>
  <c r="G9" i="15" s="1"/>
  <c r="I18" i="16"/>
  <c r="I34" i="16" s="1"/>
  <c r="I22" i="16"/>
  <c r="I23" i="16" s="1"/>
  <c r="F18" i="16"/>
  <c r="F22" i="16"/>
  <c r="F23" i="16" s="1"/>
  <c r="G18" i="16"/>
  <c r="G22" i="16"/>
  <c r="G23" i="16" s="1"/>
  <c r="H18" i="16"/>
  <c r="H34" i="16" s="1"/>
  <c r="H22" i="16"/>
  <c r="H23" i="16" s="1"/>
  <c r="E18" i="16"/>
  <c r="E34" i="16" s="1"/>
  <c r="E22" i="16"/>
  <c r="E23" i="16" s="1"/>
  <c r="J18" i="16"/>
  <c r="J34" i="16" s="1"/>
  <c r="I662" i="5" s="1"/>
  <c r="J22" i="16"/>
  <c r="J23" i="16" s="1"/>
  <c r="I109" i="5" s="1"/>
  <c r="I8" i="5"/>
  <c r="H8" i="5"/>
  <c r="G8" i="5"/>
  <c r="F8" i="5"/>
  <c r="E8" i="5"/>
  <c r="D8" i="5"/>
  <c r="F34" i="16"/>
  <c r="G34" i="16"/>
  <c r="I69" i="18"/>
  <c r="I72" i="18" s="1"/>
  <c r="O37" i="6"/>
  <c r="N29" i="10" s="1"/>
  <c r="N37" i="6"/>
  <c r="M29" i="10" s="1"/>
  <c r="M37" i="6"/>
  <c r="L29" i="10" s="1"/>
  <c r="L37" i="6"/>
  <c r="K29" i="10" s="1"/>
  <c r="K37" i="6"/>
  <c r="J29" i="10" s="1"/>
  <c r="O43" i="6"/>
  <c r="N34" i="10" s="1"/>
  <c r="N43" i="6"/>
  <c r="M34" i="10" s="1"/>
  <c r="M43" i="6"/>
  <c r="L34" i="10" s="1"/>
  <c r="L43" i="6"/>
  <c r="K34" i="10" s="1"/>
  <c r="K43" i="6"/>
  <c r="J34" i="10" s="1"/>
  <c r="J33" i="10" s="1"/>
  <c r="J21" i="11" s="1"/>
  <c r="O49" i="6"/>
  <c r="N39" i="10" s="1"/>
  <c r="N49" i="6"/>
  <c r="M39" i="10" s="1"/>
  <c r="M49" i="6"/>
  <c r="L39" i="10" s="1"/>
  <c r="L49" i="6"/>
  <c r="K39" i="10" s="1"/>
  <c r="K49" i="6"/>
  <c r="J39" i="10" s="1"/>
  <c r="J38" i="10" s="1"/>
  <c r="O55" i="6"/>
  <c r="N44" i="10" s="1"/>
  <c r="N55" i="6"/>
  <c r="M55" i="6"/>
  <c r="L55" i="6"/>
  <c r="K55" i="6"/>
  <c r="O87" i="6"/>
  <c r="N79" i="10" s="1"/>
  <c r="N87" i="6"/>
  <c r="M79" i="10" s="1"/>
  <c r="M87" i="6"/>
  <c r="L79" i="10" s="1"/>
  <c r="L87" i="6"/>
  <c r="K79" i="10" s="1"/>
  <c r="K87" i="6"/>
  <c r="J79" i="10" s="1"/>
  <c r="J74" i="10" s="1"/>
  <c r="K125" i="6"/>
  <c r="J139" i="10" s="1"/>
  <c r="L125" i="6"/>
  <c r="K139" i="10" s="1"/>
  <c r="M125" i="6"/>
  <c r="L139" i="10" s="1"/>
  <c r="N125" i="6"/>
  <c r="M139" i="10" s="1"/>
  <c r="O125" i="6"/>
  <c r="N139" i="10" s="1"/>
  <c r="O165" i="6"/>
  <c r="N148" i="10" s="1"/>
  <c r="N165" i="6"/>
  <c r="M148" i="10" s="1"/>
  <c r="M165" i="6"/>
  <c r="L148" i="10" s="1"/>
  <c r="L165" i="6"/>
  <c r="K148" i="10" s="1"/>
  <c r="K165" i="6"/>
  <c r="J148" i="10" s="1"/>
  <c r="B165" i="6"/>
  <c r="O157" i="6"/>
  <c r="N242" i="10" s="1"/>
  <c r="N157" i="6"/>
  <c r="M242" i="10" s="1"/>
  <c r="M157" i="6"/>
  <c r="L242" i="10" s="1"/>
  <c r="L157" i="6"/>
  <c r="K242" i="10" s="1"/>
  <c r="K157" i="6"/>
  <c r="J242" i="10" s="1"/>
  <c r="B157" i="6"/>
  <c r="O149" i="6"/>
  <c r="N249" i="10" s="1"/>
  <c r="N149" i="6"/>
  <c r="M249" i="10" s="1"/>
  <c r="M149" i="6"/>
  <c r="L249" i="10" s="1"/>
  <c r="L149" i="6"/>
  <c r="K249" i="10" s="1"/>
  <c r="K149" i="6"/>
  <c r="J249" i="10" s="1"/>
  <c r="B149" i="6"/>
  <c r="B133" i="6"/>
  <c r="B125" i="6"/>
  <c r="B87" i="6"/>
  <c r="B55" i="6"/>
  <c r="B49" i="6"/>
  <c r="B43" i="6"/>
  <c r="B37" i="6"/>
  <c r="J161" i="10" l="1"/>
  <c r="J210" i="10" s="1"/>
  <c r="D25" i="21"/>
  <c r="E13" i="15"/>
  <c r="E15" i="15" s="1"/>
  <c r="E17" i="15" s="1"/>
  <c r="E19" i="15" s="1"/>
  <c r="E23" i="15" s="1"/>
  <c r="J250" i="10"/>
  <c r="J35" i="11" s="1"/>
  <c r="I64" i="11"/>
  <c r="G64" i="11"/>
  <c r="E64" i="11"/>
  <c r="J21" i="21"/>
  <c r="H64" i="11"/>
  <c r="D64" i="11"/>
  <c r="F64" i="11"/>
  <c r="J41" i="11"/>
  <c r="J13" i="21"/>
  <c r="J14" i="21"/>
  <c r="D30" i="11"/>
  <c r="D47" i="11" s="1"/>
  <c r="D43" i="11"/>
  <c r="I744" i="5"/>
  <c r="I754" i="5" s="1"/>
  <c r="J15" i="11"/>
  <c r="J28" i="10"/>
  <c r="J20" i="11" s="1"/>
  <c r="J20" i="21" s="1"/>
  <c r="H25" i="11"/>
  <c r="I13" i="15" s="1"/>
  <c r="I15" i="15" s="1"/>
  <c r="I17" i="15" s="1"/>
  <c r="I19" i="15" s="1"/>
  <c r="I23" i="15" s="1"/>
  <c r="H22" i="10"/>
  <c r="G17" i="11"/>
  <c r="G22" i="10"/>
  <c r="E25" i="11"/>
  <c r="F13" i="15" s="1"/>
  <c r="F15" i="15" s="1"/>
  <c r="F17" i="15" s="1"/>
  <c r="F19" i="15" s="1"/>
  <c r="F23" i="15" s="1"/>
  <c r="E22" i="10"/>
  <c r="F25" i="11"/>
  <c r="G13" i="15" s="1"/>
  <c r="G15" i="15" s="1"/>
  <c r="G17" i="15" s="1"/>
  <c r="G19" i="15" s="1"/>
  <c r="G23" i="15" s="1"/>
  <c r="F22" i="10"/>
  <c r="L659" i="5"/>
  <c r="K596" i="5"/>
  <c r="L660" i="5"/>
  <c r="C524" i="5"/>
  <c r="J54" i="10" s="1"/>
  <c r="J129" i="10"/>
  <c r="I42" i="17"/>
  <c r="H42" i="17"/>
  <c r="D42" i="17"/>
  <c r="J92" i="10"/>
  <c r="J60" i="11" s="1"/>
  <c r="E81" i="17"/>
  <c r="E82" i="17" s="1"/>
  <c r="D81" i="17"/>
  <c r="D82" i="17" s="1"/>
  <c r="G42" i="17"/>
  <c r="G289" i="5" s="1"/>
  <c r="G291" i="5" s="1"/>
  <c r="D598" i="5"/>
  <c r="L596" i="5"/>
  <c r="L178" i="5"/>
  <c r="K178" i="5"/>
  <c r="D321" i="5"/>
  <c r="K318" i="5"/>
  <c r="L318" i="5"/>
  <c r="I37" i="16"/>
  <c r="I42" i="16" s="1"/>
  <c r="I45" i="16" s="1"/>
  <c r="H662" i="5"/>
  <c r="G37" i="16"/>
  <c r="G42" i="16" s="1"/>
  <c r="G45" i="16" s="1"/>
  <c r="F662" i="5"/>
  <c r="F109" i="5"/>
  <c r="H24" i="6"/>
  <c r="H25" i="6" s="1"/>
  <c r="H26" i="6" s="1"/>
  <c r="E109" i="5"/>
  <c r="G24" i="6"/>
  <c r="G25" i="6" s="1"/>
  <c r="G26" i="6" s="1"/>
  <c r="D109" i="5"/>
  <c r="F24" i="6"/>
  <c r="F25" i="6" s="1"/>
  <c r="F26" i="6" s="1"/>
  <c r="E37" i="16"/>
  <c r="E42" i="16" s="1"/>
  <c r="E45" i="16" s="1"/>
  <c r="D662" i="5"/>
  <c r="G109" i="5"/>
  <c r="I24" i="6"/>
  <c r="I25" i="6" s="1"/>
  <c r="I26" i="6" s="1"/>
  <c r="F37" i="16"/>
  <c r="F42" i="16" s="1"/>
  <c r="F45" i="16" s="1"/>
  <c r="E662" i="5"/>
  <c r="H109" i="5"/>
  <c r="I110" i="5" s="1"/>
  <c r="J24" i="6"/>
  <c r="J25" i="6" s="1"/>
  <c r="J26" i="6" s="1"/>
  <c r="H37" i="16"/>
  <c r="H42" i="16" s="1"/>
  <c r="H45" i="16" s="1"/>
  <c r="G662" i="5"/>
  <c r="J75" i="10"/>
  <c r="J76" i="10" s="1"/>
  <c r="C662" i="5"/>
  <c r="C109" i="5"/>
  <c r="E24" i="6"/>
  <c r="E25" i="6" s="1"/>
  <c r="E26" i="6" s="1"/>
  <c r="K659" i="5"/>
  <c r="J233" i="10"/>
  <c r="K660" i="5"/>
  <c r="L44" i="10"/>
  <c r="J44" i="10"/>
  <c r="J43" i="10" s="1"/>
  <c r="J58" i="11"/>
  <c r="K44" i="10"/>
  <c r="M44" i="10"/>
  <c r="F661" i="5"/>
  <c r="F289" i="5"/>
  <c r="I289" i="5"/>
  <c r="I291" i="5" s="1"/>
  <c r="I661" i="5"/>
  <c r="E661" i="5"/>
  <c r="E289" i="5"/>
  <c r="E291" i="5" s="1"/>
  <c r="I168" i="10"/>
  <c r="H661" i="5"/>
  <c r="H289" i="5"/>
  <c r="H291" i="5" s="1"/>
  <c r="F81" i="17"/>
  <c r="F82" i="17" s="1"/>
  <c r="H168" i="10"/>
  <c r="H81" i="17"/>
  <c r="H82" i="17" s="1"/>
  <c r="I81" i="17"/>
  <c r="I82" i="17" s="1"/>
  <c r="C81" i="17"/>
  <c r="C82" i="17" s="1"/>
  <c r="C661" i="5"/>
  <c r="C289" i="5"/>
  <c r="C291" i="5" s="1"/>
  <c r="J69" i="11"/>
  <c r="J37" i="16"/>
  <c r="J42" i="16" s="1"/>
  <c r="J45" i="16" s="1"/>
  <c r="J22" i="11"/>
  <c r="J22" i="21" s="1"/>
  <c r="I8" i="6"/>
  <c r="G9" i="10"/>
  <c r="G9" i="11" s="1"/>
  <c r="H9" i="15" s="1"/>
  <c r="I9" i="12"/>
  <c r="J9" i="12" s="1"/>
  <c r="K9" i="12" s="1"/>
  <c r="L9" i="12" s="1"/>
  <c r="M9" i="12" s="1"/>
  <c r="N9" i="12" s="1"/>
  <c r="O9" i="12" s="1"/>
  <c r="P9" i="12" s="1"/>
  <c r="Q9" i="12" s="1"/>
  <c r="R9" i="12" s="1"/>
  <c r="J163" i="10" l="1"/>
  <c r="H43" i="11"/>
  <c r="H25" i="21"/>
  <c r="D44" i="11"/>
  <c r="D30" i="21"/>
  <c r="F43" i="11"/>
  <c r="F25" i="21"/>
  <c r="E43" i="11"/>
  <c r="E25" i="21"/>
  <c r="J134" i="10"/>
  <c r="J35" i="21"/>
  <c r="J42" i="11"/>
  <c r="J15" i="21"/>
  <c r="J46" i="10"/>
  <c r="J47" i="10" s="1"/>
  <c r="J23" i="11"/>
  <c r="J23" i="21" s="1"/>
  <c r="H17" i="11"/>
  <c r="E17" i="11"/>
  <c r="J125" i="11"/>
  <c r="K22" i="15" s="1"/>
  <c r="F17" i="11"/>
  <c r="D17" i="11"/>
  <c r="G25" i="11"/>
  <c r="J98" i="11"/>
  <c r="J215" i="10"/>
  <c r="J55" i="10"/>
  <c r="J110" i="10" s="1"/>
  <c r="F110" i="5"/>
  <c r="G110" i="5"/>
  <c r="L662" i="5"/>
  <c r="D110" i="5"/>
  <c r="K109" i="5"/>
  <c r="J17" i="11"/>
  <c r="I17" i="11"/>
  <c r="I139" i="10"/>
  <c r="J234" i="10"/>
  <c r="J99" i="11"/>
  <c r="K73" i="10"/>
  <c r="K74" i="10" s="1"/>
  <c r="K75" i="10" s="1"/>
  <c r="J59" i="11"/>
  <c r="D289" i="5"/>
  <c r="L289" i="5" s="1"/>
  <c r="D661" i="5"/>
  <c r="G82" i="17"/>
  <c r="G661" i="5"/>
  <c r="K92" i="10"/>
  <c r="K60" i="11" s="1"/>
  <c r="K662" i="5"/>
  <c r="K321" i="5"/>
  <c r="L321" i="5"/>
  <c r="L109" i="5"/>
  <c r="E110" i="5"/>
  <c r="D607" i="5"/>
  <c r="K598" i="5"/>
  <c r="L598" i="5"/>
  <c r="F27" i="11"/>
  <c r="F30" i="11"/>
  <c r="F47" i="11" s="1"/>
  <c r="H110" i="5"/>
  <c r="K110" i="5" s="1"/>
  <c r="D27" i="11"/>
  <c r="H27" i="11"/>
  <c r="H30" i="11"/>
  <c r="H47" i="11" s="1"/>
  <c r="E30" i="11"/>
  <c r="E47" i="11" s="1"/>
  <c r="E27" i="11"/>
  <c r="K88" i="10"/>
  <c r="K58" i="11" s="1"/>
  <c r="F291" i="5"/>
  <c r="K291" i="5" s="1"/>
  <c r="K289" i="5"/>
  <c r="J8" i="6"/>
  <c r="H9" i="10"/>
  <c r="H9" i="11" s="1"/>
  <c r="I9" i="15" s="1"/>
  <c r="I84" i="12" l="1"/>
  <c r="I86" i="12" s="1"/>
  <c r="I34" i="12"/>
  <c r="I30" i="12"/>
  <c r="J130" i="11"/>
  <c r="G25" i="21"/>
  <c r="H13" i="15"/>
  <c r="H15" i="15" s="1"/>
  <c r="H17" i="15" s="1"/>
  <c r="H19" i="15" s="1"/>
  <c r="H23" i="15" s="1"/>
  <c r="E44" i="11"/>
  <c r="E30" i="21"/>
  <c r="H44" i="11"/>
  <c r="H30" i="21"/>
  <c r="F44" i="11"/>
  <c r="F30" i="21"/>
  <c r="J131" i="10"/>
  <c r="G30" i="11"/>
  <c r="G47" i="11" s="1"/>
  <c r="G43" i="11"/>
  <c r="G27" i="11"/>
  <c r="J113" i="10"/>
  <c r="J29" i="11"/>
  <c r="J56" i="10"/>
  <c r="J111" i="10" s="1"/>
  <c r="J114" i="10" s="1"/>
  <c r="J133" i="11"/>
  <c r="J25" i="11"/>
  <c r="J106" i="11"/>
  <c r="D291" i="5"/>
  <c r="L291" i="5" s="1"/>
  <c r="L661" i="5"/>
  <c r="K661" i="5"/>
  <c r="K76" i="10"/>
  <c r="I25" i="11"/>
  <c r="J236" i="10"/>
  <c r="J243" i="10"/>
  <c r="J244" i="10" s="1"/>
  <c r="J237" i="10"/>
  <c r="L92" i="10"/>
  <c r="L60" i="11" s="1"/>
  <c r="G36" i="11"/>
  <c r="F32" i="11"/>
  <c r="F36" i="11"/>
  <c r="E32" i="11"/>
  <c r="E36" i="11"/>
  <c r="H32" i="11"/>
  <c r="H36" i="11"/>
  <c r="D32" i="11"/>
  <c r="D36" i="11"/>
  <c r="J119" i="10"/>
  <c r="J124" i="10" s="1"/>
  <c r="L88" i="10"/>
  <c r="L58" i="11" s="1"/>
  <c r="K8" i="6"/>
  <c r="I9" i="10"/>
  <c r="B118" i="10" s="1"/>
  <c r="B119" i="10" s="1"/>
  <c r="B120" i="10" s="1"/>
  <c r="B121" i="10" s="1"/>
  <c r="B122" i="10" s="1"/>
  <c r="B123" i="10" s="1"/>
  <c r="I20" i="12" l="1"/>
  <c r="I14" i="12"/>
  <c r="G32" i="11"/>
  <c r="I25" i="21"/>
  <c r="J13" i="15"/>
  <c r="J15" i="15" s="1"/>
  <c r="J17" i="15" s="1"/>
  <c r="J19" i="15" s="1"/>
  <c r="J23" i="15" s="1"/>
  <c r="J29" i="21"/>
  <c r="K14" i="15"/>
  <c r="K18" i="15" s="1"/>
  <c r="J25" i="21"/>
  <c r="K13" i="15"/>
  <c r="E45" i="11"/>
  <c r="E36" i="21"/>
  <c r="G45" i="11"/>
  <c r="G36" i="21"/>
  <c r="F45" i="11"/>
  <c r="F36" i="21"/>
  <c r="G44" i="11"/>
  <c r="G30" i="21"/>
  <c r="D45" i="11"/>
  <c r="D36" i="21"/>
  <c r="H45" i="11"/>
  <c r="H36" i="21"/>
  <c r="J132" i="10"/>
  <c r="J118" i="11"/>
  <c r="I27" i="11"/>
  <c r="I43" i="11"/>
  <c r="J30" i="11"/>
  <c r="J43" i="11"/>
  <c r="I30" i="11"/>
  <c r="K59" i="11"/>
  <c r="K77" i="10"/>
  <c r="J54" i="11"/>
  <c r="J64" i="11" s="1"/>
  <c r="K53" i="10"/>
  <c r="L73" i="10"/>
  <c r="J27" i="11"/>
  <c r="J138" i="11"/>
  <c r="J34" i="11"/>
  <c r="D39" i="11"/>
  <c r="D117" i="11"/>
  <c r="D123" i="11" s="1"/>
  <c r="H39" i="11"/>
  <c r="H117" i="11"/>
  <c r="H123" i="11" s="1"/>
  <c r="H145" i="11" s="1"/>
  <c r="E39" i="11"/>
  <c r="E117" i="11"/>
  <c r="E123" i="11" s="1"/>
  <c r="E145" i="11" s="1"/>
  <c r="F39" i="11"/>
  <c r="F117" i="11"/>
  <c r="F123" i="11" s="1"/>
  <c r="F145" i="11" s="1"/>
  <c r="G39" i="11"/>
  <c r="G117" i="11"/>
  <c r="G123" i="11" s="1"/>
  <c r="G145" i="11" s="1"/>
  <c r="M92" i="10"/>
  <c r="M60" i="11" s="1"/>
  <c r="I32" i="11"/>
  <c r="I36" i="11"/>
  <c r="M88" i="10"/>
  <c r="I9" i="11"/>
  <c r="J9" i="15" s="1"/>
  <c r="L8" i="6"/>
  <c r="J9" i="10"/>
  <c r="J34" i="21" l="1"/>
  <c r="I89" i="12"/>
  <c r="I90" i="12" s="1"/>
  <c r="K15" i="15"/>
  <c r="N92" i="10"/>
  <c r="M58" i="11"/>
  <c r="N88" i="10"/>
  <c r="O88" i="10" s="1"/>
  <c r="I30" i="21"/>
  <c r="I47" i="11"/>
  <c r="J47" i="11"/>
  <c r="F46" i="11"/>
  <c r="F39" i="21"/>
  <c r="E46" i="11"/>
  <c r="E39" i="21"/>
  <c r="H46" i="11"/>
  <c r="H39" i="21"/>
  <c r="D46" i="11"/>
  <c r="D39" i="21"/>
  <c r="I45" i="11"/>
  <c r="I36" i="21"/>
  <c r="G46" i="11"/>
  <c r="G39" i="21"/>
  <c r="J44" i="11"/>
  <c r="J30" i="21"/>
  <c r="I44" i="11"/>
  <c r="J36" i="11"/>
  <c r="J32" i="11"/>
  <c r="L74" i="10"/>
  <c r="L75" i="10" s="1"/>
  <c r="J119" i="11"/>
  <c r="J133" i="10"/>
  <c r="J135" i="10" s="1"/>
  <c r="J136" i="10" s="1"/>
  <c r="J38" i="11" s="1"/>
  <c r="D145" i="11"/>
  <c r="D148" i="11" s="1"/>
  <c r="I39" i="11"/>
  <c r="I117" i="11"/>
  <c r="I123" i="11" s="1"/>
  <c r="I145" i="11" s="1"/>
  <c r="J70" i="11"/>
  <c r="J157" i="10"/>
  <c r="J9" i="11"/>
  <c r="K9" i="15" s="1"/>
  <c r="K25" i="15" s="1"/>
  <c r="M8" i="6"/>
  <c r="K9" i="10"/>
  <c r="J211" i="10"/>
  <c r="O92" i="10" l="1"/>
  <c r="O60" i="11" s="1"/>
  <c r="N60" i="11"/>
  <c r="P88" i="10"/>
  <c r="O58" i="11"/>
  <c r="P92" i="10"/>
  <c r="P60" i="11" s="1"/>
  <c r="N58" i="11"/>
  <c r="J38" i="21"/>
  <c r="K16" i="15"/>
  <c r="K17" i="15" s="1"/>
  <c r="K19" i="15" s="1"/>
  <c r="L25" i="15"/>
  <c r="K27" i="15"/>
  <c r="I46" i="11"/>
  <c r="I39" i="21"/>
  <c r="J117" i="11"/>
  <c r="J36" i="21"/>
  <c r="J39" i="11"/>
  <c r="J45" i="11"/>
  <c r="J122" i="11"/>
  <c r="L76" i="10"/>
  <c r="E147" i="11"/>
  <c r="E148" i="11" s="1"/>
  <c r="D67" i="11"/>
  <c r="N8" i="6"/>
  <c r="L9" i="10"/>
  <c r="K9" i="11"/>
  <c r="L9" i="15" s="1"/>
  <c r="J144" i="10" l="1"/>
  <c r="J145" i="10" s="1"/>
  <c r="J135" i="11" s="1"/>
  <c r="J141" i="11" s="1"/>
  <c r="I64" i="12"/>
  <c r="I60" i="12"/>
  <c r="I56" i="12"/>
  <c r="I58" i="12" s="1"/>
  <c r="Q92" i="10"/>
  <c r="Q60" i="11" s="1"/>
  <c r="Q88" i="10"/>
  <c r="P58" i="11"/>
  <c r="M25" i="15"/>
  <c r="L27" i="15"/>
  <c r="C743" i="5"/>
  <c r="C756" i="5" s="1"/>
  <c r="J46" i="11"/>
  <c r="J39" i="21"/>
  <c r="M73" i="10"/>
  <c r="L59" i="11"/>
  <c r="L77" i="10"/>
  <c r="C746" i="5"/>
  <c r="D72" i="11"/>
  <c r="F147" i="11"/>
  <c r="F148" i="11" s="1"/>
  <c r="E67" i="11"/>
  <c r="L9" i="11"/>
  <c r="O8" i="6"/>
  <c r="M9" i="10"/>
  <c r="I137" i="10"/>
  <c r="R88" i="10" l="1"/>
  <c r="Q58" i="11"/>
  <c r="R92" i="10"/>
  <c r="R60" i="11" s="1"/>
  <c r="M9" i="11"/>
  <c r="N9" i="15" s="1"/>
  <c r="M9" i="15"/>
  <c r="N25" i="15"/>
  <c r="M27" i="15"/>
  <c r="D743" i="5"/>
  <c r="D74" i="11"/>
  <c r="D110" i="11"/>
  <c r="M74" i="10"/>
  <c r="M75" i="10" s="1"/>
  <c r="K98" i="11"/>
  <c r="K215" i="10"/>
  <c r="G147" i="11"/>
  <c r="G148" i="11" s="1"/>
  <c r="F67" i="11"/>
  <c r="E72" i="11"/>
  <c r="N9" i="11"/>
  <c r="L15" i="6"/>
  <c r="M15" i="6" s="1"/>
  <c r="N15" i="6" s="1"/>
  <c r="N9" i="10"/>
  <c r="C60" i="15"/>
  <c r="O9" i="15" l="1"/>
  <c r="O9" i="11"/>
  <c r="S92" i="10"/>
  <c r="S60" i="11" s="1"/>
  <c r="S88" i="10"/>
  <c r="S58" i="11" s="1"/>
  <c r="R58" i="11"/>
  <c r="O25" i="15"/>
  <c r="N27" i="15"/>
  <c r="C748" i="5"/>
  <c r="C750" i="5" s="1"/>
  <c r="D73" i="21"/>
  <c r="D62" i="21"/>
  <c r="D57" i="21"/>
  <c r="D53" i="21"/>
  <c r="D54" i="21"/>
  <c r="D55" i="21"/>
  <c r="D58" i="21"/>
  <c r="D61" i="21"/>
  <c r="D69" i="21"/>
  <c r="D67" i="21"/>
  <c r="D60" i="21"/>
  <c r="D68" i="21"/>
  <c r="D56" i="21"/>
  <c r="D59" i="21"/>
  <c r="D70" i="21"/>
  <c r="D63" i="21"/>
  <c r="D66" i="21"/>
  <c r="E743" i="5"/>
  <c r="D71" i="21"/>
  <c r="D746" i="5"/>
  <c r="D756" i="5"/>
  <c r="E74" i="11"/>
  <c r="E110" i="11"/>
  <c r="M76" i="10"/>
  <c r="N73" i="10" s="1"/>
  <c r="F72" i="11"/>
  <c r="H147" i="11"/>
  <c r="H148" i="11" s="1"/>
  <c r="I147" i="11" s="1"/>
  <c r="I148" i="11" s="1"/>
  <c r="J147" i="11" s="1"/>
  <c r="G67" i="11"/>
  <c r="L27" i="6"/>
  <c r="L29" i="6" s="1"/>
  <c r="K22" i="10" s="1"/>
  <c r="L18" i="6"/>
  <c r="K15" i="10" s="1"/>
  <c r="K13" i="10" s="1"/>
  <c r="P9" i="11" l="1"/>
  <c r="P9" i="15"/>
  <c r="O27" i="15"/>
  <c r="P25" i="15"/>
  <c r="N74" i="10"/>
  <c r="N75" i="10" s="1"/>
  <c r="E746" i="5"/>
  <c r="E756" i="5"/>
  <c r="F743" i="5"/>
  <c r="D748" i="5"/>
  <c r="D750" i="5" s="1"/>
  <c r="E73" i="21"/>
  <c r="E62" i="21"/>
  <c r="E57" i="21"/>
  <c r="E55" i="21"/>
  <c r="E67" i="21"/>
  <c r="E56" i="21"/>
  <c r="E54" i="21"/>
  <c r="E69" i="21"/>
  <c r="E58" i="21"/>
  <c r="E68" i="21"/>
  <c r="E60" i="21"/>
  <c r="E53" i="21"/>
  <c r="E61" i="21"/>
  <c r="E59" i="21"/>
  <c r="E70" i="21"/>
  <c r="E63" i="21"/>
  <c r="E66" i="21"/>
  <c r="E71" i="21"/>
  <c r="F74" i="11"/>
  <c r="F110" i="11"/>
  <c r="M59" i="11"/>
  <c r="M77" i="10"/>
  <c r="K20" i="10"/>
  <c r="K14" i="11" s="1"/>
  <c r="G72" i="11"/>
  <c r="H67" i="11"/>
  <c r="N27" i="6"/>
  <c r="N29" i="6" s="1"/>
  <c r="M22" i="10" s="1"/>
  <c r="M27" i="6"/>
  <c r="M29" i="6" s="1"/>
  <c r="L22" i="10" s="1"/>
  <c r="M18" i="6"/>
  <c r="L15" i="10" s="1"/>
  <c r="L13" i="10" s="1"/>
  <c r="N18" i="6"/>
  <c r="M15" i="10" s="1"/>
  <c r="J137" i="10"/>
  <c r="Q9" i="11" l="1"/>
  <c r="Q9" i="15"/>
  <c r="P27" i="15"/>
  <c r="Q25" i="15"/>
  <c r="N76" i="10"/>
  <c r="G743" i="5"/>
  <c r="E748" i="5"/>
  <c r="E750" i="5" s="1"/>
  <c r="F73" i="21"/>
  <c r="F62" i="21"/>
  <c r="F55" i="21"/>
  <c r="F56" i="21"/>
  <c r="F67" i="21"/>
  <c r="F57" i="21"/>
  <c r="F61" i="21"/>
  <c r="F68" i="21"/>
  <c r="F58" i="21"/>
  <c r="F69" i="21"/>
  <c r="F53" i="21"/>
  <c r="F60" i="21"/>
  <c r="F54" i="21"/>
  <c r="F59" i="21"/>
  <c r="F70" i="21"/>
  <c r="F63" i="21"/>
  <c r="F66" i="21"/>
  <c r="F746" i="5"/>
  <c r="F756" i="5"/>
  <c r="F71" i="21"/>
  <c r="K130" i="10"/>
  <c r="G74" i="11"/>
  <c r="G110" i="11"/>
  <c r="M13" i="10"/>
  <c r="N13" i="10" s="1"/>
  <c r="L20" i="10"/>
  <c r="L14" i="11" s="1"/>
  <c r="L171" i="10"/>
  <c r="L172" i="10" s="1"/>
  <c r="K248" i="10"/>
  <c r="K250" i="10" s="1"/>
  <c r="K35" i="11" s="1"/>
  <c r="I67" i="11"/>
  <c r="H72" i="11"/>
  <c r="K177" i="10"/>
  <c r="K176" i="10" s="1"/>
  <c r="K216" i="10" s="1"/>
  <c r="K166" i="10"/>
  <c r="K167" i="10" s="1"/>
  <c r="K71" i="11" s="1"/>
  <c r="K160" i="10"/>
  <c r="K154" i="10"/>
  <c r="K155" i="10" s="1"/>
  <c r="K33" i="10"/>
  <c r="K21" i="11" s="1"/>
  <c r="K28" i="10"/>
  <c r="K20" i="11" s="1"/>
  <c r="K38" i="10"/>
  <c r="K43" i="10"/>
  <c r="K23" i="11" s="1"/>
  <c r="K13" i="11"/>
  <c r="K13" i="21" s="1"/>
  <c r="J146" i="10"/>
  <c r="F61" i="12" l="1"/>
  <c r="F62" i="12" s="1"/>
  <c r="F35" i="12"/>
  <c r="F36" i="12" s="1"/>
  <c r="F75" i="12"/>
  <c r="F76" i="12" s="1"/>
  <c r="G156" i="11"/>
  <c r="F71" i="12"/>
  <c r="F72" i="12" s="1"/>
  <c r="F39" i="12"/>
  <c r="F40" i="12" s="1"/>
  <c r="K161" i="10"/>
  <c r="K210" i="10" s="1"/>
  <c r="R9" i="11"/>
  <c r="R9" i="15"/>
  <c r="R25" i="15"/>
  <c r="Q27" i="15"/>
  <c r="O13" i="10"/>
  <c r="O13" i="11" s="1"/>
  <c r="O129" i="10" s="1"/>
  <c r="N43" i="10"/>
  <c r="N33" i="10"/>
  <c r="N20" i="10"/>
  <c r="O171" i="10" s="1"/>
  <c r="N38" i="10"/>
  <c r="N28" i="10"/>
  <c r="O73" i="10"/>
  <c r="N77" i="10"/>
  <c r="G746" i="5"/>
  <c r="G756" i="5"/>
  <c r="F748" i="5"/>
  <c r="F750" i="5" s="1"/>
  <c r="G73" i="21"/>
  <c r="G62" i="21"/>
  <c r="G69" i="21"/>
  <c r="G58" i="21"/>
  <c r="G56" i="21"/>
  <c r="G55" i="21"/>
  <c r="G60" i="21"/>
  <c r="G53" i="21"/>
  <c r="G68" i="21"/>
  <c r="G61" i="21"/>
  <c r="G54" i="21"/>
  <c r="G57" i="21"/>
  <c r="G67" i="21"/>
  <c r="G70" i="21"/>
  <c r="G59" i="21"/>
  <c r="G63" i="21"/>
  <c r="G66" i="21"/>
  <c r="K35" i="21"/>
  <c r="G71" i="21"/>
  <c r="L130" i="10"/>
  <c r="K23" i="21"/>
  <c r="K21" i="21"/>
  <c r="K20" i="21"/>
  <c r="K14" i="21"/>
  <c r="K41" i="11"/>
  <c r="K134" i="10"/>
  <c r="H74" i="11"/>
  <c r="H110" i="11"/>
  <c r="J744" i="5"/>
  <c r="J754" i="5" s="1"/>
  <c r="K15" i="11"/>
  <c r="K15" i="21" s="1"/>
  <c r="M171" i="10"/>
  <c r="M172" i="10" s="1"/>
  <c r="M20" i="10"/>
  <c r="M14" i="11" s="1"/>
  <c r="L248" i="10"/>
  <c r="L250" i="10" s="1"/>
  <c r="L35" i="11" s="1"/>
  <c r="I72" i="11"/>
  <c r="H743" i="5"/>
  <c r="K157" i="10"/>
  <c r="J81" i="11"/>
  <c r="K143" i="10"/>
  <c r="K233" i="10"/>
  <c r="K234" i="10" s="1"/>
  <c r="D524" i="5"/>
  <c r="K54" i="10" s="1"/>
  <c r="K129" i="10"/>
  <c r="L177" i="10"/>
  <c r="L176" i="10" s="1"/>
  <c r="L216" i="10" s="1"/>
  <c r="L166" i="10"/>
  <c r="L167" i="10" s="1"/>
  <c r="L71" i="11" s="1"/>
  <c r="L160" i="10"/>
  <c r="L154" i="10"/>
  <c r="L155" i="10" s="1"/>
  <c r="K163" i="10"/>
  <c r="K69" i="11"/>
  <c r="L33" i="10"/>
  <c r="L21" i="11" s="1"/>
  <c r="L38" i="10"/>
  <c r="L28" i="10"/>
  <c r="L20" i="11" s="1"/>
  <c r="L43" i="10"/>
  <c r="L23" i="11" s="1"/>
  <c r="K46" i="10"/>
  <c r="K22" i="11"/>
  <c r="K22" i="21" s="1"/>
  <c r="L13" i="11"/>
  <c r="G35" i="12" l="1"/>
  <c r="G36" i="12" s="1"/>
  <c r="H156" i="11"/>
  <c r="G71" i="12"/>
  <c r="G72" i="12" s="1"/>
  <c r="G39" i="12"/>
  <c r="G40" i="12" s="1"/>
  <c r="G61" i="12"/>
  <c r="G62" i="12" s="1"/>
  <c r="G75" i="12"/>
  <c r="G76" i="12" s="1"/>
  <c r="L161" i="10"/>
  <c r="L210" i="10" s="1"/>
  <c r="O172" i="10"/>
  <c r="O98" i="11" s="1"/>
  <c r="N14" i="11"/>
  <c r="N130" i="10" s="1"/>
  <c r="S9" i="11"/>
  <c r="T9" i="15" s="1"/>
  <c r="S9" i="15"/>
  <c r="S25" i="15"/>
  <c r="R27" i="15"/>
  <c r="H524" i="5"/>
  <c r="O54" i="10" s="1"/>
  <c r="O125" i="11" s="1"/>
  <c r="H71" i="21"/>
  <c r="O74" i="10"/>
  <c r="O75" i="10" s="1"/>
  <c r="N46" i="10"/>
  <c r="N47" i="10" s="1"/>
  <c r="O20" i="10"/>
  <c r="O248" i="10"/>
  <c r="O250" i="10" s="1"/>
  <c r="O35" i="11" s="1"/>
  <c r="O134" i="10" s="1"/>
  <c r="O33" i="10"/>
  <c r="O21" i="11" s="1"/>
  <c r="O160" i="10"/>
  <c r="O161" i="10" s="1"/>
  <c r="O38" i="10"/>
  <c r="O22" i="11" s="1"/>
  <c r="O166" i="10"/>
  <c r="O167" i="10" s="1"/>
  <c r="O71" i="11" s="1"/>
  <c r="P13" i="10"/>
  <c r="P13" i="11" s="1"/>
  <c r="P129" i="10" s="1"/>
  <c r="O154" i="10"/>
  <c r="O155" i="10" s="1"/>
  <c r="O43" i="10"/>
  <c r="O23" i="11" s="1"/>
  <c r="O28" i="10"/>
  <c r="O20" i="11" s="1"/>
  <c r="O177" i="10"/>
  <c r="O176" i="10" s="1"/>
  <c r="O233" i="10" s="1"/>
  <c r="O99" i="11" s="1"/>
  <c r="H746" i="5"/>
  <c r="H756" i="5"/>
  <c r="G748" i="5"/>
  <c r="G750" i="5" s="1"/>
  <c r="H73" i="21"/>
  <c r="H62" i="21"/>
  <c r="H56" i="21"/>
  <c r="H58" i="21"/>
  <c r="H67" i="21"/>
  <c r="H55" i="21"/>
  <c r="H68" i="21"/>
  <c r="H54" i="21"/>
  <c r="H57" i="21"/>
  <c r="H69" i="21"/>
  <c r="H60" i="21"/>
  <c r="H61" i="21"/>
  <c r="H53" i="21"/>
  <c r="H70" i="21"/>
  <c r="H59" i="21"/>
  <c r="H63" i="21"/>
  <c r="H66" i="21"/>
  <c r="L23" i="21"/>
  <c r="L20" i="21"/>
  <c r="L21" i="21"/>
  <c r="L134" i="10"/>
  <c r="L35" i="21"/>
  <c r="L41" i="11"/>
  <c r="L13" i="21"/>
  <c r="L14" i="21"/>
  <c r="M130" i="10"/>
  <c r="K42" i="11"/>
  <c r="I110" i="11"/>
  <c r="K744" i="5"/>
  <c r="K754" i="5" s="1"/>
  <c r="L15" i="11"/>
  <c r="N59" i="11"/>
  <c r="K125" i="11"/>
  <c r="I74" i="11"/>
  <c r="N171" i="10"/>
  <c r="N172" i="10" s="1"/>
  <c r="M248" i="10"/>
  <c r="M250" i="10" s="1"/>
  <c r="M35" i="11" s="1"/>
  <c r="K211" i="10"/>
  <c r="K70" i="11"/>
  <c r="J82" i="11"/>
  <c r="L157" i="10"/>
  <c r="L98" i="11"/>
  <c r="L215" i="10"/>
  <c r="L223" i="10" s="1"/>
  <c r="K99" i="11"/>
  <c r="K55" i="10"/>
  <c r="K56" i="10" s="1"/>
  <c r="L233" i="10"/>
  <c r="L99" i="11" s="1"/>
  <c r="K131" i="10"/>
  <c r="E524" i="5"/>
  <c r="L54" i="10" s="1"/>
  <c r="L129" i="10"/>
  <c r="K236" i="10"/>
  <c r="K243" i="10"/>
  <c r="K244" i="10" s="1"/>
  <c r="K237" i="10"/>
  <c r="M177" i="10"/>
  <c r="M176" i="10" s="1"/>
  <c r="K25" i="11"/>
  <c r="L212" i="10"/>
  <c r="M166" i="10"/>
  <c r="M167" i="10" s="1"/>
  <c r="M71" i="11" s="1"/>
  <c r="M160" i="10"/>
  <c r="M154" i="10"/>
  <c r="M155" i="10" s="1"/>
  <c r="K47" i="10"/>
  <c r="L46" i="10"/>
  <c r="M38" i="10"/>
  <c r="M28" i="10"/>
  <c r="M20" i="11" s="1"/>
  <c r="M43" i="10"/>
  <c r="M23" i="11" s="1"/>
  <c r="M33" i="10"/>
  <c r="M21" i="11" s="1"/>
  <c r="L22" i="11"/>
  <c r="M13" i="11"/>
  <c r="M13" i="21" s="1"/>
  <c r="J167" i="10"/>
  <c r="J71" i="11" s="1"/>
  <c r="K84" i="12" l="1"/>
  <c r="K86" i="12" s="1"/>
  <c r="K34" i="12"/>
  <c r="K30" i="12"/>
  <c r="J30" i="12"/>
  <c r="J34" i="12"/>
  <c r="J84" i="12"/>
  <c r="J86" i="12" s="1"/>
  <c r="N84" i="12"/>
  <c r="N86" i="12" s="1"/>
  <c r="N30" i="12"/>
  <c r="N34" i="12"/>
  <c r="I156" i="11"/>
  <c r="H71" i="12"/>
  <c r="H72" i="12" s="1"/>
  <c r="H75" i="12"/>
  <c r="H76" i="12" s="1"/>
  <c r="H39" i="12"/>
  <c r="H40" i="12" s="1"/>
  <c r="H61" i="12"/>
  <c r="H62" i="12" s="1"/>
  <c r="H35" i="12"/>
  <c r="H36" i="12" s="1"/>
  <c r="U14" i="11"/>
  <c r="L69" i="11"/>
  <c r="L163" i="10"/>
  <c r="V14" i="11"/>
  <c r="O106" i="11"/>
  <c r="I71" i="21"/>
  <c r="M161" i="10"/>
  <c r="M69" i="11" s="1"/>
  <c r="O131" i="10"/>
  <c r="O130" i="11"/>
  <c r="P22" i="15"/>
  <c r="S27" i="15"/>
  <c r="T25" i="15"/>
  <c r="T27" i="15" s="1"/>
  <c r="O76" i="10"/>
  <c r="O59" i="11" s="1"/>
  <c r="I524" i="5"/>
  <c r="P54" i="10" s="1"/>
  <c r="P125" i="11" s="1"/>
  <c r="P41" i="11"/>
  <c r="O163" i="10"/>
  <c r="O69" i="11"/>
  <c r="P171" i="10"/>
  <c r="P172" i="10" s="1"/>
  <c r="O14" i="11"/>
  <c r="O130" i="10" s="1"/>
  <c r="O157" i="10"/>
  <c r="O70" i="11"/>
  <c r="O46" i="10"/>
  <c r="O47" i="10" s="1"/>
  <c r="O234" i="10"/>
  <c r="O237" i="10" s="1"/>
  <c r="P20" i="10"/>
  <c r="P177" i="10"/>
  <c r="P176" i="10" s="1"/>
  <c r="P28" i="10"/>
  <c r="P20" i="11" s="1"/>
  <c r="P154" i="10"/>
  <c r="P160" i="10"/>
  <c r="P248" i="10"/>
  <c r="P250" i="10" s="1"/>
  <c r="P35" i="11" s="1"/>
  <c r="P134" i="10" s="1"/>
  <c r="P166" i="10"/>
  <c r="P167" i="10" s="1"/>
  <c r="P38" i="10"/>
  <c r="P22" i="11" s="1"/>
  <c r="P33" i="10"/>
  <c r="P21" i="11" s="1"/>
  <c r="P43" i="10"/>
  <c r="Q13" i="10"/>
  <c r="Q13" i="11" s="1"/>
  <c r="Q129" i="10" s="1"/>
  <c r="K25" i="21"/>
  <c r="L13" i="15"/>
  <c r="K130" i="11"/>
  <c r="L22" i="15"/>
  <c r="H748" i="5"/>
  <c r="H750" i="5" s="1"/>
  <c r="I73" i="21"/>
  <c r="I62" i="21"/>
  <c r="I69" i="21"/>
  <c r="I68" i="21"/>
  <c r="I56" i="21"/>
  <c r="I60" i="21"/>
  <c r="I55" i="21"/>
  <c r="I57" i="21"/>
  <c r="I53" i="21"/>
  <c r="I54" i="21"/>
  <c r="I58" i="21"/>
  <c r="I61" i="21"/>
  <c r="I67" i="21"/>
  <c r="I59" i="21"/>
  <c r="I70" i="21"/>
  <c r="I63" i="21"/>
  <c r="I66" i="21"/>
  <c r="M20" i="21"/>
  <c r="M14" i="21"/>
  <c r="M134" i="10"/>
  <c r="M35" i="21"/>
  <c r="L42" i="11"/>
  <c r="L15" i="21"/>
  <c r="L22" i="21"/>
  <c r="M21" i="21"/>
  <c r="M23" i="21"/>
  <c r="K43" i="11"/>
  <c r="M15" i="11"/>
  <c r="M41" i="11"/>
  <c r="L133" i="11"/>
  <c r="N248" i="10"/>
  <c r="L211" i="10"/>
  <c r="L213" i="10" s="1"/>
  <c r="M129" i="10"/>
  <c r="L744" i="5"/>
  <c r="L754" i="5" s="1"/>
  <c r="L70" i="11"/>
  <c r="L234" i="10"/>
  <c r="L236" i="10" s="1"/>
  <c r="K138" i="11"/>
  <c r="K34" i="11"/>
  <c r="J84" i="11"/>
  <c r="M157" i="10"/>
  <c r="K106" i="11"/>
  <c r="K133" i="11"/>
  <c r="L106" i="11"/>
  <c r="M216" i="10"/>
  <c r="M98" i="11"/>
  <c r="M215" i="10"/>
  <c r="L55" i="10"/>
  <c r="L125" i="11"/>
  <c r="L131" i="10"/>
  <c r="F524" i="5"/>
  <c r="M54" i="10" s="1"/>
  <c r="M233" i="10"/>
  <c r="N177" i="10"/>
  <c r="N176" i="10" s="1"/>
  <c r="K17" i="11"/>
  <c r="M212" i="10"/>
  <c r="N166" i="10"/>
  <c r="N167" i="10" s="1"/>
  <c r="M163" i="10"/>
  <c r="M210" i="10"/>
  <c r="N160" i="10"/>
  <c r="N161" i="10" s="1"/>
  <c r="N154" i="10"/>
  <c r="N155" i="10" s="1"/>
  <c r="K27" i="11"/>
  <c r="N20" i="11"/>
  <c r="N21" i="11"/>
  <c r="N23" i="11"/>
  <c r="L47" i="10"/>
  <c r="N13" i="11"/>
  <c r="M46" i="10"/>
  <c r="M22" i="11"/>
  <c r="M22" i="21" s="1"/>
  <c r="J223" i="10"/>
  <c r="K223" i="10"/>
  <c r="J212" i="10"/>
  <c r="J213" i="10" s="1"/>
  <c r="J225" i="10" s="1"/>
  <c r="J121" i="11" s="1"/>
  <c r="K21" i="15" s="1"/>
  <c r="K23" i="15" s="1"/>
  <c r="K212" i="10"/>
  <c r="K213" i="10" s="1"/>
  <c r="K225" i="10" s="1"/>
  <c r="K34" i="21" l="1"/>
  <c r="J89" i="12"/>
  <c r="J90" i="12" s="1"/>
  <c r="N20" i="12"/>
  <c r="N14" i="12"/>
  <c r="J14" i="12"/>
  <c r="J20" i="12"/>
  <c r="I31" i="12"/>
  <c r="I32" i="12" s="1"/>
  <c r="I38" i="12"/>
  <c r="I65" i="12"/>
  <c r="I66" i="12" s="1"/>
  <c r="K14" i="12"/>
  <c r="K20" i="12"/>
  <c r="P161" i="10"/>
  <c r="P69" i="11" s="1"/>
  <c r="P73" i="10"/>
  <c r="P155" i="10"/>
  <c r="P70" i="11" s="1"/>
  <c r="O77" i="10"/>
  <c r="P130" i="11"/>
  <c r="Q22" i="15"/>
  <c r="O15" i="11"/>
  <c r="P46" i="10"/>
  <c r="P47" i="10" s="1"/>
  <c r="P23" i="11"/>
  <c r="P131" i="10" s="1"/>
  <c r="Q41" i="11"/>
  <c r="J524" i="5"/>
  <c r="Q54" i="10" s="1"/>
  <c r="Q125" i="11" s="1"/>
  <c r="N129" i="10"/>
  <c r="O41" i="11"/>
  <c r="P212" i="10"/>
  <c r="P71" i="11"/>
  <c r="Q171" i="10"/>
  <c r="Q172" i="10" s="1"/>
  <c r="P14" i="11"/>
  <c r="P130" i="10" s="1"/>
  <c r="P215" i="10"/>
  <c r="P98" i="11"/>
  <c r="P216" i="10"/>
  <c r="P233" i="10"/>
  <c r="P99" i="11" s="1"/>
  <c r="O236" i="10"/>
  <c r="P211" i="10"/>
  <c r="P157" i="10"/>
  <c r="R13" i="10"/>
  <c r="R13" i="11" s="1"/>
  <c r="R129" i="10" s="1"/>
  <c r="Q33" i="10"/>
  <c r="Q21" i="11" s="1"/>
  <c r="Q38" i="10"/>
  <c r="Q22" i="11" s="1"/>
  <c r="Q28" i="10"/>
  <c r="Q20" i="11" s="1"/>
  <c r="Q43" i="10"/>
  <c r="Q248" i="10"/>
  <c r="Q250" i="10" s="1"/>
  <c r="Q35" i="11" s="1"/>
  <c r="Q134" i="10" s="1"/>
  <c r="Q154" i="10"/>
  <c r="Q177" i="10"/>
  <c r="Q176" i="10" s="1"/>
  <c r="Q160" i="10"/>
  <c r="Q20" i="10"/>
  <c r="Q166" i="10"/>
  <c r="Q167" i="10" s="1"/>
  <c r="P74" i="10"/>
  <c r="P75" i="10" s="1"/>
  <c r="N69" i="11"/>
  <c r="O210" i="10"/>
  <c r="N212" i="10"/>
  <c r="O212" i="10"/>
  <c r="N216" i="10"/>
  <c r="O216" i="10"/>
  <c r="L130" i="11"/>
  <c r="M22" i="15"/>
  <c r="N13" i="21"/>
  <c r="N14" i="21"/>
  <c r="N23" i="21"/>
  <c r="N21" i="21"/>
  <c r="M42" i="11"/>
  <c r="M15" i="21"/>
  <c r="N20" i="21"/>
  <c r="U23" i="11"/>
  <c r="V23" i="11"/>
  <c r="U20" i="11"/>
  <c r="V20" i="11"/>
  <c r="U13" i="11"/>
  <c r="V13" i="11"/>
  <c r="U21" i="11"/>
  <c r="V21" i="11"/>
  <c r="N250" i="10"/>
  <c r="N35" i="11" s="1"/>
  <c r="N41" i="11"/>
  <c r="N15" i="11"/>
  <c r="M223" i="10"/>
  <c r="L243" i="10"/>
  <c r="L244" i="10" s="1"/>
  <c r="L34" i="11" s="1"/>
  <c r="L237" i="10"/>
  <c r="M744" i="5"/>
  <c r="M754" i="5" s="1"/>
  <c r="M211" i="10"/>
  <c r="M213" i="10" s="1"/>
  <c r="M70" i="11"/>
  <c r="K119" i="11"/>
  <c r="K133" i="10"/>
  <c r="J108" i="11"/>
  <c r="J83" i="21" s="1"/>
  <c r="K226" i="10"/>
  <c r="K121" i="11"/>
  <c r="L21" i="15" s="1"/>
  <c r="L226" i="10"/>
  <c r="L225" i="10"/>
  <c r="L121" i="11" s="1"/>
  <c r="M21" i="15" s="1"/>
  <c r="J226" i="10"/>
  <c r="J123" i="11" s="1"/>
  <c r="J145" i="11" s="1"/>
  <c r="J148" i="11" s="1"/>
  <c r="M131" i="10"/>
  <c r="N233" i="10"/>
  <c r="N99" i="11" s="1"/>
  <c r="M55" i="10"/>
  <c r="M125" i="11"/>
  <c r="M234" i="10"/>
  <c r="M99" i="11"/>
  <c r="G524" i="5"/>
  <c r="N54" i="10" s="1"/>
  <c r="N71" i="11"/>
  <c r="L17" i="11"/>
  <c r="L25" i="11"/>
  <c r="M13" i="15" s="1"/>
  <c r="M17" i="11"/>
  <c r="N163" i="10"/>
  <c r="N210" i="10"/>
  <c r="M47" i="10"/>
  <c r="N22" i="11"/>
  <c r="N22" i="21" s="1"/>
  <c r="O133" i="11" l="1"/>
  <c r="M34" i="12"/>
  <c r="M30" i="12"/>
  <c r="M84" i="12"/>
  <c r="M86" i="12" s="1"/>
  <c r="L84" i="12"/>
  <c r="L86" i="12" s="1"/>
  <c r="L34" i="12"/>
  <c r="L30" i="12"/>
  <c r="L34" i="21"/>
  <c r="K89" i="12"/>
  <c r="K90" i="12" s="1"/>
  <c r="P133" i="11"/>
  <c r="O30" i="12"/>
  <c r="O84" i="12"/>
  <c r="O86" i="12" s="1"/>
  <c r="O34" i="12"/>
  <c r="P210" i="10"/>
  <c r="P213" i="10" s="1"/>
  <c r="P225" i="10" s="1"/>
  <c r="P121" i="11" s="1"/>
  <c r="Q21" i="15" s="1"/>
  <c r="P163" i="10"/>
  <c r="Q161" i="10"/>
  <c r="Q69" i="11" s="1"/>
  <c r="Q155" i="10"/>
  <c r="Q70" i="11" s="1"/>
  <c r="P76" i="10"/>
  <c r="P59" i="11" s="1"/>
  <c r="Q130" i="11"/>
  <c r="R22" i="15"/>
  <c r="P106" i="11"/>
  <c r="P15" i="11"/>
  <c r="Q215" i="10"/>
  <c r="Q98" i="11"/>
  <c r="Q46" i="10"/>
  <c r="Q47" i="10" s="1"/>
  <c r="Q23" i="11"/>
  <c r="Q131" i="10" s="1"/>
  <c r="R41" i="11"/>
  <c r="K524" i="5"/>
  <c r="R54" i="10" s="1"/>
  <c r="R125" i="11" s="1"/>
  <c r="Q212" i="10"/>
  <c r="Q71" i="11"/>
  <c r="O42" i="11"/>
  <c r="O25" i="11"/>
  <c r="P13" i="15" s="1"/>
  <c r="O17" i="11"/>
  <c r="R171" i="10"/>
  <c r="R172" i="10" s="1"/>
  <c r="Q14" i="11"/>
  <c r="Q130" i="10" s="1"/>
  <c r="P223" i="10"/>
  <c r="Q73" i="10"/>
  <c r="Q210" i="10"/>
  <c r="Q163" i="10"/>
  <c r="P234" i="10"/>
  <c r="P243" i="10" s="1"/>
  <c r="P244" i="10" s="1"/>
  <c r="P138" i="11" s="1"/>
  <c r="Q157" i="10"/>
  <c r="Q211" i="10"/>
  <c r="R248" i="10"/>
  <c r="R250" i="10" s="1"/>
  <c r="R35" i="11" s="1"/>
  <c r="R134" i="10" s="1"/>
  <c r="R20" i="10"/>
  <c r="R166" i="10"/>
  <c r="R167" i="10" s="1"/>
  <c r="R43" i="10"/>
  <c r="R177" i="10"/>
  <c r="R176" i="10" s="1"/>
  <c r="S13" i="10"/>
  <c r="S13" i="11" s="1"/>
  <c r="S129" i="10" s="1"/>
  <c r="R33" i="10"/>
  <c r="R21" i="11" s="1"/>
  <c r="R38" i="10"/>
  <c r="R22" i="11" s="1"/>
  <c r="R160" i="10"/>
  <c r="R28" i="10"/>
  <c r="R20" i="11" s="1"/>
  <c r="R154" i="10"/>
  <c r="Q216" i="10"/>
  <c r="Q233" i="10"/>
  <c r="Q99" i="11" s="1"/>
  <c r="N157" i="10"/>
  <c r="O211" i="10"/>
  <c r="O213" i="10" s="1"/>
  <c r="N215" i="10"/>
  <c r="N223" i="10" s="1"/>
  <c r="O215" i="10"/>
  <c r="O223" i="10" s="1"/>
  <c r="N55" i="10"/>
  <c r="N35" i="21"/>
  <c r="N134" i="10"/>
  <c r="N131" i="10"/>
  <c r="M130" i="11"/>
  <c r="N22" i="15"/>
  <c r="L43" i="11"/>
  <c r="L25" i="21"/>
  <c r="J90" i="21"/>
  <c r="J91" i="21"/>
  <c r="J88" i="21"/>
  <c r="J82" i="21"/>
  <c r="J107" i="21"/>
  <c r="J79" i="21"/>
  <c r="J92" i="21"/>
  <c r="J89" i="21"/>
  <c r="J101" i="21"/>
  <c r="J99" i="21"/>
  <c r="J102" i="21"/>
  <c r="J100" i="21"/>
  <c r="J103" i="21"/>
  <c r="J104" i="21"/>
  <c r="J87" i="21"/>
  <c r="J93" i="21"/>
  <c r="J97" i="21"/>
  <c r="J98" i="21"/>
  <c r="J105" i="21"/>
  <c r="J80" i="21"/>
  <c r="J81" i="21"/>
  <c r="N15" i="21"/>
  <c r="V35" i="11"/>
  <c r="U35" i="11"/>
  <c r="U22" i="11"/>
  <c r="V22" i="11"/>
  <c r="N42" i="11"/>
  <c r="U15" i="11"/>
  <c r="V15" i="11"/>
  <c r="N25" i="11"/>
  <c r="L133" i="10"/>
  <c r="L138" i="11"/>
  <c r="L119" i="11"/>
  <c r="N211" i="10"/>
  <c r="N213" i="10" s="1"/>
  <c r="N98" i="11"/>
  <c r="N70" i="11"/>
  <c r="N133" i="11"/>
  <c r="M106" i="11"/>
  <c r="M133" i="11"/>
  <c r="M226" i="10"/>
  <c r="M225" i="10"/>
  <c r="M121" i="11" s="1"/>
  <c r="N21" i="15" s="1"/>
  <c r="K147" i="11"/>
  <c r="J67" i="11"/>
  <c r="N234" i="10"/>
  <c r="N125" i="11"/>
  <c r="M236" i="10"/>
  <c r="M243" i="10"/>
  <c r="M244" i="10" s="1"/>
  <c r="M237" i="10"/>
  <c r="L27" i="11"/>
  <c r="M25" i="11"/>
  <c r="N13" i="15" s="1"/>
  <c r="N17" i="11"/>
  <c r="L20" i="12" l="1"/>
  <c r="L14" i="12"/>
  <c r="Q133" i="11"/>
  <c r="P34" i="12"/>
  <c r="P30" i="12"/>
  <c r="P84" i="12"/>
  <c r="P86" i="12" s="1"/>
  <c r="O14" i="12"/>
  <c r="O20" i="12"/>
  <c r="P77" i="10"/>
  <c r="R155" i="10"/>
  <c r="R70" i="11" s="1"/>
  <c r="R161" i="10"/>
  <c r="R210" i="10" s="1"/>
  <c r="Q223" i="10"/>
  <c r="P237" i="10"/>
  <c r="R130" i="11"/>
  <c r="S22" i="15"/>
  <c r="Q106" i="11"/>
  <c r="R215" i="10"/>
  <c r="R98" i="11"/>
  <c r="P34" i="11"/>
  <c r="Q15" i="11"/>
  <c r="R212" i="10"/>
  <c r="R71" i="11"/>
  <c r="S171" i="10"/>
  <c r="S172" i="10" s="1"/>
  <c r="R14" i="11"/>
  <c r="R130" i="10" s="1"/>
  <c r="P25" i="11"/>
  <c r="Q13" i="15" s="1"/>
  <c r="P42" i="11"/>
  <c r="P17" i="11"/>
  <c r="S41" i="11"/>
  <c r="L524" i="5"/>
  <c r="S54" i="10" s="1"/>
  <c r="S125" i="11" s="1"/>
  <c r="R46" i="10"/>
  <c r="R47" i="10" s="1"/>
  <c r="R23" i="11"/>
  <c r="R131" i="10" s="1"/>
  <c r="O27" i="11"/>
  <c r="O43" i="11"/>
  <c r="Q213" i="10"/>
  <c r="Q225" i="10" s="1"/>
  <c r="Q121" i="11" s="1"/>
  <c r="R21" i="15" s="1"/>
  <c r="P226" i="10"/>
  <c r="P236" i="10"/>
  <c r="R216" i="10"/>
  <c r="R223" i="10" s="1"/>
  <c r="R233" i="10"/>
  <c r="R99" i="11" s="1"/>
  <c r="R157" i="10"/>
  <c r="R211" i="10"/>
  <c r="Q74" i="10"/>
  <c r="Q75" i="10" s="1"/>
  <c r="Q76" i="10" s="1"/>
  <c r="Q59" i="11" s="1"/>
  <c r="Q234" i="10"/>
  <c r="Q237" i="10" s="1"/>
  <c r="S154" i="10"/>
  <c r="S33" i="10"/>
  <c r="S21" i="11" s="1"/>
  <c r="S20" i="10"/>
  <c r="S14" i="11" s="1"/>
  <c r="S130" i="10" s="1"/>
  <c r="S160" i="10"/>
  <c r="S38" i="10"/>
  <c r="S22" i="11" s="1"/>
  <c r="S43" i="10"/>
  <c r="S23" i="11" s="1"/>
  <c r="S166" i="10"/>
  <c r="S167" i="10" s="1"/>
  <c r="S28" i="10"/>
  <c r="S20" i="11" s="1"/>
  <c r="S131" i="10" s="1"/>
  <c r="S248" i="10"/>
  <c r="S250" i="10" s="1"/>
  <c r="S35" i="11" s="1"/>
  <c r="S134" i="10" s="1"/>
  <c r="S177" i="10"/>
  <c r="S176" i="10" s="1"/>
  <c r="N110" i="10"/>
  <c r="N113" i="10" s="1"/>
  <c r="O55" i="10"/>
  <c r="O226" i="10"/>
  <c r="O225" i="10"/>
  <c r="O121" i="11" s="1"/>
  <c r="P21" i="15" s="1"/>
  <c r="N236" i="10"/>
  <c r="O243" i="10"/>
  <c r="O244" i="10" s="1"/>
  <c r="N130" i="11"/>
  <c r="O22" i="15"/>
  <c r="N25" i="21"/>
  <c r="O13" i="15"/>
  <c r="M43" i="11"/>
  <c r="M25" i="21"/>
  <c r="I743" i="5"/>
  <c r="N106" i="11"/>
  <c r="U25" i="11"/>
  <c r="V25" i="11"/>
  <c r="N43" i="11"/>
  <c r="M138" i="11"/>
  <c r="M34" i="11"/>
  <c r="N226" i="10"/>
  <c r="N225" i="10"/>
  <c r="N121" i="11" s="1"/>
  <c r="O21" i="15" s="1"/>
  <c r="N243" i="10"/>
  <c r="N244" i="10" s="1"/>
  <c r="J72" i="11"/>
  <c r="N237" i="10"/>
  <c r="M27" i="11"/>
  <c r="N27" i="11"/>
  <c r="P133" i="10" l="1"/>
  <c r="P34" i="21"/>
  <c r="O89" i="12"/>
  <c r="M14" i="12"/>
  <c r="M20" i="12"/>
  <c r="M34" i="21"/>
  <c r="L89" i="12"/>
  <c r="L90" i="12" s="1"/>
  <c r="R133" i="11"/>
  <c r="Q84" i="12"/>
  <c r="Q86" i="12" s="1"/>
  <c r="Q34" i="12"/>
  <c r="Q30" i="12"/>
  <c r="P14" i="12"/>
  <c r="P20" i="12"/>
  <c r="I13" i="12"/>
  <c r="I15" i="12" s="1"/>
  <c r="I17" i="12"/>
  <c r="I21" i="12" s="1"/>
  <c r="R69" i="11"/>
  <c r="R163" i="10"/>
  <c r="S161" i="10"/>
  <c r="S163" i="10" s="1"/>
  <c r="S155" i="10"/>
  <c r="S70" i="11" s="1"/>
  <c r="S130" i="11"/>
  <c r="T22" i="15"/>
  <c r="R106" i="11"/>
  <c r="R213" i="10"/>
  <c r="R226" i="10" s="1"/>
  <c r="S212" i="10"/>
  <c r="S71" i="11"/>
  <c r="Q25" i="11"/>
  <c r="R13" i="15" s="1"/>
  <c r="Q42" i="11"/>
  <c r="Q17" i="11"/>
  <c r="P119" i="11"/>
  <c r="P27" i="11"/>
  <c r="P43" i="11"/>
  <c r="R15" i="11"/>
  <c r="S215" i="10"/>
  <c r="S98" i="11"/>
  <c r="S15" i="11"/>
  <c r="O34" i="11"/>
  <c r="O138" i="11"/>
  <c r="Q226" i="10"/>
  <c r="S46" i="10"/>
  <c r="S47" i="10" s="1"/>
  <c r="Q243" i="10"/>
  <c r="Q244" i="10" s="1"/>
  <c r="R73" i="10"/>
  <c r="Q77" i="10"/>
  <c r="S216" i="10"/>
  <c r="S233" i="10"/>
  <c r="R234" i="10"/>
  <c r="R237" i="10" s="1"/>
  <c r="Q236" i="10"/>
  <c r="N119" i="10"/>
  <c r="P55" i="10"/>
  <c r="O110" i="10"/>
  <c r="O29" i="11" s="1"/>
  <c r="I746" i="5"/>
  <c r="I756" i="5"/>
  <c r="J110" i="11"/>
  <c r="J74" i="11"/>
  <c r="M133" i="10"/>
  <c r="M119" i="11"/>
  <c r="N138" i="11"/>
  <c r="N34" i="11"/>
  <c r="M89" i="12" s="1"/>
  <c r="Q20" i="12" l="1"/>
  <c r="Q14" i="12"/>
  <c r="O133" i="10"/>
  <c r="N89" i="12"/>
  <c r="O34" i="21"/>
  <c r="O132" i="10"/>
  <c r="O29" i="21"/>
  <c r="I35" i="12"/>
  <c r="I36" i="12" s="1"/>
  <c r="I39" i="12"/>
  <c r="I40" i="12" s="1"/>
  <c r="I71" i="12"/>
  <c r="I72" i="12" s="1"/>
  <c r="I61" i="12"/>
  <c r="I62" i="12" s="1"/>
  <c r="I75" i="12"/>
  <c r="I76" i="12" s="1"/>
  <c r="J156" i="11"/>
  <c r="O135" i="10"/>
  <c r="O136" i="10" s="1"/>
  <c r="O137" i="10" s="1"/>
  <c r="S210" i="10"/>
  <c r="S69" i="11"/>
  <c r="S157" i="10"/>
  <c r="S211" i="10"/>
  <c r="R225" i="10"/>
  <c r="R121" i="11" s="1"/>
  <c r="S21" i="15" s="1"/>
  <c r="J71" i="21"/>
  <c r="R243" i="10"/>
  <c r="R244" i="10" s="1"/>
  <c r="R138" i="11" s="1"/>
  <c r="P14" i="15"/>
  <c r="S234" i="10"/>
  <c r="S237" i="10" s="1"/>
  <c r="S99" i="11"/>
  <c r="R17" i="11"/>
  <c r="R42" i="11"/>
  <c r="R25" i="11"/>
  <c r="S13" i="15" s="1"/>
  <c r="Q27" i="11"/>
  <c r="Q43" i="11"/>
  <c r="S25" i="11"/>
  <c r="T13" i="15" s="1"/>
  <c r="C53" i="15" s="1"/>
  <c r="C54" i="15" s="1"/>
  <c r="C55" i="15" s="1"/>
  <c r="S17" i="11"/>
  <c r="S42" i="11"/>
  <c r="S223" i="10"/>
  <c r="Q34" i="11"/>
  <c r="Q138" i="11"/>
  <c r="O119" i="11"/>
  <c r="O118" i="11"/>
  <c r="O30" i="11"/>
  <c r="R236" i="10"/>
  <c r="R74" i="10"/>
  <c r="R75" i="10" s="1"/>
  <c r="O121" i="10"/>
  <c r="O120" i="10"/>
  <c r="O119" i="10"/>
  <c r="O122" i="10"/>
  <c r="O123" i="10"/>
  <c r="O113" i="10"/>
  <c r="Q55" i="10"/>
  <c r="P110" i="10"/>
  <c r="P29" i="11" s="1"/>
  <c r="N34" i="21"/>
  <c r="N133" i="10"/>
  <c r="J55" i="21"/>
  <c r="J73" i="21"/>
  <c r="J67" i="21"/>
  <c r="J62" i="21"/>
  <c r="J54" i="21"/>
  <c r="J60" i="21"/>
  <c r="J61" i="21"/>
  <c r="J56" i="21"/>
  <c r="J59" i="21"/>
  <c r="J68" i="21"/>
  <c r="J57" i="21"/>
  <c r="J58" i="21"/>
  <c r="J63" i="21"/>
  <c r="J53" i="21"/>
  <c r="J69" i="21"/>
  <c r="J70" i="21"/>
  <c r="J66" i="21"/>
  <c r="U34" i="11"/>
  <c r="V34" i="11"/>
  <c r="I748" i="5"/>
  <c r="I750" i="5" s="1"/>
  <c r="N119" i="11"/>
  <c r="Q133" i="10" l="1"/>
  <c r="Q34" i="21"/>
  <c r="P89" i="12"/>
  <c r="S133" i="11"/>
  <c r="R34" i="12"/>
  <c r="R30" i="12"/>
  <c r="R84" i="12"/>
  <c r="R86" i="12" s="1"/>
  <c r="P132" i="10"/>
  <c r="P135" i="10" s="1"/>
  <c r="P136" i="10" s="1"/>
  <c r="P137" i="10" s="1"/>
  <c r="P29" i="21"/>
  <c r="N88" i="12"/>
  <c r="N90" i="12" s="1"/>
  <c r="O30" i="21"/>
  <c r="N52" i="12"/>
  <c r="N54" i="12" s="1"/>
  <c r="S213" i="10"/>
  <c r="S225" i="10" s="1"/>
  <c r="S121" i="11" s="1"/>
  <c r="T21" i="15" s="1"/>
  <c r="S243" i="10"/>
  <c r="S244" i="10" s="1"/>
  <c r="S34" i="11" s="1"/>
  <c r="R34" i="11"/>
  <c r="S236" i="10"/>
  <c r="Q14" i="15"/>
  <c r="P15" i="15"/>
  <c r="P18" i="15"/>
  <c r="O38" i="11"/>
  <c r="O38" i="21" s="1"/>
  <c r="S106" i="11"/>
  <c r="S226" i="10"/>
  <c r="Q119" i="11"/>
  <c r="R27" i="11"/>
  <c r="R43" i="11"/>
  <c r="S27" i="11"/>
  <c r="S43" i="11"/>
  <c r="P118" i="11"/>
  <c r="P30" i="11"/>
  <c r="O32" i="11"/>
  <c r="O36" i="11"/>
  <c r="O36" i="21" s="1"/>
  <c r="O44" i="11"/>
  <c r="O47" i="11"/>
  <c r="R76" i="10"/>
  <c r="R59" i="11" s="1"/>
  <c r="Q110" i="10"/>
  <c r="Q29" i="11" s="1"/>
  <c r="R55" i="10"/>
  <c r="O124" i="10"/>
  <c r="P123" i="10"/>
  <c r="P119" i="10"/>
  <c r="P120" i="10"/>
  <c r="P113" i="10"/>
  <c r="P122" i="10"/>
  <c r="P121" i="10"/>
  <c r="S133" i="10" l="1"/>
  <c r="R89" i="12"/>
  <c r="S34" i="21"/>
  <c r="R133" i="10"/>
  <c r="R34" i="21"/>
  <c r="Q89" i="12"/>
  <c r="R20" i="12"/>
  <c r="R14" i="12"/>
  <c r="Q132" i="10"/>
  <c r="Q135" i="10" s="1"/>
  <c r="Q136" i="10" s="1"/>
  <c r="Q137" i="10" s="1"/>
  <c r="Q29" i="21"/>
  <c r="O52" i="12"/>
  <c r="O54" i="12" s="1"/>
  <c r="O88" i="12"/>
  <c r="O90" i="12" s="1"/>
  <c r="P30" i="21"/>
  <c r="S138" i="11"/>
  <c r="R119" i="11"/>
  <c r="Q18" i="15"/>
  <c r="Q15" i="15"/>
  <c r="R14" i="15"/>
  <c r="O122" i="11"/>
  <c r="P16" i="15"/>
  <c r="P17" i="15" s="1"/>
  <c r="P19" i="15" s="1"/>
  <c r="P23" i="15" s="1"/>
  <c r="P29" i="15" s="1"/>
  <c r="R77" i="10"/>
  <c r="S73" i="10"/>
  <c r="S74" i="10" s="1"/>
  <c r="S75" i="10" s="1"/>
  <c r="S119" i="11"/>
  <c r="Q118" i="11"/>
  <c r="Q30" i="11"/>
  <c r="O39" i="11"/>
  <c r="O117" i="11"/>
  <c r="O45" i="11"/>
  <c r="P47" i="11"/>
  <c r="P32" i="11"/>
  <c r="P36" i="11"/>
  <c r="P36" i="21" s="1"/>
  <c r="P44" i="11"/>
  <c r="R110" i="10"/>
  <c r="R29" i="11" s="1"/>
  <c r="S55" i="10"/>
  <c r="P124" i="10"/>
  <c r="Q123" i="10"/>
  <c r="Q119" i="10"/>
  <c r="Q122" i="10"/>
  <c r="Q120" i="10"/>
  <c r="Q113" i="10"/>
  <c r="Q121" i="10"/>
  <c r="R132" i="10" l="1"/>
  <c r="R135" i="10" s="1"/>
  <c r="R136" i="10" s="1"/>
  <c r="R137" i="10" s="1"/>
  <c r="R29" i="21"/>
  <c r="P52" i="12"/>
  <c r="P54" i="12" s="1"/>
  <c r="P88" i="12"/>
  <c r="P90" i="12" s="1"/>
  <c r="Q30" i="21"/>
  <c r="O144" i="10"/>
  <c r="O145" i="10" s="1"/>
  <c r="O135" i="11" s="1"/>
  <c r="O141" i="11" s="1"/>
  <c r="O39" i="21"/>
  <c r="N64" i="12"/>
  <c r="N56" i="12"/>
  <c r="N58" i="12" s="1"/>
  <c r="N60" i="12"/>
  <c r="R18" i="15"/>
  <c r="R15" i="15"/>
  <c r="S110" i="10"/>
  <c r="S29" i="11" s="1"/>
  <c r="O123" i="11"/>
  <c r="S14" i="15"/>
  <c r="R38" i="11"/>
  <c r="R38" i="21" s="1"/>
  <c r="O46" i="11"/>
  <c r="R118" i="11"/>
  <c r="R30" i="11"/>
  <c r="P117" i="11"/>
  <c r="Q32" i="11"/>
  <c r="Q47" i="11"/>
  <c r="Q36" i="11"/>
  <c r="Q36" i="21" s="1"/>
  <c r="Q44" i="11"/>
  <c r="S76" i="10"/>
  <c r="Q124" i="10"/>
  <c r="R120" i="10"/>
  <c r="R121" i="10"/>
  <c r="R123" i="10"/>
  <c r="R113" i="10"/>
  <c r="R119" i="10"/>
  <c r="R122" i="10"/>
  <c r="S30" i="11" l="1"/>
  <c r="S29" i="21"/>
  <c r="Q88" i="12"/>
  <c r="Q90" i="12" s="1"/>
  <c r="R30" i="21"/>
  <c r="Q52" i="12"/>
  <c r="Q54" i="12" s="1"/>
  <c r="S118" i="11"/>
  <c r="S122" i="10"/>
  <c r="S119" i="10"/>
  <c r="S123" i="10"/>
  <c r="S121" i="10"/>
  <c r="S113" i="10"/>
  <c r="O145" i="11"/>
  <c r="S120" i="10"/>
  <c r="T14" i="15"/>
  <c r="T15" i="15" s="1"/>
  <c r="S132" i="10"/>
  <c r="S135" i="10" s="1"/>
  <c r="S136" i="10" s="1"/>
  <c r="S18" i="15"/>
  <c r="S15" i="15"/>
  <c r="R122" i="11"/>
  <c r="S16" i="15"/>
  <c r="S77" i="10"/>
  <c r="S59" i="11"/>
  <c r="R36" i="11"/>
  <c r="R36" i="21" s="1"/>
  <c r="R32" i="11"/>
  <c r="R47" i="11"/>
  <c r="R44" i="11"/>
  <c r="S32" i="11"/>
  <c r="S36" i="11"/>
  <c r="S36" i="21" s="1"/>
  <c r="S44" i="11"/>
  <c r="S47" i="11"/>
  <c r="Q117" i="11"/>
  <c r="R124" i="10"/>
  <c r="R88" i="12" l="1"/>
  <c r="R90" i="12" s="1"/>
  <c r="S30" i="21"/>
  <c r="R52" i="12"/>
  <c r="R54" i="12" s="1"/>
  <c r="S124" i="10"/>
  <c r="T18" i="15"/>
  <c r="S137" i="10"/>
  <c r="S38" i="11"/>
  <c r="S17" i="15"/>
  <c r="S19" i="15" s="1"/>
  <c r="S23" i="15" s="1"/>
  <c r="S29" i="15" s="1"/>
  <c r="S117" i="11"/>
  <c r="R117" i="11"/>
  <c r="R123" i="11" s="1"/>
  <c r="R45" i="11"/>
  <c r="R39" i="11"/>
  <c r="K62" i="10"/>
  <c r="R144" i="10" l="1"/>
  <c r="R145" i="10" s="1"/>
  <c r="R39" i="21"/>
  <c r="Q56" i="12"/>
  <c r="Q58" i="12" s="1"/>
  <c r="Q60" i="12"/>
  <c r="Q64" i="12"/>
  <c r="S39" i="11"/>
  <c r="S38" i="21"/>
  <c r="S45" i="11"/>
  <c r="S122" i="11"/>
  <c r="S123" i="11" s="1"/>
  <c r="T16" i="15"/>
  <c r="T17" i="15" s="1"/>
  <c r="T19" i="15" s="1"/>
  <c r="T23" i="15" s="1"/>
  <c r="T29" i="15" s="1"/>
  <c r="R46" i="11"/>
  <c r="R135" i="11"/>
  <c r="R141" i="11" s="1"/>
  <c r="R145" i="11" s="1"/>
  <c r="S46" i="11"/>
  <c r="L62" i="10"/>
  <c r="K110" i="10"/>
  <c r="K63" i="10"/>
  <c r="S144" i="10" l="1"/>
  <c r="S145" i="10" s="1"/>
  <c r="S135" i="11" s="1"/>
  <c r="S141" i="11" s="1"/>
  <c r="S39" i="21"/>
  <c r="R60" i="12"/>
  <c r="R64" i="12"/>
  <c r="R56" i="12"/>
  <c r="R58" i="12" s="1"/>
  <c r="C35" i="15"/>
  <c r="S145" i="11"/>
  <c r="K29" i="11"/>
  <c r="K113" i="10"/>
  <c r="K119" i="10"/>
  <c r="K120" i="10"/>
  <c r="M62" i="10"/>
  <c r="L110" i="10"/>
  <c r="L60" i="10"/>
  <c r="L63" i="10" s="1"/>
  <c r="L56" i="11" s="1"/>
  <c r="K56" i="11"/>
  <c r="K64" i="10"/>
  <c r="K29" i="21" l="1"/>
  <c r="L14" i="15"/>
  <c r="K30" i="11"/>
  <c r="K124" i="10"/>
  <c r="L29" i="11"/>
  <c r="M14" i="15" s="1"/>
  <c r="L113" i="10"/>
  <c r="L120" i="10"/>
  <c r="L119" i="10"/>
  <c r="L121" i="10"/>
  <c r="M110" i="10"/>
  <c r="K118" i="11"/>
  <c r="K132" i="10"/>
  <c r="K135" i="10" s="1"/>
  <c r="K136" i="10" s="1"/>
  <c r="K38" i="11" s="1"/>
  <c r="L64" i="10"/>
  <c r="M60" i="10"/>
  <c r="M63" i="10" s="1"/>
  <c r="N56" i="11" s="1"/>
  <c r="N123" i="10" l="1"/>
  <c r="N120" i="10"/>
  <c r="N121" i="10"/>
  <c r="N122" i="10"/>
  <c r="M18" i="15"/>
  <c r="M15" i="15"/>
  <c r="L18" i="15"/>
  <c r="L15" i="15"/>
  <c r="K38" i="21"/>
  <c r="L16" i="15"/>
  <c r="K30" i="21"/>
  <c r="K47" i="11"/>
  <c r="L30" i="11"/>
  <c r="L47" i="11" s="1"/>
  <c r="L29" i="21"/>
  <c r="K44" i="11"/>
  <c r="M56" i="11"/>
  <c r="K32" i="11"/>
  <c r="K36" i="11"/>
  <c r="K36" i="21" s="1"/>
  <c r="M29" i="11"/>
  <c r="N14" i="15" s="1"/>
  <c r="M121" i="10"/>
  <c r="M113" i="10"/>
  <c r="M119" i="10"/>
  <c r="M122" i="10"/>
  <c r="M120" i="10"/>
  <c r="N29" i="11"/>
  <c r="N132" i="10" s="1"/>
  <c r="N135" i="10" s="1"/>
  <c r="L124" i="10"/>
  <c r="M64" i="10"/>
  <c r="L118" i="11"/>
  <c r="K29" i="15"/>
  <c r="L132" i="10"/>
  <c r="L135" i="10" s="1"/>
  <c r="L136" i="10" s="1"/>
  <c r="L38" i="11" s="1"/>
  <c r="N124" i="10" l="1"/>
  <c r="N136" i="10"/>
  <c r="N38" i="11" s="1"/>
  <c r="L17" i="15"/>
  <c r="L19" i="15" s="1"/>
  <c r="L23" i="15" s="1"/>
  <c r="L29" i="15" s="1"/>
  <c r="N18" i="15"/>
  <c r="N15" i="15"/>
  <c r="L38" i="21"/>
  <c r="M16" i="15"/>
  <c r="M17" i="15" s="1"/>
  <c r="M19" i="15" s="1"/>
  <c r="M23" i="15" s="1"/>
  <c r="M29" i="15" s="1"/>
  <c r="N29" i="21"/>
  <c r="O14" i="15"/>
  <c r="M30" i="11"/>
  <c r="M47" i="11" s="1"/>
  <c r="M29" i="21"/>
  <c r="L44" i="11"/>
  <c r="L30" i="21"/>
  <c r="N30" i="11"/>
  <c r="U29" i="11"/>
  <c r="V29" i="11"/>
  <c r="K45" i="11"/>
  <c r="K137" i="10"/>
  <c r="K117" i="11"/>
  <c r="K39" i="11"/>
  <c r="L36" i="11"/>
  <c r="L32" i="11"/>
  <c r="M124" i="10"/>
  <c r="K122" i="11"/>
  <c r="M118" i="11"/>
  <c r="M132" i="10"/>
  <c r="M135" i="10" s="1"/>
  <c r="M136" i="10" s="1"/>
  <c r="M38" i="11" s="1"/>
  <c r="N118" i="11"/>
  <c r="K39" i="21" l="1"/>
  <c r="J60" i="12"/>
  <c r="J56" i="12"/>
  <c r="J58" i="12" s="1"/>
  <c r="J64" i="12"/>
  <c r="N36" i="11"/>
  <c r="U36" i="11" s="1"/>
  <c r="M52" i="12"/>
  <c r="M54" i="12" s="1"/>
  <c r="M88" i="12"/>
  <c r="M90" i="12" s="1"/>
  <c r="N137" i="10"/>
  <c r="O18" i="15"/>
  <c r="O15" i="15"/>
  <c r="N44" i="11"/>
  <c r="N38" i="21"/>
  <c r="O16" i="15"/>
  <c r="M38" i="21"/>
  <c r="N16" i="15"/>
  <c r="N17" i="15" s="1"/>
  <c r="N19" i="15" s="1"/>
  <c r="N23" i="15" s="1"/>
  <c r="N29" i="15" s="1"/>
  <c r="N30" i="21"/>
  <c r="N47" i="11"/>
  <c r="L45" i="11"/>
  <c r="L36" i="21"/>
  <c r="N36" i="21"/>
  <c r="M44" i="11"/>
  <c r="M30" i="21"/>
  <c r="U30" i="11"/>
  <c r="V30" i="11"/>
  <c r="U38" i="11"/>
  <c r="V38" i="11"/>
  <c r="V36" i="11"/>
  <c r="K46" i="11"/>
  <c r="N39" i="11"/>
  <c r="N45" i="11"/>
  <c r="L137" i="10"/>
  <c r="N32" i="11"/>
  <c r="K144" i="10"/>
  <c r="K123" i="11"/>
  <c r="L39" i="11"/>
  <c r="L117" i="11"/>
  <c r="M32" i="11"/>
  <c r="M36" i="11"/>
  <c r="L122" i="11"/>
  <c r="K60" i="12" l="1"/>
  <c r="K56" i="12"/>
  <c r="K58" i="12" s="1"/>
  <c r="K64" i="12"/>
  <c r="N144" i="10"/>
  <c r="M64" i="12"/>
  <c r="M60" i="12"/>
  <c r="M56" i="12"/>
  <c r="M58" i="12" s="1"/>
  <c r="P38" i="11"/>
  <c r="Q38" i="11"/>
  <c r="O17" i="15"/>
  <c r="O19" i="15" s="1"/>
  <c r="O23" i="15" s="1"/>
  <c r="C21" i="20"/>
  <c r="C22" i="20" s="1"/>
  <c r="V39" i="11"/>
  <c r="N39" i="21"/>
  <c r="L46" i="11"/>
  <c r="L39" i="21"/>
  <c r="M45" i="11"/>
  <c r="M36" i="21"/>
  <c r="N46" i="11"/>
  <c r="U39" i="11"/>
  <c r="M137" i="10"/>
  <c r="N117" i="11"/>
  <c r="N122" i="11"/>
  <c r="K145" i="10"/>
  <c r="K135" i="11" s="1"/>
  <c r="K141" i="11" s="1"/>
  <c r="K145" i="11" s="1"/>
  <c r="M122" i="11"/>
  <c r="L123" i="11"/>
  <c r="L144" i="10"/>
  <c r="L145" i="10" s="1"/>
  <c r="L135" i="11" s="1"/>
  <c r="L141" i="11" s="1"/>
  <c r="M117" i="11"/>
  <c r="M39" i="11"/>
  <c r="L56" i="12" l="1"/>
  <c r="L58" i="12" s="1"/>
  <c r="L60" i="12"/>
  <c r="L64" i="12"/>
  <c r="R16" i="15"/>
  <c r="R17" i="15" s="1"/>
  <c r="R19" i="15" s="1"/>
  <c r="R23" i="15" s="1"/>
  <c r="R29" i="15" s="1"/>
  <c r="Q38" i="21"/>
  <c r="Q16" i="15"/>
  <c r="Q17" i="15" s="1"/>
  <c r="Q19" i="15" s="1"/>
  <c r="Q23" i="15" s="1"/>
  <c r="Q29" i="15" s="1"/>
  <c r="P38" i="21"/>
  <c r="P45" i="11"/>
  <c r="P122" i="11"/>
  <c r="P123" i="11" s="1"/>
  <c r="P39" i="11"/>
  <c r="Q45" i="11"/>
  <c r="Q122" i="11"/>
  <c r="Q123" i="11" s="1"/>
  <c r="Q39" i="11"/>
  <c r="O29" i="15"/>
  <c r="C36" i="15"/>
  <c r="C37" i="15" s="1"/>
  <c r="M46" i="11"/>
  <c r="M39" i="21"/>
  <c r="N123" i="11"/>
  <c r="K148" i="11"/>
  <c r="K67" i="11" s="1"/>
  <c r="L145" i="11"/>
  <c r="K146" i="10"/>
  <c r="L143" i="10" s="1"/>
  <c r="L146" i="10" s="1"/>
  <c r="M123" i="11"/>
  <c r="M144" i="10"/>
  <c r="M145" i="10" s="1"/>
  <c r="M135" i="11" s="1"/>
  <c r="M141" i="11" s="1"/>
  <c r="N145" i="10"/>
  <c r="N135" i="11" s="1"/>
  <c r="N141" i="11" s="1"/>
  <c r="C56" i="15" l="1"/>
  <c r="C57" i="15" s="1"/>
  <c r="C59" i="15" s="1"/>
  <c r="P144" i="10"/>
  <c r="P145" i="10" s="1"/>
  <c r="P135" i="11" s="1"/>
  <c r="P141" i="11" s="1"/>
  <c r="P145" i="11" s="1"/>
  <c r="O56" i="12"/>
  <c r="O58" i="12" s="1"/>
  <c r="O64" i="12"/>
  <c r="O60" i="12"/>
  <c r="P39" i="21"/>
  <c r="Q144" i="10"/>
  <c r="Q145" i="10" s="1"/>
  <c r="Q39" i="21"/>
  <c r="P56" i="12"/>
  <c r="P58" i="12" s="1"/>
  <c r="P64" i="12"/>
  <c r="P60" i="12"/>
  <c r="C38" i="15"/>
  <c r="C39" i="15" s="1"/>
  <c r="Q46" i="11"/>
  <c r="Q135" i="11"/>
  <c r="Q141" i="11" s="1"/>
  <c r="Q145" i="11" s="1"/>
  <c r="P46" i="11"/>
  <c r="N145" i="11"/>
  <c r="J743" i="5"/>
  <c r="J756" i="5" s="1"/>
  <c r="L147" i="11"/>
  <c r="L148" i="11" s="1"/>
  <c r="L67" i="11" s="1"/>
  <c r="K81" i="11"/>
  <c r="M145" i="11"/>
  <c r="K72" i="11"/>
  <c r="M143" i="10"/>
  <c r="M146" i="10" s="1"/>
  <c r="N143" i="10" s="1"/>
  <c r="L81" i="11"/>
  <c r="J13" i="12" l="1"/>
  <c r="J15" i="12" s="1"/>
  <c r="J17" i="12"/>
  <c r="J21" i="12" s="1"/>
  <c r="C41" i="15"/>
  <c r="C46" i="15"/>
  <c r="C40" i="15"/>
  <c r="C58" i="15"/>
  <c r="J746" i="5"/>
  <c r="L82" i="11"/>
  <c r="K110" i="11"/>
  <c r="K743" i="5"/>
  <c r="K82" i="11"/>
  <c r="M147" i="11"/>
  <c r="M148" i="11" s="1"/>
  <c r="M67" i="11" s="1"/>
  <c r="L72" i="11"/>
  <c r="N146" i="10"/>
  <c r="O143" i="10" s="1"/>
  <c r="O146" i="10" s="1"/>
  <c r="P143" i="10" s="1"/>
  <c r="P146" i="10" s="1"/>
  <c r="Q143" i="10" s="1"/>
  <c r="Q146" i="10" s="1"/>
  <c r="R143" i="10" s="1"/>
  <c r="R146" i="10" s="1"/>
  <c r="S143" i="10" s="1"/>
  <c r="S146" i="10" s="1"/>
  <c r="M81" i="11"/>
  <c r="C61" i="15"/>
  <c r="C64" i="15" s="1"/>
  <c r="K17" i="12" l="1"/>
  <c r="K21" i="12" s="1"/>
  <c r="K13" i="12"/>
  <c r="K15" i="12" s="1"/>
  <c r="N81" i="11"/>
  <c r="N82" i="11" s="1"/>
  <c r="K746" i="5"/>
  <c r="K756" i="5"/>
  <c r="M82" i="11"/>
  <c r="L110" i="11"/>
  <c r="K84" i="11"/>
  <c r="L743" i="5"/>
  <c r="L756" i="5" s="1"/>
  <c r="L84" i="11"/>
  <c r="N147" i="11"/>
  <c r="N148" i="11" s="1"/>
  <c r="M72" i="11"/>
  <c r="K38" i="12" l="1"/>
  <c r="K31" i="12"/>
  <c r="K32" i="12" s="1"/>
  <c r="K65" i="12"/>
  <c r="K66" i="12" s="1"/>
  <c r="J65" i="12"/>
  <c r="J66" i="12" s="1"/>
  <c r="J31" i="12"/>
  <c r="J32" i="12" s="1"/>
  <c r="J38" i="12"/>
  <c r="L17" i="12"/>
  <c r="L21" i="12" s="1"/>
  <c r="L13" i="12"/>
  <c r="L15" i="12" s="1"/>
  <c r="N67" i="11"/>
  <c r="M743" i="5" s="1"/>
  <c r="O147" i="11"/>
  <c r="O148" i="11" s="1"/>
  <c r="O81" i="11"/>
  <c r="L746" i="5"/>
  <c r="L108" i="11"/>
  <c r="L83" i="21" s="1"/>
  <c r="N84" i="11"/>
  <c r="K108" i="11"/>
  <c r="M110" i="11"/>
  <c r="M84" i="11"/>
  <c r="L38" i="12" l="1"/>
  <c r="L65" i="12"/>
  <c r="L66" i="12" s="1"/>
  <c r="L31" i="12"/>
  <c r="L32" i="12" s="1"/>
  <c r="M65" i="12"/>
  <c r="M66" i="12" s="1"/>
  <c r="M31" i="12"/>
  <c r="M32" i="12" s="1"/>
  <c r="M38" i="12"/>
  <c r="O82" i="11"/>
  <c r="N72" i="11"/>
  <c r="P81" i="11"/>
  <c r="O67" i="11"/>
  <c r="P147" i="11"/>
  <c r="P148" i="11" s="1"/>
  <c r="M746" i="5"/>
  <c r="M756" i="5"/>
  <c r="K82" i="21"/>
  <c r="K79" i="21"/>
  <c r="K91" i="21"/>
  <c r="K88" i="21"/>
  <c r="K90" i="21"/>
  <c r="K107" i="21"/>
  <c r="K92" i="21"/>
  <c r="K89" i="21"/>
  <c r="K100" i="21"/>
  <c r="K99" i="21"/>
  <c r="K102" i="21"/>
  <c r="K103" i="21"/>
  <c r="K101" i="21"/>
  <c r="K104" i="21"/>
  <c r="K87" i="21"/>
  <c r="K93" i="21"/>
  <c r="K97" i="21"/>
  <c r="K98" i="21"/>
  <c r="K105" i="21"/>
  <c r="K80" i="21"/>
  <c r="K81" i="21"/>
  <c r="M108" i="11"/>
  <c r="M83" i="21" s="1"/>
  <c r="K83" i="21"/>
  <c r="N108" i="11"/>
  <c r="N83" i="21" s="1"/>
  <c r="L79" i="21"/>
  <c r="L92" i="21"/>
  <c r="L90" i="21"/>
  <c r="L82" i="21"/>
  <c r="L107" i="21"/>
  <c r="L91" i="21"/>
  <c r="L88" i="21"/>
  <c r="L89" i="21"/>
  <c r="L99" i="21"/>
  <c r="L101" i="21"/>
  <c r="L103" i="21"/>
  <c r="L104" i="21"/>
  <c r="L100" i="21"/>
  <c r="L102" i="21"/>
  <c r="L87" i="21"/>
  <c r="L93" i="21"/>
  <c r="L97" i="21"/>
  <c r="L98" i="21"/>
  <c r="L105" i="21"/>
  <c r="L80" i="21"/>
  <c r="L81" i="21"/>
  <c r="P82" i="11" l="1"/>
  <c r="O84" i="11"/>
  <c r="O72" i="11"/>
  <c r="M17" i="12"/>
  <c r="M21" i="12" s="1"/>
  <c r="M13" i="12"/>
  <c r="M15" i="12" s="1"/>
  <c r="N110" i="11"/>
  <c r="P67" i="11"/>
  <c r="Q147" i="11"/>
  <c r="Q148" i="11" s="1"/>
  <c r="Q81" i="11"/>
  <c r="O110" i="11"/>
  <c r="N107" i="21"/>
  <c r="N88" i="21"/>
  <c r="N82" i="21"/>
  <c r="N92" i="21"/>
  <c r="N89" i="21"/>
  <c r="N91" i="21"/>
  <c r="N79" i="21"/>
  <c r="N90" i="21"/>
  <c r="N104" i="21"/>
  <c r="N103" i="21"/>
  <c r="N101" i="21"/>
  <c r="N100" i="21"/>
  <c r="N99" i="21"/>
  <c r="N102" i="21"/>
  <c r="N87" i="21"/>
  <c r="N93" i="21"/>
  <c r="N98" i="21"/>
  <c r="N97" i="21"/>
  <c r="N105" i="21"/>
  <c r="N80" i="21"/>
  <c r="N81" i="21"/>
  <c r="M90" i="21"/>
  <c r="M91" i="21"/>
  <c r="M88" i="21"/>
  <c r="M82" i="21"/>
  <c r="M89" i="21"/>
  <c r="M107" i="21"/>
  <c r="M79" i="21"/>
  <c r="M92" i="21"/>
  <c r="M101" i="21"/>
  <c r="M99" i="21"/>
  <c r="M100" i="21"/>
  <c r="M104" i="21"/>
  <c r="M102" i="21"/>
  <c r="M103" i="21"/>
  <c r="M87" i="21"/>
  <c r="M93" i="21"/>
  <c r="M97" i="21"/>
  <c r="M98" i="21"/>
  <c r="M105" i="21"/>
  <c r="M80" i="21"/>
  <c r="M81" i="21"/>
  <c r="K111" i="10"/>
  <c r="K114" i="10" s="1"/>
  <c r="L53" i="10"/>
  <c r="L56" i="10" s="1"/>
  <c r="M53" i="10" s="1"/>
  <c r="M56" i="10" s="1"/>
  <c r="N53" i="10" s="1"/>
  <c r="N56" i="10" s="1"/>
  <c r="K57" i="10"/>
  <c r="K54" i="11"/>
  <c r="Q82" i="11" l="1"/>
  <c r="O108" i="11"/>
  <c r="O83" i="21"/>
  <c r="N38" i="12"/>
  <c r="N65" i="12"/>
  <c r="N66" i="12" s="1"/>
  <c r="N31" i="12"/>
  <c r="N32" i="12" s="1"/>
  <c r="P84" i="11"/>
  <c r="P72" i="11"/>
  <c r="P110" i="11" s="1"/>
  <c r="N13" i="12"/>
  <c r="N15" i="12" s="1"/>
  <c r="N17" i="12"/>
  <c r="N21" i="12" s="1"/>
  <c r="S81" i="11"/>
  <c r="R81" i="11"/>
  <c r="Q67" i="11"/>
  <c r="R147" i="11"/>
  <c r="R148" i="11" s="1"/>
  <c r="O53" i="10"/>
  <c r="O56" i="10" s="1"/>
  <c r="O54" i="11" s="1"/>
  <c r="O64" i="11" s="1"/>
  <c r="O74" i="11" s="1"/>
  <c r="N57" i="10"/>
  <c r="N111" i="10"/>
  <c r="N114" i="10" s="1"/>
  <c r="L54" i="11"/>
  <c r="L64" i="11" s="1"/>
  <c r="L57" i="10"/>
  <c r="L111" i="10"/>
  <c r="L114" i="10" s="1"/>
  <c r="M54" i="11"/>
  <c r="M64" i="11" s="1"/>
  <c r="K64" i="11"/>
  <c r="M111" i="10"/>
  <c r="M114" i="10" s="1"/>
  <c r="M57" i="10"/>
  <c r="R82" i="11" l="1"/>
  <c r="O104" i="21"/>
  <c r="O82" i="21"/>
  <c r="O100" i="21"/>
  <c r="O102" i="21"/>
  <c r="O98" i="21"/>
  <c r="O88" i="21"/>
  <c r="O91" i="21"/>
  <c r="O97" i="21"/>
  <c r="O105" i="21"/>
  <c r="O101" i="21"/>
  <c r="O103" i="21"/>
  <c r="O107" i="21"/>
  <c r="O87" i="21"/>
  <c r="O90" i="21"/>
  <c r="O93" i="21"/>
  <c r="O99" i="21"/>
  <c r="O89" i="21"/>
  <c r="O92" i="21"/>
  <c r="O79" i="21"/>
  <c r="O80" i="21"/>
  <c r="O81" i="21"/>
  <c r="S82" i="11"/>
  <c r="P108" i="11"/>
  <c r="O38" i="12"/>
  <c r="O65" i="12"/>
  <c r="O66" i="12" s="1"/>
  <c r="P83" i="21"/>
  <c r="O31" i="12"/>
  <c r="O32" i="12" s="1"/>
  <c r="Q84" i="11"/>
  <c r="Q72" i="11"/>
  <c r="Q110" i="11" s="1"/>
  <c r="O58" i="21"/>
  <c r="N39" i="12"/>
  <c r="N40" i="12" s="1"/>
  <c r="O61" i="21"/>
  <c r="O73" i="21"/>
  <c r="O54" i="21"/>
  <c r="O59" i="21"/>
  <c r="O62" i="21"/>
  <c r="O67" i="21"/>
  <c r="O69" i="21"/>
  <c r="O156" i="11"/>
  <c r="O56" i="21"/>
  <c r="O57" i="21"/>
  <c r="O63" i="21"/>
  <c r="O53" i="21"/>
  <c r="N35" i="12"/>
  <c r="N36" i="12" s="1"/>
  <c r="O60" i="21"/>
  <c r="O68" i="21"/>
  <c r="N61" i="12"/>
  <c r="N62" i="12" s="1"/>
  <c r="N71" i="12"/>
  <c r="N72" i="12" s="1"/>
  <c r="O70" i="21"/>
  <c r="O55" i="21"/>
  <c r="O66" i="21"/>
  <c r="O71" i="21"/>
  <c r="O13" i="12"/>
  <c r="O15" i="12" s="1"/>
  <c r="O17" i="12"/>
  <c r="O21" i="12" s="1"/>
  <c r="R67" i="11"/>
  <c r="S147" i="11"/>
  <c r="S148" i="11" s="1"/>
  <c r="S67" i="11" s="1"/>
  <c r="O57" i="10"/>
  <c r="P53" i="10"/>
  <c r="P56" i="10" s="1"/>
  <c r="P54" i="11" s="1"/>
  <c r="P64" i="11" s="1"/>
  <c r="P74" i="11" s="1"/>
  <c r="P71" i="21" s="1"/>
  <c r="O111" i="10"/>
  <c r="O114" i="10" s="1"/>
  <c r="N54" i="11"/>
  <c r="N64" i="11" s="1"/>
  <c r="N74" i="11" s="1"/>
  <c r="N75" i="12" s="1"/>
  <c r="N76" i="12" s="1"/>
  <c r="M74" i="11"/>
  <c r="K74" i="11"/>
  <c r="L74" i="11"/>
  <c r="Q108" i="11" l="1"/>
  <c r="P31" i="12"/>
  <c r="P32" i="12" s="1"/>
  <c r="P65" i="12"/>
  <c r="P66" i="12" s="1"/>
  <c r="Q83" i="21"/>
  <c r="P38" i="12"/>
  <c r="P104" i="21"/>
  <c r="P88" i="21"/>
  <c r="P97" i="21"/>
  <c r="P100" i="21"/>
  <c r="P99" i="21"/>
  <c r="P102" i="21"/>
  <c r="P91" i="21"/>
  <c r="P103" i="21"/>
  <c r="P105" i="21"/>
  <c r="P89" i="21"/>
  <c r="P92" i="21"/>
  <c r="P101" i="21"/>
  <c r="P79" i="21"/>
  <c r="P82" i="21"/>
  <c r="P107" i="21"/>
  <c r="P87" i="21"/>
  <c r="P90" i="21"/>
  <c r="P93" i="21"/>
  <c r="P98" i="21"/>
  <c r="P80" i="21"/>
  <c r="P81" i="21"/>
  <c r="S84" i="11"/>
  <c r="R84" i="11"/>
  <c r="K75" i="12"/>
  <c r="K76" i="12" s="1"/>
  <c r="K71" i="12"/>
  <c r="K72" i="12" s="1"/>
  <c r="K35" i="12"/>
  <c r="K36" i="12" s="1"/>
  <c r="L156" i="11"/>
  <c r="K39" i="12"/>
  <c r="K40" i="12" s="1"/>
  <c r="K61" i="12"/>
  <c r="K62" i="12" s="1"/>
  <c r="S72" i="11"/>
  <c r="S110" i="11" s="1"/>
  <c r="J35" i="12"/>
  <c r="J36" i="12" s="1"/>
  <c r="J61" i="12"/>
  <c r="J62" i="12" s="1"/>
  <c r="J71" i="12"/>
  <c r="J72" i="12" s="1"/>
  <c r="K156" i="11"/>
  <c r="J39" i="12"/>
  <c r="J40" i="12" s="1"/>
  <c r="J75" i="12"/>
  <c r="J76" i="12" s="1"/>
  <c r="R72" i="11"/>
  <c r="R110" i="11" s="1"/>
  <c r="L75" i="12"/>
  <c r="L76" i="12" s="1"/>
  <c r="L61" i="12"/>
  <c r="L62" i="12" s="1"/>
  <c r="M156" i="11"/>
  <c r="L39" i="12"/>
  <c r="L40" i="12" s="1"/>
  <c r="L71" i="12"/>
  <c r="L72" i="12" s="1"/>
  <c r="L35" i="12"/>
  <c r="L36" i="12" s="1"/>
  <c r="P61" i="21"/>
  <c r="P56" i="21"/>
  <c r="P69" i="21"/>
  <c r="P156" i="11"/>
  <c r="P73" i="21"/>
  <c r="P54" i="21"/>
  <c r="P57" i="21"/>
  <c r="O35" i="12"/>
  <c r="O36" i="12" s="1"/>
  <c r="O71" i="12"/>
  <c r="O72" i="12" s="1"/>
  <c r="P58" i="21"/>
  <c r="P60" i="21"/>
  <c r="P68" i="21"/>
  <c r="O61" i="12"/>
  <c r="O62" i="12" s="1"/>
  <c r="P53" i="21"/>
  <c r="P59" i="21"/>
  <c r="O39" i="12"/>
  <c r="O40" i="12" s="1"/>
  <c r="P63" i="21"/>
  <c r="P62" i="21"/>
  <c r="P67" i="21"/>
  <c r="O75" i="12"/>
  <c r="O76" i="12" s="1"/>
  <c r="P70" i="21"/>
  <c r="P55" i="21"/>
  <c r="P66" i="21"/>
  <c r="M35" i="12"/>
  <c r="M36" i="12" s="1"/>
  <c r="M75" i="12"/>
  <c r="M76" i="12" s="1"/>
  <c r="N156" i="11"/>
  <c r="M39" i="12"/>
  <c r="M40" i="12" s="1"/>
  <c r="M71" i="12"/>
  <c r="M72" i="12" s="1"/>
  <c r="M61" i="12"/>
  <c r="M62" i="12" s="1"/>
  <c r="P13" i="12"/>
  <c r="P15" i="12" s="1"/>
  <c r="P17" i="12"/>
  <c r="P21" i="12" s="1"/>
  <c r="J748" i="5"/>
  <c r="J750" i="5" s="1"/>
  <c r="L63" i="21"/>
  <c r="L748" i="5"/>
  <c r="L750" i="5" s="1"/>
  <c r="P111" i="10"/>
  <c r="P114" i="10" s="1"/>
  <c r="P57" i="10"/>
  <c r="Q53" i="10"/>
  <c r="Q56" i="10" s="1"/>
  <c r="Q54" i="11" s="1"/>
  <c r="Q64" i="11" s="1"/>
  <c r="Q74" i="11" s="1"/>
  <c r="Q71" i="21" s="1"/>
  <c r="M63" i="21"/>
  <c r="M53" i="21"/>
  <c r="K63" i="21"/>
  <c r="L55" i="21"/>
  <c r="L73" i="21"/>
  <c r="L67" i="21"/>
  <c r="L60" i="21"/>
  <c r="L62" i="21"/>
  <c r="L56" i="21"/>
  <c r="L54" i="21"/>
  <c r="L61" i="21"/>
  <c r="L59" i="21"/>
  <c r="L57" i="21"/>
  <c r="L58" i="21"/>
  <c r="L70" i="21"/>
  <c r="L68" i="21"/>
  <c r="L69" i="21"/>
  <c r="L66" i="21"/>
  <c r="L71" i="21"/>
  <c r="L53" i="21"/>
  <c r="K748" i="5"/>
  <c r="K750" i="5" s="1"/>
  <c r="K73" i="21"/>
  <c r="K55" i="21"/>
  <c r="K67" i="21"/>
  <c r="K60" i="21"/>
  <c r="K62" i="21"/>
  <c r="K56" i="21"/>
  <c r="K61" i="21"/>
  <c r="K54" i="21"/>
  <c r="K57" i="21"/>
  <c r="K59" i="21"/>
  <c r="K58" i="21"/>
  <c r="K70" i="21"/>
  <c r="K68" i="21"/>
  <c r="K69" i="21"/>
  <c r="K66" i="21"/>
  <c r="K71" i="21"/>
  <c r="K53" i="21"/>
  <c r="M73" i="21"/>
  <c r="M55" i="21"/>
  <c r="M67" i="21"/>
  <c r="M60" i="21"/>
  <c r="M62" i="21"/>
  <c r="M54" i="21"/>
  <c r="M56" i="21"/>
  <c r="M61" i="21"/>
  <c r="M59" i="21"/>
  <c r="M57" i="21"/>
  <c r="M58" i="21"/>
  <c r="M70" i="21"/>
  <c r="M68" i="21"/>
  <c r="M69" i="21"/>
  <c r="M66" i="21"/>
  <c r="M71" i="21"/>
  <c r="N73" i="21"/>
  <c r="N55" i="21"/>
  <c r="N67" i="21"/>
  <c r="N54" i="21"/>
  <c r="N60" i="21"/>
  <c r="N62" i="21"/>
  <c r="N61" i="21"/>
  <c r="N56" i="21"/>
  <c r="N57" i="21"/>
  <c r="N59" i="21"/>
  <c r="N58" i="21"/>
  <c r="N68" i="21"/>
  <c r="N70" i="21"/>
  <c r="N69" i="21"/>
  <c r="N66" i="21"/>
  <c r="N71" i="21"/>
  <c r="N53" i="21"/>
  <c r="N63" i="21"/>
  <c r="M748" i="5"/>
  <c r="M750" i="5" s="1"/>
  <c r="R108" i="11" l="1"/>
  <c r="R83" i="21"/>
  <c r="Q31" i="12"/>
  <c r="Q32" i="12" s="1"/>
  <c r="Q38" i="12"/>
  <c r="Q65" i="12"/>
  <c r="Q66" i="12" s="1"/>
  <c r="S108" i="11"/>
  <c r="R31" i="12"/>
  <c r="R32" i="12" s="1"/>
  <c r="R38" i="12"/>
  <c r="S83" i="21"/>
  <c r="R65" i="12"/>
  <c r="R66" i="12" s="1"/>
  <c r="Q88" i="21"/>
  <c r="Q91" i="21"/>
  <c r="Q107" i="21"/>
  <c r="Q87" i="21"/>
  <c r="Q98" i="21"/>
  <c r="Q82" i="21"/>
  <c r="Q97" i="21"/>
  <c r="Q100" i="21"/>
  <c r="Q103" i="21"/>
  <c r="Q102" i="21"/>
  <c r="Q105" i="21"/>
  <c r="Q92" i="21"/>
  <c r="Q101" i="21"/>
  <c r="Q90" i="21"/>
  <c r="Q93" i="21"/>
  <c r="Q99" i="21"/>
  <c r="Q89" i="21"/>
  <c r="Q79" i="21"/>
  <c r="Q104" i="21"/>
  <c r="Q80" i="21"/>
  <c r="Q81" i="21"/>
  <c r="R13" i="12"/>
  <c r="R15" i="12" s="1"/>
  <c r="R17" i="12"/>
  <c r="R21" i="12" s="1"/>
  <c r="Q17" i="12"/>
  <c r="Q21" i="12" s="1"/>
  <c r="Q13" i="12"/>
  <c r="Q15" i="12" s="1"/>
  <c r="Q69" i="21"/>
  <c r="Q60" i="21"/>
  <c r="P71" i="12"/>
  <c r="P72" i="12" s="1"/>
  <c r="Q62" i="21"/>
  <c r="P39" i="12"/>
  <c r="P40" i="12" s="1"/>
  <c r="Q61" i="21"/>
  <c r="Q156" i="11"/>
  <c r="Q73" i="21"/>
  <c r="Q54" i="21"/>
  <c r="Q57" i="21"/>
  <c r="Q67" i="21"/>
  <c r="P75" i="12"/>
  <c r="P76" i="12" s="1"/>
  <c r="Q70" i="21"/>
  <c r="Q58" i="21"/>
  <c r="Q63" i="21"/>
  <c r="P35" i="12"/>
  <c r="P36" i="12" s="1"/>
  <c r="Q68" i="21"/>
  <c r="P61" i="12"/>
  <c r="P62" i="12" s="1"/>
  <c r="Q53" i="21"/>
  <c r="Q56" i="21"/>
  <c r="Q59" i="21"/>
  <c r="Q55" i="21"/>
  <c r="Q66" i="21"/>
  <c r="Q111" i="10"/>
  <c r="Q114" i="10" s="1"/>
  <c r="R53" i="10"/>
  <c r="R56" i="10" s="1"/>
  <c r="R54" i="11" s="1"/>
  <c r="R64" i="11" s="1"/>
  <c r="R74" i="11" s="1"/>
  <c r="Q57" i="10"/>
  <c r="S100" i="21" l="1"/>
  <c r="S87" i="21"/>
  <c r="S90" i="21"/>
  <c r="S93" i="21"/>
  <c r="S101" i="21"/>
  <c r="S82" i="21"/>
  <c r="S88" i="21"/>
  <c r="S91" i="21"/>
  <c r="S103" i="21"/>
  <c r="S107" i="21"/>
  <c r="S79" i="21"/>
  <c r="S104" i="21"/>
  <c r="S99" i="21"/>
  <c r="S102" i="21"/>
  <c r="S105" i="21"/>
  <c r="S89" i="21"/>
  <c r="S92" i="21"/>
  <c r="S98" i="21"/>
  <c r="S97" i="21"/>
  <c r="S80" i="21"/>
  <c r="S81" i="21"/>
  <c r="R97" i="21"/>
  <c r="R103" i="21"/>
  <c r="R107" i="21"/>
  <c r="R90" i="21"/>
  <c r="R89" i="21"/>
  <c r="R92" i="21"/>
  <c r="R104" i="21"/>
  <c r="R91" i="21"/>
  <c r="R100" i="21"/>
  <c r="R87" i="21"/>
  <c r="R79" i="21"/>
  <c r="R82" i="21"/>
  <c r="R93" i="21"/>
  <c r="R99" i="21"/>
  <c r="R102" i="21"/>
  <c r="R105" i="21"/>
  <c r="R98" i="21"/>
  <c r="R101" i="21"/>
  <c r="R88" i="21"/>
  <c r="R80" i="21"/>
  <c r="R81" i="21"/>
  <c r="R69" i="21"/>
  <c r="R156" i="11"/>
  <c r="R73" i="21"/>
  <c r="R54" i="21"/>
  <c r="R63" i="21"/>
  <c r="Q39" i="12"/>
  <c r="Q40" i="12" s="1"/>
  <c r="R61" i="21"/>
  <c r="R57" i="21"/>
  <c r="R60" i="21"/>
  <c r="R62" i="21"/>
  <c r="R55" i="21"/>
  <c r="R68" i="21"/>
  <c r="Q61" i="12"/>
  <c r="Q62" i="12" s="1"/>
  <c r="R56" i="21"/>
  <c r="R59" i="21"/>
  <c r="Q71" i="12"/>
  <c r="Q72" i="12" s="1"/>
  <c r="R70" i="21"/>
  <c r="R58" i="21"/>
  <c r="R53" i="21"/>
  <c r="Q35" i="12"/>
  <c r="Q36" i="12" s="1"/>
  <c r="R67" i="21"/>
  <c r="Q75" i="12"/>
  <c r="Q76" i="12" s="1"/>
  <c r="R66" i="21"/>
  <c r="R71" i="21"/>
  <c r="S53" i="10"/>
  <c r="S56" i="10" s="1"/>
  <c r="S54" i="11" s="1"/>
  <c r="S64" i="11" s="1"/>
  <c r="S74" i="11" s="1"/>
  <c r="R57" i="10"/>
  <c r="R111" i="10"/>
  <c r="R114" i="10" s="1"/>
  <c r="S156" i="11" l="1"/>
  <c r="S73" i="21"/>
  <c r="S54" i="21"/>
  <c r="S57" i="21"/>
  <c r="R39" i="12"/>
  <c r="R40" i="12" s="1"/>
  <c r="S60" i="21"/>
  <c r="S63" i="21"/>
  <c r="S68" i="21"/>
  <c r="R61" i="12"/>
  <c r="R62" i="12" s="1"/>
  <c r="S70" i="21"/>
  <c r="S61" i="21"/>
  <c r="S53" i="21"/>
  <c r="S62" i="21"/>
  <c r="S55" i="21"/>
  <c r="S58" i="21"/>
  <c r="S56" i="21"/>
  <c r="R35" i="12"/>
  <c r="R36" i="12" s="1"/>
  <c r="S59" i="21"/>
  <c r="R71" i="12"/>
  <c r="R72" i="12" s="1"/>
  <c r="S67" i="21"/>
  <c r="R75" i="12"/>
  <c r="R76" i="12" s="1"/>
  <c r="S69" i="21"/>
  <c r="S66" i="21"/>
  <c r="S71" i="21"/>
  <c r="S57" i="10"/>
  <c r="S111" i="10"/>
  <c r="S114" i="10" s="1"/>
  <c r="C47" i="15"/>
  <c r="C48" i="15"/>
  <c r="C65" i="15"/>
  <c r="C66" i="15"/>
  <c r="D72" i="15"/>
  <c r="D84" i="15"/>
  <c r="D16" i="25"/>
  <c r="C21" i="25"/>
  <c r="C22" i="25"/>
  <c r="C24" i="25"/>
  <c r="C25" i="25"/>
  <c r="D27" i="25"/>
  <c r="E28"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Ajay Rawat</author>
  </authors>
  <commentList>
    <comment ref="C9" authorId="0" shapeId="0" xr:uid="{38CC2A2B-616B-4895-AF14-2880E47649BE}">
      <text>
        <r>
          <rPr>
            <sz val="9"/>
            <color indexed="81"/>
            <rFont val="Tahoma"/>
            <family val="2"/>
          </rPr>
          <t xml:space="preserve">Taken From Trading Economics
</t>
        </r>
      </text>
    </comment>
    <comment ref="C12" authorId="0" shapeId="0" xr:uid="{1E46F0A6-196E-42CD-A612-8EF7395CCA17}">
      <text>
        <r>
          <rPr>
            <sz val="9"/>
            <color indexed="81"/>
            <rFont val="Tahoma"/>
            <family val="2"/>
          </rPr>
          <t>Taken from Dr Damodaran's Website -1st November 2025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Ajay Rawat</author>
  </authors>
  <commentList>
    <comment ref="B297" authorId="0" shapeId="0" xr:uid="{2AC46A29-570B-40A2-B3CF-4577BC2B1BCC}">
      <text>
        <r>
          <rPr>
            <sz val="9"/>
            <color indexed="81"/>
            <rFont val="Tahoma"/>
            <family val="2"/>
          </rPr>
          <t>They are take all as a % Revenue not COGS</t>
        </r>
      </text>
    </comment>
    <comment ref="B451" authorId="0" shapeId="0" xr:uid="{EDE99B0C-73FE-42E8-BF0E-87E874C1EA5B}">
      <text>
        <r>
          <rPr>
            <b/>
            <sz val="9"/>
            <color indexed="81"/>
            <rFont val="Tahoma"/>
            <family val="2"/>
          </rPr>
          <t>Ajay Rawat:</t>
        </r>
        <r>
          <rPr>
            <sz val="9"/>
            <color indexed="81"/>
            <rFont val="Tahoma"/>
            <family val="2"/>
          </rPr>
          <t xml:space="preserve">
Reinvestment Ratio 
It means if company is putting 1 rs in capex how revenue is increasing </t>
        </r>
      </text>
    </comment>
    <comment ref="I468" authorId="0" shapeId="0" xr:uid="{19479C29-CDC8-46B1-8CB8-BC4EA197C255}">
      <text>
        <r>
          <rPr>
            <b/>
            <sz val="9"/>
            <color indexed="81"/>
            <rFont val="Tahoma"/>
            <family val="2"/>
          </rPr>
          <t>Ajay Rawat:</t>
        </r>
        <r>
          <rPr>
            <sz val="9"/>
            <color indexed="81"/>
            <rFont val="Tahoma"/>
            <family val="2"/>
          </rPr>
          <t xml:space="preserve">
Land should be excluded from the gross amt but it is 2% you can ignore it </t>
        </r>
      </text>
    </comment>
    <comment ref="I474" authorId="0" shapeId="0" xr:uid="{CC91AB19-5C4F-49D1-9809-EBE3FDC0B38D}">
      <text>
        <r>
          <rPr>
            <b/>
            <sz val="9"/>
            <color indexed="81"/>
            <rFont val="Tahoma"/>
            <family val="2"/>
          </rPr>
          <t>Ajay Rawat:</t>
        </r>
        <r>
          <rPr>
            <sz val="9"/>
            <color indexed="81"/>
            <rFont val="Tahoma"/>
            <family val="2"/>
          </rPr>
          <t xml:space="preserve">
96% of Intangle asset is not amortizable 910
1767- Goodwill -857 &amp; Intangible of 946</t>
        </r>
      </text>
    </comment>
    <comment ref="B567" authorId="0" shapeId="0" xr:uid="{5B71F315-72BE-47F1-A764-75B3DCBAB426}">
      <text>
        <r>
          <rPr>
            <b/>
            <sz val="9"/>
            <color indexed="81"/>
            <rFont val="Tahoma"/>
            <family val="2"/>
          </rPr>
          <t>Ajay Rawat:</t>
        </r>
        <r>
          <rPr>
            <sz val="9"/>
            <color indexed="81"/>
            <rFont val="Tahoma"/>
            <family val="2"/>
          </rPr>
          <t xml:space="preserve">
The Amt has been taken of Trademarks and copyrights which is not amortisable</t>
        </r>
      </text>
    </comment>
    <comment ref="B568" authorId="0" shapeId="0" xr:uid="{F4D1E5B8-C91C-4AC6-B36F-7240D5C8D112}">
      <text>
        <r>
          <rPr>
            <b/>
            <sz val="9"/>
            <color indexed="81"/>
            <rFont val="Tahoma"/>
            <family val="2"/>
          </rPr>
          <t>Ajay Rawat:</t>
        </r>
        <r>
          <rPr>
            <sz val="9"/>
            <color indexed="81"/>
            <rFont val="Tahoma"/>
            <family val="2"/>
          </rPr>
          <t xml:space="preserve">
This are those that can dep &amp; amort that why excl land &amp; Goodwill</t>
        </r>
      </text>
    </comment>
    <comment ref="B574" authorId="0" shapeId="0" xr:uid="{A6934676-247D-4216-ADB5-67CFE47F743B}">
      <text>
        <r>
          <rPr>
            <b/>
            <sz val="9"/>
            <color indexed="81"/>
            <rFont val="Tahoma"/>
            <family val="2"/>
          </rPr>
          <t>Ajay Rawat:</t>
        </r>
        <r>
          <rPr>
            <sz val="9"/>
            <color indexed="81"/>
            <rFont val="Tahoma"/>
            <family val="2"/>
          </rPr>
          <t xml:space="preserve">
Gross Block / Dep</t>
        </r>
      </text>
    </comment>
    <comment ref="B578" authorId="0" shapeId="0" xr:uid="{ECA0019D-FEE8-40A8-8F35-AC2B7F90CDF1}">
      <text>
        <r>
          <rPr>
            <sz val="9"/>
            <color indexed="81"/>
            <rFont val="Tahoma"/>
            <family val="2"/>
          </rPr>
          <t xml:space="preserve">Logic is that: The more the Capex the more/less dep.
</t>
        </r>
      </text>
    </comment>
    <comment ref="B582" authorId="0" shapeId="0" xr:uid="{9432EE1F-E408-4199-BE18-24EA910A1F86}">
      <text>
        <r>
          <rPr>
            <sz val="9"/>
            <color indexed="81"/>
            <rFont val="Tahoma"/>
            <family val="2"/>
          </rPr>
          <t xml:space="preserve">Logic of it: How much sale will there any how much depreciation will be there in machinery (Wear and tear)
</t>
        </r>
      </text>
    </comment>
    <comment ref="B752" authorId="0" shapeId="0" xr:uid="{EABEF7D6-6683-4633-863E-000629A0F26E}">
      <text>
        <r>
          <rPr>
            <sz val="9"/>
            <color indexed="81"/>
            <rFont val="Tahoma"/>
            <family val="2"/>
          </rPr>
          <t xml:space="preserve">Average of Cash % Revenue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Ajay Rawat</author>
  </authors>
  <commentList>
    <comment ref="I126" authorId="0" shapeId="0" xr:uid="{AF9A4D60-57D4-4966-9936-2BCAFE25AC33}">
      <text>
        <r>
          <rPr>
            <b/>
            <sz val="9"/>
            <color indexed="81"/>
            <rFont val="Tahoma"/>
            <family val="2"/>
          </rPr>
          <t>Ajay Rawat:</t>
        </r>
        <r>
          <rPr>
            <sz val="9"/>
            <color indexed="81"/>
            <rFont val="Tahoma"/>
            <family val="2"/>
          </rPr>
          <t xml:space="preserve">
Land should be excluded from the Gross amt but it is just 2% so ignoring </t>
        </r>
      </text>
    </comment>
  </commentList>
</comments>
</file>

<file path=xl/sharedStrings.xml><?xml version="1.0" encoding="utf-8"?>
<sst xmlns="http://schemas.openxmlformats.org/spreadsheetml/2006/main" count="2362" uniqueCount="1200">
  <si>
    <t>Less: Cost of Goods Sold</t>
  </si>
  <si>
    <t>Gross Profit</t>
  </si>
  <si>
    <t>Less: Taxes</t>
  </si>
  <si>
    <t>Net Income</t>
  </si>
  <si>
    <t>Assets</t>
  </si>
  <si>
    <t>Cash</t>
  </si>
  <si>
    <t>Inventory</t>
  </si>
  <si>
    <t>Debtors</t>
  </si>
  <si>
    <t>Prepaid Expenses</t>
  </si>
  <si>
    <t>Other Current Assets</t>
  </si>
  <si>
    <t>Total Current Assets</t>
  </si>
  <si>
    <t>Goodwill</t>
  </si>
  <si>
    <t>Total Assets</t>
  </si>
  <si>
    <t>Creditors</t>
  </si>
  <si>
    <t>Other Current Liabilities</t>
  </si>
  <si>
    <t>Total Current Liabilities</t>
  </si>
  <si>
    <t xml:space="preserve"> </t>
  </si>
  <si>
    <t>Control Sheet</t>
  </si>
  <si>
    <t xml:space="preserve">In INR crores unless started otherwise </t>
  </si>
  <si>
    <t>Actual</t>
  </si>
  <si>
    <t>Explicit Forecast Period</t>
  </si>
  <si>
    <t>#</t>
  </si>
  <si>
    <t>Management Case</t>
  </si>
  <si>
    <t>Best Case</t>
  </si>
  <si>
    <t>Down Case</t>
  </si>
  <si>
    <t>Current Case</t>
  </si>
  <si>
    <t>Total Sales</t>
  </si>
  <si>
    <t>COGS Schedules</t>
  </si>
  <si>
    <t xml:space="preserve">Selling, General and Administrative (SG&amp;A) Expenses </t>
  </si>
  <si>
    <t>SG&amp;A (Excluding Depreciation &amp; Interest Expenses) Schedules</t>
  </si>
  <si>
    <t>Total SG&amp;A % Sales</t>
  </si>
  <si>
    <t>Marginal Tax Rate</t>
  </si>
  <si>
    <t/>
  </si>
  <si>
    <t>Divident Payout %</t>
  </si>
  <si>
    <t>Non Current Asset Schedules</t>
  </si>
  <si>
    <t>Intangible Non Current Assets</t>
  </si>
  <si>
    <t>Depreciation Schedules</t>
  </si>
  <si>
    <t>Less: Depreciation</t>
  </si>
  <si>
    <t>Depreciation Waterfall Schedule</t>
  </si>
  <si>
    <t>Total Depreciation</t>
  </si>
  <si>
    <t>Total SG&amp;A (Excluding Depreciation &amp; Interest Expenses) Schedules</t>
  </si>
  <si>
    <t>Tax Expense Schedules</t>
  </si>
  <si>
    <t>Revenue</t>
  </si>
  <si>
    <t>Less: SG&amp;A Expenses</t>
  </si>
  <si>
    <t>Less: Depreciation &amp; Amortization</t>
  </si>
  <si>
    <t>Less: Interest Expenses</t>
  </si>
  <si>
    <t>Earning Before Tax</t>
  </si>
  <si>
    <t>Less: Tax Expenses</t>
  </si>
  <si>
    <t>Less: Dividend Paid</t>
  </si>
  <si>
    <t xml:space="preserve">Retained Earning - Ending of the Year </t>
  </si>
  <si>
    <t>Dividend Payout Rate %</t>
  </si>
  <si>
    <t>Working Capital Schedules</t>
  </si>
  <si>
    <t>COGS</t>
  </si>
  <si>
    <t>Inventory Days</t>
  </si>
  <si>
    <t>Creditors Day</t>
  </si>
  <si>
    <t>Loan Schedules</t>
  </si>
  <si>
    <t>Interest Schedules</t>
  </si>
  <si>
    <t>3 Statement Model</t>
  </si>
  <si>
    <t>Less: SG&amp;A Expenses (Excluding Depreciation &amp; Interest)</t>
  </si>
  <si>
    <t>EBITDA</t>
  </si>
  <si>
    <t>EBIT</t>
  </si>
  <si>
    <t>EBT</t>
  </si>
  <si>
    <t>5 Year</t>
  </si>
  <si>
    <t>3 Year</t>
  </si>
  <si>
    <t>CAGR</t>
  </si>
  <si>
    <t>Sales Growth %</t>
  </si>
  <si>
    <t>Gross Profit Margin %</t>
  </si>
  <si>
    <t>EBITDA Margin %</t>
  </si>
  <si>
    <t>EBIT Margin %</t>
  </si>
  <si>
    <t>Actual Tax Rate %</t>
  </si>
  <si>
    <t>Net Income Margin %</t>
  </si>
  <si>
    <t>Income Statement</t>
  </si>
  <si>
    <t>Balance Sheet</t>
  </si>
  <si>
    <t>Net Working Capital</t>
  </si>
  <si>
    <t>Debtors Days</t>
  </si>
  <si>
    <t xml:space="preserve">Inventory Days </t>
  </si>
  <si>
    <t xml:space="preserve">Cash Flow Statement </t>
  </si>
  <si>
    <t>Add: Depreciation</t>
  </si>
  <si>
    <t>Less: Change in Working Capital</t>
  </si>
  <si>
    <t>Cash Flow from Investing Activities</t>
  </si>
  <si>
    <t>Opening Cash Balance</t>
  </si>
  <si>
    <t xml:space="preserve">Closing Cash Balance </t>
  </si>
  <si>
    <t xml:space="preserve">Change In Working Capital </t>
  </si>
  <si>
    <t>Change in Inventory</t>
  </si>
  <si>
    <t>Change in Debtors</t>
  </si>
  <si>
    <t>Change in Other Current Assets</t>
  </si>
  <si>
    <t>Add: Interest Expenses</t>
  </si>
  <si>
    <t>Common Size Statement</t>
  </si>
  <si>
    <t>Ratio Analysis</t>
  </si>
  <si>
    <t>Liquidity Ratio</t>
  </si>
  <si>
    <t xml:space="preserve">Current Asset </t>
  </si>
  <si>
    <t xml:space="preserve">Current Liabilities </t>
  </si>
  <si>
    <t>Current Ratio</t>
  </si>
  <si>
    <t>Quick Ratio (Acid Test)</t>
  </si>
  <si>
    <t>Debtor Days</t>
  </si>
  <si>
    <t xml:space="preserve">Creditor Days </t>
  </si>
  <si>
    <t>Cash Conversion Days</t>
  </si>
  <si>
    <t>Leverage Ratio / Solvency Ratio</t>
  </si>
  <si>
    <t>Total Debt</t>
  </si>
  <si>
    <t xml:space="preserve">Total Equity </t>
  </si>
  <si>
    <t>Debt to Equity Ratio</t>
  </si>
  <si>
    <t xml:space="preserve">Total Debt </t>
  </si>
  <si>
    <t xml:space="preserve">Total Asset </t>
  </si>
  <si>
    <t>Debt to Asset Ratio</t>
  </si>
  <si>
    <t>Total Equity</t>
  </si>
  <si>
    <t>Total Asset</t>
  </si>
  <si>
    <t>Equity To Asset Ratio</t>
  </si>
  <si>
    <t>Profitability Ratio</t>
  </si>
  <si>
    <t xml:space="preserve">Gross Profit Margin </t>
  </si>
  <si>
    <t>EBITDA Margin</t>
  </si>
  <si>
    <t>EBIT Margin</t>
  </si>
  <si>
    <t>Net Profit</t>
  </si>
  <si>
    <t>Net Profit Margin</t>
  </si>
  <si>
    <t>Return on Asset</t>
  </si>
  <si>
    <t>Return on Equity</t>
  </si>
  <si>
    <t>Efficiency Ratio</t>
  </si>
  <si>
    <t>Asset Turnover Ratio</t>
  </si>
  <si>
    <t>Inventory Turnover Ratio</t>
  </si>
  <si>
    <t xml:space="preserve">Change in Revenue </t>
  </si>
  <si>
    <t>Change in Asset</t>
  </si>
  <si>
    <t>Reinvestment Ratio</t>
  </si>
  <si>
    <t>-</t>
  </si>
  <si>
    <t>Coverage Ratio</t>
  </si>
  <si>
    <t>Debt to EBITDA Coverage Ratio</t>
  </si>
  <si>
    <t>Interest</t>
  </si>
  <si>
    <t>Less: Tax</t>
  </si>
  <si>
    <t>EBIT (1-T)</t>
  </si>
  <si>
    <t>Less: Reinvestment</t>
  </si>
  <si>
    <t>Change in Working Capital</t>
  </si>
  <si>
    <t>Free Cash Flow to Firm</t>
  </si>
  <si>
    <t>Mid Year Convention</t>
  </si>
  <si>
    <t>Yes</t>
  </si>
  <si>
    <t>No</t>
  </si>
  <si>
    <t>Discount Period (Year)</t>
  </si>
  <si>
    <t>Discount Rate (WACC)</t>
  </si>
  <si>
    <t>Present Value Factor</t>
  </si>
  <si>
    <t>Present Value of Free Cash Flow to Firm</t>
  </si>
  <si>
    <t>Weighted Average Cost of Capital</t>
  </si>
  <si>
    <t xml:space="preserve">Risk Free Rate </t>
  </si>
  <si>
    <t>Cost of Debt</t>
  </si>
  <si>
    <t>DCF Calculation - Perpetuity Growth</t>
  </si>
  <si>
    <t>Perpetuity Growth</t>
  </si>
  <si>
    <t>Terminal Year FCFF x (1+PGR)</t>
  </si>
  <si>
    <t>Terminal Value</t>
  </si>
  <si>
    <t>Present Value of Terminal Value</t>
  </si>
  <si>
    <t>Present Value of FCFFs</t>
  </si>
  <si>
    <t>Enterprise Value</t>
  </si>
  <si>
    <t>Implied Exit Multiple</t>
  </si>
  <si>
    <t>Implied EV/EBITDA</t>
  </si>
  <si>
    <t>Less: Debt</t>
  </si>
  <si>
    <t>Equity Value</t>
  </si>
  <si>
    <t>DCF Calculation - Exit Multiple</t>
  </si>
  <si>
    <t>Exit Multiple</t>
  </si>
  <si>
    <t>Terminal Year EBITDA</t>
  </si>
  <si>
    <t>Particulars</t>
  </si>
  <si>
    <t>Revenue from operations</t>
  </si>
  <si>
    <t>Revenue Growth YoY %</t>
  </si>
  <si>
    <t>Expenses</t>
  </si>
  <si>
    <t>Cost of Goods Sold</t>
  </si>
  <si>
    <t>Cost of materials consumed</t>
  </si>
  <si>
    <t>Purchases of stock-in-trade</t>
  </si>
  <si>
    <t xml:space="preserve">Changes in inventories </t>
  </si>
  <si>
    <t>Total Cost of Goods Sold</t>
  </si>
  <si>
    <t>SG&amp;A Expenses (Excluding Depreciation &amp; Intereset)</t>
  </si>
  <si>
    <t>Employee benefit expense</t>
  </si>
  <si>
    <t>Other expenses</t>
  </si>
  <si>
    <t>Total SG&amp;A Expenses</t>
  </si>
  <si>
    <t>Earnings Before Interest, Taxes, Depreciation, and Amortization (EBITDA)</t>
  </si>
  <si>
    <t>Less: Depreciation and amortization expense</t>
  </si>
  <si>
    <t>Earnings Before Interest and Taxes (EBIT)</t>
  </si>
  <si>
    <t>Less: Finance costs</t>
  </si>
  <si>
    <t>Add: Other Income</t>
  </si>
  <si>
    <t>Profit Before Tax</t>
  </si>
  <si>
    <t>Profit After Tax</t>
  </si>
  <si>
    <t>Balance sheet</t>
  </si>
  <si>
    <t>ASSETS</t>
  </si>
  <si>
    <t>Non-current assets</t>
  </si>
  <si>
    <t>Fixed Asset</t>
  </si>
  <si>
    <t>Property plant and equipment</t>
  </si>
  <si>
    <t>Capital work-in-progress</t>
  </si>
  <si>
    <t>Right of use assets</t>
  </si>
  <si>
    <t>Investment property</t>
  </si>
  <si>
    <t>Other intangible assets</t>
  </si>
  <si>
    <t>Financial assets</t>
  </si>
  <si>
    <t>(i) Investments</t>
  </si>
  <si>
    <t>(ii) Loans</t>
  </si>
  <si>
    <t>(iii) Other financial assets</t>
  </si>
  <si>
    <t>Deferred tax assets (net)</t>
  </si>
  <si>
    <t>Non current tax assets (net)</t>
  </si>
  <si>
    <t>Other non-current assets</t>
  </si>
  <si>
    <t>Total non-current assets</t>
  </si>
  <si>
    <t>Current assets</t>
  </si>
  <si>
    <t>Inventories</t>
  </si>
  <si>
    <t>Trade receivables</t>
  </si>
  <si>
    <t>Other Cureest Asset</t>
  </si>
  <si>
    <t xml:space="preserve"> Investments</t>
  </si>
  <si>
    <t>Other current assets</t>
  </si>
  <si>
    <t>Assets classified as held for sale</t>
  </si>
  <si>
    <t>Current tax asset (net)</t>
  </si>
  <si>
    <t>Loans</t>
  </si>
  <si>
    <t>Other financial assets</t>
  </si>
  <si>
    <t>Cash and cash equivalents</t>
  </si>
  <si>
    <t>Bank balances</t>
  </si>
  <si>
    <t>Total current assets</t>
  </si>
  <si>
    <t>EQUITY AND LIABILITIES</t>
  </si>
  <si>
    <t>Equity</t>
  </si>
  <si>
    <t>Equity share capital</t>
  </si>
  <si>
    <t>Other equity</t>
  </si>
  <si>
    <t>Reserves and surplus</t>
  </si>
  <si>
    <t>Other reserves</t>
  </si>
  <si>
    <t>Share application money pending allotment</t>
  </si>
  <si>
    <t>Total Shareholder's Equity</t>
  </si>
  <si>
    <t>Non-controlling interests</t>
  </si>
  <si>
    <t>Total equity</t>
  </si>
  <si>
    <t>LIABILITIES</t>
  </si>
  <si>
    <t>Non-current liabilities</t>
  </si>
  <si>
    <t>Financial liabilities</t>
  </si>
  <si>
    <t>(i) Borrowings</t>
  </si>
  <si>
    <t>(ii) Lease Liabilities</t>
  </si>
  <si>
    <t>(iii) Other financial liabilities</t>
  </si>
  <si>
    <t>Provisions</t>
  </si>
  <si>
    <t>Employee benefit obligations (net)</t>
  </si>
  <si>
    <t>Deferred tax liabilities (net)</t>
  </si>
  <si>
    <t>Total non-current liabilities</t>
  </si>
  <si>
    <t>Current liabilities</t>
  </si>
  <si>
    <t>Trade payables</t>
  </si>
  <si>
    <t xml:space="preserve"> Borrowings</t>
  </si>
  <si>
    <t xml:space="preserve"> Lease liabilities</t>
  </si>
  <si>
    <t>Other financial liabilities</t>
  </si>
  <si>
    <t>Other current liabilities</t>
  </si>
  <si>
    <t>Current tax liabilities (net)</t>
  </si>
  <si>
    <t>Total current liabilities</t>
  </si>
  <si>
    <t>Total liabilities</t>
  </si>
  <si>
    <t>Total equity and liabilities</t>
  </si>
  <si>
    <t>A CASH FLOW FROM OPERATING ACTIVITIES</t>
  </si>
  <si>
    <t>Profit before income tax</t>
  </si>
  <si>
    <t>Adjustments for:</t>
  </si>
  <si>
    <t>Depreciation and amortisation expense</t>
  </si>
  <si>
    <t>Share of net loss /(gain) of joint ventures accounted for using the equity method</t>
  </si>
  <si>
    <t>Finance costs</t>
  </si>
  <si>
    <t>Interest income from financial assets</t>
  </si>
  <si>
    <t>(Gain) on disposal of property plant and equipment and right of use asset (net)</t>
  </si>
  <si>
    <t>Net fair value changes in financial assets and profit on sale of investments</t>
  </si>
  <si>
    <t>Employees stock option charge</t>
  </si>
  <si>
    <t>Provision for doubtful debts</t>
  </si>
  <si>
    <t>Stock appreciation rights expense charge</t>
  </si>
  <si>
    <t>Impairment of Fixed assets Intangibles and Inventory (refer note 39)</t>
  </si>
  <si>
    <t>Fair valuation of existing stake of Joint venture</t>
  </si>
  <si>
    <t>Operating profit before working capital changes</t>
  </si>
  <si>
    <t>Change in operating assets and liabilities:</t>
  </si>
  <si>
    <t>Decrease / (Increase) in inventories</t>
  </si>
  <si>
    <t>(Increase) in trade receivables</t>
  </si>
  <si>
    <t>Decrease / (Increase) in other financials assets</t>
  </si>
  <si>
    <t>Decrease / (Increase) in other non-current assets</t>
  </si>
  <si>
    <t>(Increase) in other current assets</t>
  </si>
  <si>
    <t>(Increase)/Decrease in loans and other assets</t>
  </si>
  <si>
    <t>Increase /(Decrease) in provisions</t>
  </si>
  <si>
    <t>Increase in employee benefit obligations</t>
  </si>
  <si>
    <t>Increase / (Decrease) in other current liabilities</t>
  </si>
  <si>
    <t>(Decrease)/Increase in trade payables</t>
  </si>
  <si>
    <t>Increase in other financial liabilities</t>
  </si>
  <si>
    <t>Changes in working capital</t>
  </si>
  <si>
    <t>Cash generated from operations</t>
  </si>
  <si>
    <t>Income taxes paid (net of refunds)</t>
  </si>
  <si>
    <t>Net cash generated from operating activities (A)</t>
  </si>
  <si>
    <t>B CASH FLOW FROM INVESTING ACTIVITIES</t>
  </si>
  <si>
    <t>Payment for property plant and equipment and intangible assets</t>
  </si>
  <si>
    <t>Acquisition of subsidiary under business combination net of cash (refer note 42)</t>
  </si>
  <si>
    <t>Proceeds from sale of property plant and equipment</t>
  </si>
  <si>
    <t>Purchase of non current investments</t>
  </si>
  <si>
    <t>Proceeds from sale of non current investments</t>
  </si>
  <si>
    <t>(Payment for)/ Proceeds from purchase / sale of investments (net)</t>
  </si>
  <si>
    <t>(Purchase) / redemption of Inter-corporate deposits (net)</t>
  </si>
  <si>
    <t>(Investment in) / Redemption of bank deposits (having original maturity more than 3 months) (net)</t>
  </si>
  <si>
    <t>Interest received</t>
  </si>
  <si>
    <t>Net cash (utilised in)/ generated from investing activities (B)</t>
  </si>
  <si>
    <t>C CASH FLOW FROM FINANCING ACTIVITIES</t>
  </si>
  <si>
    <t>Proceeds from issuance of share capital</t>
  </si>
  <si>
    <t>(Purchase)/ sale of investments by WEOMA trust (Net)</t>
  </si>
  <si>
    <t>Other borrowings (repaid) / taken (net)</t>
  </si>
  <si>
    <t>Dividend paid to non controlling interest</t>
  </si>
  <si>
    <t>Acquisition of non controlling interest</t>
  </si>
  <si>
    <t>Interest paid</t>
  </si>
  <si>
    <t>Repayment of principal portion of lease liabilities</t>
  </si>
  <si>
    <t>Interest on lease liabilities</t>
  </si>
  <si>
    <t>Dividends paid to company's shareholders</t>
  </si>
  <si>
    <t>Net cash utilised in financing activities (C)</t>
  </si>
  <si>
    <t>D Effect of exchange difference on translation of foreign currency (D)</t>
  </si>
  <si>
    <t>E NET INCREASE / (DECREASE) IN CASH &amp; CASH EQUIVALENTS (A+B+C+D)</t>
  </si>
  <si>
    <t>F Cash and cash equivalents at the beginning of the financial year</t>
  </si>
  <si>
    <t>G Cash and cash equivalents at end of the year (Refer note 6 (d))</t>
  </si>
  <si>
    <t xml:space="preserve">Revenue Growth </t>
  </si>
  <si>
    <t xml:space="preserve">Company Historical Growth </t>
  </si>
  <si>
    <t>Sales Growth</t>
  </si>
  <si>
    <t>Revenue from operations (Net)</t>
  </si>
  <si>
    <t>3 Years</t>
  </si>
  <si>
    <t>5 Years</t>
  </si>
  <si>
    <t>17,792 crore (US$ 2.07 billion)</t>
  </si>
  <si>
    <t>Household FMCG ( April 2025)</t>
  </si>
  <si>
    <t>Indian Beauty and Personal Care (BPC) market</t>
  </si>
  <si>
    <t>10-11% Annual CAGR</t>
  </si>
  <si>
    <r>
      <t>$34 Bn</t>
    </r>
    <r>
      <rPr>
        <sz val="10"/>
        <color theme="1"/>
        <rFont val="Aptos"/>
        <family val="2"/>
      </rPr>
      <t xml:space="preserve"> by 2028</t>
    </r>
  </si>
  <si>
    <t>Overall FMCG Sector (India)</t>
  </si>
  <si>
    <t>US$ 615 billion (2027)</t>
  </si>
  <si>
    <t xml:space="preserve">Direct Selling Industry </t>
  </si>
  <si>
    <t>US$ 2.58 billion (FY24)</t>
  </si>
  <si>
    <t>Rural FMCG Consumption</t>
  </si>
  <si>
    <t>35% of total FMCG sales</t>
  </si>
  <si>
    <t>11% CAGR (premium segment)</t>
  </si>
  <si>
    <t>38.5% wil Grow till 2027</t>
  </si>
  <si>
    <t>7.15% next (5-year CAGR)</t>
  </si>
  <si>
    <t>https://ibef.org/industry/fmcg-presentation</t>
  </si>
  <si>
    <t>Crisil</t>
  </si>
  <si>
    <t>Food &amp; Beverages</t>
  </si>
  <si>
    <t>$1trillion by 2033–34</t>
  </si>
  <si>
    <t>14–21%</t>
  </si>
  <si>
    <t>40% of FMCG sales by 2030</t>
  </si>
  <si>
    <t>Rural markets </t>
  </si>
  <si>
    <t>E-commerce</t>
  </si>
  <si>
    <t>60% of FMCG sales by 2030</t>
  </si>
  <si>
    <t xml:space="preserve">Urban Markets </t>
  </si>
  <si>
    <t>15–18% FMCG sales by 2030,</t>
  </si>
  <si>
    <t>https://inciflo.com/blogs/fmcg-industry-growth-in-india/</t>
  </si>
  <si>
    <t>Imarc</t>
  </si>
  <si>
    <t>USD 245.39 Billion</t>
  </si>
  <si>
    <t>USD 1,108.48 Billion</t>
  </si>
  <si>
    <t>CAGR (2025-2033)</t>
  </si>
  <si>
    <t>2033 Projected Market Size</t>
  </si>
  <si>
    <t>2024 Market Size</t>
  </si>
  <si>
    <t>https://www.imarcgroup.com/india-fmcg-market</t>
  </si>
  <si>
    <t>https://www.zionmarketresearch.com/report/india-fmcg-market</t>
  </si>
  <si>
    <t>ZION Market Reserch</t>
  </si>
  <si>
    <t>India FMCG market size</t>
  </si>
  <si>
    <t> US$33.08bn in 2025.</t>
  </si>
  <si>
    <t>3.48% (CAGR 2025-2030)</t>
  </si>
  <si>
    <t>market volume</t>
  </si>
  <si>
    <t> US$14.80bn in 2025.</t>
  </si>
  <si>
    <t> United States</t>
  </si>
  <si>
    <t>(US$105bn in 2025)</t>
  </si>
  <si>
    <t>online sales by 2025.</t>
  </si>
  <si>
    <t>https://www.statista.com/outlook/cmo/beauty-personal-care/india?srsltid=AfmBOorzt_p4jrJ6rhQpLXjwTHkLH4EGkU_rRtahTG4PhNxLzw7bm_L-</t>
  </si>
  <si>
    <t>Statista</t>
  </si>
  <si>
    <t>9.4% of total revenue</t>
  </si>
  <si>
    <t>Indian Brand Equity Foundation</t>
  </si>
  <si>
    <t>https://www.ibef.org/news/india-you-e-beauty-the-blush-and-glow-of-the-new-billion-dollar-boom</t>
  </si>
  <si>
    <t>India’s beauty and personal care market</t>
  </si>
  <si>
    <t>Rs. 2,95,358 crore (US$ 34 billion) by 2028,</t>
  </si>
  <si>
    <t> 10-11% Cagr Growth</t>
  </si>
  <si>
    <t>BEAUTY AND PERSONAL CARE (BPC)</t>
  </si>
  <si>
    <t>25.0 Million Tons</t>
  </si>
  <si>
    <t>28.2 Million Tons</t>
  </si>
  <si>
    <t>https://www.marketsandata.com/industry-reports/india-edible-oils-market</t>
  </si>
  <si>
    <t>FY2024</t>
  </si>
  <si>
    <t>FY2032.</t>
  </si>
  <si>
    <t>USD 26.19 billion</t>
  </si>
  <si>
    <t>CAGR of 3.52%</t>
  </si>
  <si>
    <t>Industry Reports</t>
  </si>
  <si>
    <t>https://www.imarcgroup.com/india-edible-oil-market</t>
  </si>
  <si>
    <t>FMCG (India) Growth</t>
  </si>
  <si>
    <t>Beauty &amp; Personal Care (India) Growth</t>
  </si>
  <si>
    <t>India Edible Oils (India) Growth</t>
  </si>
  <si>
    <t>We are confident of maintaining a double-digit growth momentum in the franchise throughout the year on the back of sharper brand activations supported by a strategic pivot from trade-led investments towards brand-building and therefore increasing SOV, especially in the mid and premium segments, along with enhanced direct reach through Project SETU, which invariably benefits VAHO.</t>
  </si>
  <si>
    <t>Just Herbs and True Elements, though not yet at breakeven, will focus on sustainable 20% to 25% growth breakeven at the earliest over the next 18 to 24 months</t>
  </si>
  <si>
    <r>
      <t>1.</t>
    </r>
    <r>
      <rPr>
        <sz val="7"/>
        <color theme="1"/>
        <rFont val="Times New Roman"/>
        <family val="1"/>
      </rPr>
      <t xml:space="preserve">        </t>
    </r>
    <r>
      <rPr>
        <sz val="11"/>
        <color theme="1"/>
        <rFont val="Aptos"/>
        <family val="2"/>
      </rPr>
      <t>Saffola Soya Chunks track to becoming a 100+ crore brand in the medium term. 3-5 years</t>
    </r>
  </si>
  <si>
    <r>
      <t>1.</t>
    </r>
    <r>
      <rPr>
        <sz val="7"/>
        <color theme="1"/>
        <rFont val="Times New Roman"/>
        <family val="1"/>
      </rPr>
      <t xml:space="preserve">        </t>
    </r>
    <r>
      <rPr>
        <sz val="11"/>
        <color theme="1"/>
        <rFont val="Aptos"/>
        <family val="2"/>
      </rPr>
      <t>Plix holds the potential to scale to 1,000 Cr. in revenues in the medium term</t>
    </r>
  </si>
  <si>
    <r>
      <t>1.</t>
    </r>
    <r>
      <rPr>
        <sz val="7"/>
        <color theme="1"/>
        <rFont val="Times New Roman"/>
        <family val="1"/>
      </rPr>
      <t xml:space="preserve">        </t>
    </r>
    <r>
      <rPr>
        <sz val="11"/>
        <color theme="1"/>
        <rFont val="Aptos"/>
        <family val="2"/>
      </rPr>
      <t>Beardo brand has the potential to reach L500 cr. mark in the medium term.</t>
    </r>
  </si>
  <si>
    <r>
      <t>1.</t>
    </r>
    <r>
      <rPr>
        <sz val="7"/>
        <color theme="1"/>
        <rFont val="Times New Roman"/>
        <family val="1"/>
      </rPr>
      <t xml:space="preserve">        </t>
    </r>
    <r>
      <rPr>
        <sz val="11"/>
        <color theme="1"/>
        <rFont val="Aptos"/>
        <family val="2"/>
      </rPr>
      <t>Just Herbs - brand crossed 100 crores in sales</t>
    </r>
  </si>
  <si>
    <r>
      <t>1.</t>
    </r>
    <r>
      <rPr>
        <sz val="7"/>
        <color theme="1"/>
        <rFont val="Times New Roman"/>
        <family val="1"/>
      </rPr>
      <t xml:space="preserve">        </t>
    </r>
    <r>
      <rPr>
        <sz val="11"/>
        <color theme="1"/>
        <rFont val="Aptos"/>
        <family val="2"/>
      </rPr>
      <t>Our Distribution network now reaches nearly 5.8 million outlets, spanning over 60,000 villages and nearly all towns with a population above 5,000.</t>
    </r>
  </si>
  <si>
    <t>South Africa was static this quarter, but we aim to achieving our full-year growth aspirations</t>
  </si>
  <si>
    <t>We are expecting to have this accelerated growth in the Middle East because</t>
  </si>
  <si>
    <t>we are fairly confident about delivering 25%-plus growth in the Foods business</t>
  </si>
  <si>
    <t>International Business Expansion</t>
  </si>
  <si>
    <t>Rural Penetration and Distribution Efficiency</t>
  </si>
  <si>
    <t>Year</t>
  </si>
  <si>
    <t>Young Population 18-24 Years (Working)</t>
  </si>
  <si>
    <t>Product Wise Revenue Breakup</t>
  </si>
  <si>
    <t>%</t>
  </si>
  <si>
    <t>Hair Oil</t>
  </si>
  <si>
    <t>Edible Oil</t>
  </si>
  <si>
    <t>Personal Oil</t>
  </si>
  <si>
    <t>Others</t>
  </si>
  <si>
    <t>Region / Country</t>
  </si>
  <si>
    <t>India</t>
  </si>
  <si>
    <t>Bangladesh</t>
  </si>
  <si>
    <t>Middle East</t>
  </si>
  <si>
    <t>Others (SEA / MENA etc.)</t>
  </si>
  <si>
    <t xml:space="preserve"> Africa</t>
  </si>
  <si>
    <t>Total (USD Bn)</t>
  </si>
  <si>
    <t>Food &amp; Beverage</t>
  </si>
  <si>
    <t>Health Care</t>
  </si>
  <si>
    <t>Personal Care</t>
  </si>
  <si>
    <t>Home Care</t>
  </si>
  <si>
    <t>GDP (US$ Trillion)</t>
  </si>
  <si>
    <t>India (%)</t>
  </si>
  <si>
    <t>World (%)</t>
  </si>
  <si>
    <t>Region/Group</t>
  </si>
  <si>
    <t>World</t>
  </si>
  <si>
    <t>Advanced Economies</t>
  </si>
  <si>
    <t>Emerging Economies</t>
  </si>
  <si>
    <t>Euro Area</t>
  </si>
  <si>
    <t>US</t>
  </si>
  <si>
    <t>Japan</t>
  </si>
  <si>
    <t>UK</t>
  </si>
  <si>
    <t>China</t>
  </si>
  <si>
    <t>Base Case</t>
  </si>
  <si>
    <t>Revenue Schedules</t>
  </si>
  <si>
    <t>USD 665.63 billion by 2032</t>
  </si>
  <si>
    <t>(CAGR) 14.80%</t>
  </si>
  <si>
    <t> USD 19.86 billion</t>
  </si>
  <si>
    <t xml:space="preserve">Gross Margin Growth </t>
  </si>
  <si>
    <t>Gross Margin</t>
  </si>
  <si>
    <t>Gross Margin Growth</t>
  </si>
  <si>
    <t>COGS % Sales</t>
  </si>
  <si>
    <t>Cost of materials consumed % Sales</t>
  </si>
  <si>
    <t>Purchases of stock-in-trade % Sales</t>
  </si>
  <si>
    <t>Changes in inventories % Sales</t>
  </si>
  <si>
    <t>Median</t>
  </si>
  <si>
    <t>Average</t>
  </si>
  <si>
    <t>Household Products</t>
  </si>
  <si>
    <t xml:space="preserve">Damodaran Website&gt; Data&gt; Current Data&gt; Find margin &gt; Cash Flow estimation </t>
  </si>
  <si>
    <t>Sector Data - Damodaran</t>
  </si>
  <si>
    <t>Just India</t>
  </si>
  <si>
    <t>All Emarging Markets</t>
  </si>
  <si>
    <t xml:space="preserve">Gobal Market </t>
  </si>
  <si>
    <r>
      <t xml:space="preserve">In the period leading up to Q1 FY26, copra experienced </t>
    </r>
    <r>
      <rPr>
        <b/>
        <sz val="8"/>
        <color rgb="FF303030"/>
        <rFont val="Arial"/>
        <family val="2"/>
      </rPr>
      <t>hyperinflationary conditions</t>
    </r>
    <r>
      <rPr>
        <sz val="8"/>
        <color rgb="FF303030"/>
        <rFont val="Arial"/>
        <family val="2"/>
      </rPr>
      <t xml:space="preserve"> due to a supply-demand gap caused by low crop yields and unseasonal weather. The company has taken multiple rounds of price increases in response, leading to an effective consumer price increase of over 60% point-to-point in some packs</t>
    </r>
  </si>
  <si>
    <r>
      <t xml:space="preserve">The price outlook is highly dependent on the specific commodity, particularly </t>
    </r>
    <r>
      <rPr>
        <b/>
        <sz val="8"/>
        <color rgb="FF303030"/>
        <rFont val="Arial"/>
        <family val="2"/>
      </rPr>
      <t>copra</t>
    </r>
    <r>
      <rPr>
        <sz val="8"/>
        <color rgb="FF303030"/>
        <rFont val="Arial"/>
        <family val="2"/>
      </rPr>
      <t>, which has recently experienced hyperinflation. Copra prices surged 18% QoQ and ~107% YoY, surpassing company expectations.</t>
    </r>
  </si>
  <si>
    <t>Cost of materials consumed % of COGS</t>
  </si>
  <si>
    <t>Revenue - yoy % Growth</t>
  </si>
  <si>
    <t>Gross Margin %</t>
  </si>
  <si>
    <t>YoY A&amp;P +25%; focus on VAHO, Foods, and Premium Personal Care (PPC); cost optimization done in non-media spends (film shoots, celebrity costs, data purchases)</t>
  </si>
  <si>
    <t>SG&amp;A Expenses</t>
  </si>
  <si>
    <t>SG&amp;A YoY%</t>
  </si>
  <si>
    <t>Sales YoY%</t>
  </si>
  <si>
    <t>SG&amp;A % Sales</t>
  </si>
  <si>
    <t>Consensus estimates across brokerages:</t>
  </si>
  <si>
    <r>
      <t xml:space="preserve">FY25 EBITDA margin: </t>
    </r>
    <r>
      <rPr>
        <b/>
        <sz val="11"/>
        <color theme="1"/>
        <rFont val="Calibri"/>
        <family val="2"/>
      </rPr>
      <t>~19.7%</t>
    </r>
  </si>
  <si>
    <r>
      <t xml:space="preserve">FY26E: </t>
    </r>
    <r>
      <rPr>
        <b/>
        <sz val="11"/>
        <color theme="1"/>
        <rFont val="Calibri"/>
        <family val="2"/>
      </rPr>
      <t>~19–20%</t>
    </r>
  </si>
  <si>
    <r>
      <t xml:space="preserve">FY27E: </t>
    </r>
    <r>
      <rPr>
        <b/>
        <sz val="11"/>
        <color theme="1"/>
        <rFont val="Calibri"/>
        <family val="2"/>
      </rPr>
      <t>~20.5–21%</t>
    </r>
  </si>
  <si>
    <t>Employee Benefit Cost</t>
  </si>
  <si>
    <t>Advertisement and sales promotion</t>
  </si>
  <si>
    <t>Freight forwarding and distribution expenses</t>
  </si>
  <si>
    <t>Processing and other manufacturing charges</t>
  </si>
  <si>
    <t>Rent and storage charges</t>
  </si>
  <si>
    <t>Legal &amp; professional charges</t>
  </si>
  <si>
    <t>Outside services</t>
  </si>
  <si>
    <t>Repairs and maintenance</t>
  </si>
  <si>
    <t>Power fuel and water</t>
  </si>
  <si>
    <t>Travelling conveyance and vehicle expenses</t>
  </si>
  <si>
    <t>Consumption of stores spare and consumables</t>
  </si>
  <si>
    <t>Total</t>
  </si>
  <si>
    <t xml:space="preserve">Miscellaneous expenses </t>
  </si>
  <si>
    <t>Common Size SG&amp;A Expense</t>
  </si>
  <si>
    <t>Historical SG&amp;A Expenses</t>
  </si>
  <si>
    <t>SG&amp;A % Revenue</t>
  </si>
  <si>
    <t>Advertisement and sales promotion % Revenue</t>
  </si>
  <si>
    <t>Employee Benefit Cost % Revenue</t>
  </si>
  <si>
    <t>Total SG&amp;A Expenses % Revenue</t>
  </si>
  <si>
    <t>Freight and distribution expenses</t>
  </si>
  <si>
    <t>Freight and distribution expenses % Revenue</t>
  </si>
  <si>
    <t xml:space="preserve">Other Misc SG&amp;A Expenses % Revenue </t>
  </si>
  <si>
    <t>Other Misc SG&amp;A Expenses</t>
  </si>
  <si>
    <t xml:space="preserve">Advertisement and sales promotion </t>
  </si>
  <si>
    <t xml:space="preserve">Freight and distribution expenses </t>
  </si>
  <si>
    <t xml:space="preserve">Other Misc SG&amp;A Expenses </t>
  </si>
  <si>
    <t>Growth Factor</t>
  </si>
  <si>
    <t>Project SETU aims to expand Marico’s direct reach from approximately 1 million outlets to 1.5 million by FY27. Project SETU was kicked off in 11 states during the year</t>
  </si>
  <si>
    <r>
      <t xml:space="preserve">The company plans to grow its Foods business by over 25% per year, so that by FY27, the revenue will be about </t>
    </r>
    <r>
      <rPr>
        <b/>
        <sz val="11"/>
        <color theme="1"/>
        <rFont val="Aptos"/>
        <family val="2"/>
      </rPr>
      <t>8 times higher than in FY20</t>
    </r>
    <r>
      <rPr>
        <sz val="11"/>
        <color theme="1"/>
        <rFont val="Aptos"/>
        <family val="2"/>
      </rPr>
      <t xml:space="preserve">, and </t>
    </r>
    <r>
      <rPr>
        <b/>
        <sz val="11"/>
        <color theme="1"/>
        <rFont val="Aptos"/>
        <family val="2"/>
      </rPr>
      <t>roughly double the level achieved in FY24</t>
    </r>
    <r>
      <rPr>
        <sz val="11"/>
        <color theme="1"/>
        <rFont val="Aptos"/>
        <family val="2"/>
      </rPr>
      <t>.</t>
    </r>
  </si>
  <si>
    <r>
      <rPr>
        <sz val="11"/>
        <color theme="1"/>
        <rFont val="Aptos"/>
        <family val="2"/>
      </rPr>
      <t xml:space="preserve">The company’s digital-first brands performed better than expected in FY25, reaching ₹750 crore annualized revenue. Seeing this momentum, they’ve </t>
    </r>
    <r>
      <rPr>
        <b/>
        <sz val="11"/>
        <color theme="1"/>
        <rFont val="Aptos"/>
        <family val="2"/>
      </rPr>
      <t>raised their FY27 target</t>
    </r>
    <r>
      <rPr>
        <sz val="11"/>
        <color theme="1"/>
        <rFont val="Aptos"/>
        <family val="2"/>
      </rPr>
      <t xml:space="preserve"> — instead of growing to 2x of FY24 levels, they now plan to reach </t>
    </r>
    <r>
      <rPr>
        <b/>
        <sz val="11"/>
        <color theme="1"/>
        <rFont val="Aptos"/>
        <family val="2"/>
      </rPr>
      <t>2.5x of FY24</t>
    </r>
    <r>
      <rPr>
        <sz val="11"/>
        <color theme="1"/>
        <rFont val="Aptos"/>
        <family val="2"/>
      </rPr>
      <t xml:space="preserve"> revenue by FY27..</t>
    </r>
  </si>
  <si>
    <t>Which is Just Herbs and True Elements, we will now grow maybe 20% to 25% on a sustainable basis, but accelerate the journey to breakeven period so that in 18 to 24 months, we see some site of a breakeven</t>
  </si>
  <si>
    <t>Just Herbs and True Elements, though not yet at breakeven, will focus on sustainable 20-25% growth and leveraging scale and synergy to achieve breakeven at the earliest over the next 18 to 24 months</t>
  </si>
  <si>
    <t>Total Raw Material Suppliers - 682</t>
  </si>
  <si>
    <t>So, in short, they are doing massively SG&amp;A expenses for Project Setu and for the premium products of their VAHO, Foods and Premium Personal Care.</t>
  </si>
  <si>
    <r>
      <t xml:space="preserve">Continued </t>
    </r>
    <r>
      <rPr>
        <b/>
        <sz val="10"/>
        <color theme="1"/>
        <rFont val="Calibri"/>
        <family val="2"/>
        <scheme val="minor"/>
      </rPr>
      <t>high A&amp;P intensity (~9–10% of sales)</t>
    </r>
    <r>
      <rPr>
        <sz val="10"/>
        <color theme="1"/>
        <rFont val="Calibri"/>
        <family val="2"/>
        <scheme val="minor"/>
      </rPr>
      <t xml:space="preserve"> as Marico accelerates new category building (Foods, Digital-first brands).</t>
    </r>
  </si>
  <si>
    <r>
      <t xml:space="preserve">The estimated investment for Project SETU is </t>
    </r>
    <r>
      <rPr>
        <b/>
        <sz val="10"/>
        <color rgb="FF303030"/>
        <rFont val="Calibri"/>
        <family val="2"/>
        <scheme val="minor"/>
      </rPr>
      <t>₹80-100 crores over a 3-year period</t>
    </r>
  </si>
  <si>
    <r>
      <t xml:space="preserve">The management consistently positions A&amp;P spending as a </t>
    </r>
    <r>
      <rPr>
        <b/>
        <sz val="10"/>
        <color rgb="FF303030"/>
        <rFont val="Calibri"/>
        <family val="2"/>
        <scheme val="minor"/>
      </rPr>
      <t>strategic investment</t>
    </r>
    <r>
      <rPr>
        <sz val="10"/>
        <color rgb="FF303030"/>
        <rFont val="Calibri"/>
        <family val="2"/>
        <scheme val="minor"/>
      </rPr>
      <t xml:space="preserve"> essential for long-term growth and brand equity, explicitly prioritizing it over managing short-term margins</t>
    </r>
  </si>
  <si>
    <r>
      <t>Impact on Results:</t>
    </r>
    <r>
      <rPr>
        <sz val="10"/>
        <color rgb="FF303030"/>
        <rFont val="Calibri"/>
        <family val="2"/>
        <scheme val="minor"/>
      </rPr>
      <t xml:space="preserve"> Management noted that if A&amp;P had only grown in line with the top line in FY25, the consolidated </t>
    </r>
    <r>
      <rPr>
        <b/>
        <sz val="10"/>
        <color rgb="FF303030"/>
        <rFont val="Calibri"/>
        <family val="2"/>
        <scheme val="minor"/>
      </rPr>
      <t>EBITDA</t>
    </r>
    <r>
      <rPr>
        <sz val="10"/>
        <color rgb="FF303030"/>
        <rFont val="Calibri"/>
        <family val="2"/>
        <scheme val="minor"/>
      </rPr>
      <t xml:space="preserve"> margin would have been </t>
    </r>
    <r>
      <rPr>
        <b/>
        <sz val="10"/>
        <color rgb="FF303030"/>
        <rFont val="Calibri"/>
        <family val="2"/>
        <scheme val="minor"/>
      </rPr>
      <t>20.3%</t>
    </r>
    <r>
      <rPr>
        <sz val="10"/>
        <color rgb="FF303030"/>
        <rFont val="Calibri"/>
        <family val="2"/>
        <scheme val="minor"/>
      </rPr>
      <t xml:space="preserve">, indicating they </t>
    </r>
    <r>
      <rPr>
        <b/>
        <sz val="10"/>
        <color rgb="FF303030"/>
        <rFont val="Calibri"/>
        <family val="2"/>
        <scheme val="minor"/>
      </rPr>
      <t>over-invested</t>
    </r>
    <r>
      <rPr>
        <sz val="10"/>
        <color rgb="FF303030"/>
        <rFont val="Calibri"/>
        <family val="2"/>
        <scheme val="minor"/>
      </rPr>
      <t xml:space="preserve"> in A&amp;P relative to revenue growth to set up future expansion</t>
    </r>
  </si>
  <si>
    <r>
      <t>Shift from BTL to ATL:</t>
    </r>
    <r>
      <rPr>
        <sz val="10"/>
        <color rgb="FF303030"/>
        <rFont val="Calibri"/>
        <family val="2"/>
        <scheme val="minor"/>
      </rPr>
      <t xml:space="preserve"> In the Value-Added Hair Oils (VAHO) segment, particularly the Bottom of Pyramid (BOP), management has taken a conscious decision to </t>
    </r>
    <r>
      <rPr>
        <b/>
        <sz val="10"/>
        <color rgb="FF303030"/>
        <rFont val="Calibri"/>
        <family val="2"/>
        <scheme val="minor"/>
      </rPr>
      <t>defocus on BTL (Below The Line) trade inputs</t>
    </r>
    <r>
      <rPr>
        <sz val="10"/>
        <color rgb="FF303030"/>
        <rFont val="Calibri"/>
        <family val="2"/>
        <scheme val="minor"/>
      </rPr>
      <t>, labeling competitive BTL fighting as a "suicidal strategy". They believe that this approach negatively impacts category growth and equit</t>
    </r>
  </si>
  <si>
    <t>SG&amp;A Calculation Note</t>
  </si>
  <si>
    <t>Growth Driver</t>
  </si>
  <si>
    <t xml:space="preserve">Disposable incomes, </t>
  </si>
  <si>
    <t>Young consumer base</t>
  </si>
  <si>
    <t>Increasing brand awareness</t>
  </si>
  <si>
    <t xml:space="preserve">Cash and Bank Balance </t>
  </si>
  <si>
    <t xml:space="preserve">Common Size Current Asset </t>
  </si>
  <si>
    <t xml:space="preserve">Current Asset % Total Asset </t>
  </si>
  <si>
    <t xml:space="preserve">Inventory </t>
  </si>
  <si>
    <t xml:space="preserve">Inventory Growth YoY% </t>
  </si>
  <si>
    <t xml:space="preserve">Average Inventory </t>
  </si>
  <si>
    <t xml:space="preserve">Average Inventory % Revenue </t>
  </si>
  <si>
    <t>Inventory Turnover Ratio (COGS)</t>
  </si>
  <si>
    <t>Inventory Turnover Ratio (Revenue)</t>
  </si>
  <si>
    <t>Inventory Days (COGS)</t>
  </si>
  <si>
    <t>Inventory Days (Revenue)</t>
  </si>
  <si>
    <t>Peers Inventory Days Analysis</t>
  </si>
  <si>
    <t xml:space="preserve">Marico </t>
  </si>
  <si>
    <t>Peer 1 (Pantanjali)</t>
  </si>
  <si>
    <t>Days Payable</t>
  </si>
  <si>
    <t>Cash Conversion Cycle</t>
  </si>
  <si>
    <t>Working Capital Days</t>
  </si>
  <si>
    <t>(Pantanjali)</t>
  </si>
  <si>
    <t>Dabur</t>
  </si>
  <si>
    <t>Hindustan Unilever</t>
  </si>
  <si>
    <t>Marico</t>
  </si>
  <si>
    <t>Peer 2 (Hindustan Unilever)</t>
  </si>
  <si>
    <t>Peer 3 (Dabur)</t>
  </si>
  <si>
    <t xml:space="preserve">Average </t>
  </si>
  <si>
    <t xml:space="preserve">Street Estimate </t>
  </si>
  <si>
    <t>Anand Rathi</t>
  </si>
  <si>
    <t xml:space="preserve">PL Capital </t>
  </si>
  <si>
    <t>Bank of Barodara</t>
  </si>
  <si>
    <t>Inventory % Revenue</t>
  </si>
  <si>
    <t>Trade Receviable</t>
  </si>
  <si>
    <t>Average Trade receivables</t>
  </si>
  <si>
    <t>Receviable Turnover Ratio</t>
  </si>
  <si>
    <t xml:space="preserve">Receviable Ageing Analysis </t>
  </si>
  <si>
    <t xml:space="preserve">Recevable Days </t>
  </si>
  <si>
    <t>Trade Receivables</t>
  </si>
  <si>
    <t>Trade Receivables Days</t>
  </si>
  <si>
    <t xml:space="preserve">Other Cureest Asset % Revenue </t>
  </si>
  <si>
    <t xml:space="preserve">Average Receivable % Revenue </t>
  </si>
  <si>
    <t xml:space="preserve">Other Asset Growth YoY% </t>
  </si>
  <si>
    <t>Geojit</t>
  </si>
  <si>
    <t>Other Current Asset % Revenue</t>
  </si>
  <si>
    <t>Trade Receivables % Revenue</t>
  </si>
  <si>
    <t>Gross Block</t>
  </si>
  <si>
    <t xml:space="preserve">Net Fixed Asset % Total Asset </t>
  </si>
  <si>
    <t>Category</t>
  </si>
  <si>
    <t>Amount</t>
  </si>
  <si>
    <t>% of Total</t>
  </si>
  <si>
    <t>₹8,110 crore</t>
  </si>
  <si>
    <t>~75%</t>
  </si>
  <si>
    <t>International</t>
  </si>
  <si>
    <t>₹2,721 crore</t>
  </si>
  <si>
    <t>~25%</t>
  </si>
  <si>
    <t>MENA</t>
  </si>
  <si>
    <t>South Africa</t>
  </si>
  <si>
    <t>Vietnam</t>
  </si>
  <si>
    <t>Other</t>
  </si>
  <si>
    <t xml:space="preserve">Country </t>
  </si>
  <si>
    <t>Revenue Contribution</t>
  </si>
  <si>
    <t>International Market/Region (Location of Customers)</t>
  </si>
  <si>
    <t>Total International</t>
  </si>
  <si>
    <r>
      <t>Others</t>
    </r>
    <r>
      <rPr>
        <sz val="8"/>
        <color rgb="FF303030"/>
        <rFont val="Arial"/>
        <family val="2"/>
      </rPr>
      <t xml:space="preserve"> </t>
    </r>
  </si>
  <si>
    <t>Revenue (₹ in Crores) - FY25</t>
  </si>
  <si>
    <t>Net Fixed Asset % Revenue</t>
  </si>
  <si>
    <t>Land</t>
  </si>
  <si>
    <t>Building</t>
  </si>
  <si>
    <t>Plant Machinery</t>
  </si>
  <si>
    <t>Equipments</t>
  </si>
  <si>
    <t>Furniture n fittings</t>
  </si>
  <si>
    <t>Vehicles</t>
  </si>
  <si>
    <t>Intangible Assets</t>
  </si>
  <si>
    <t>Other fixed assets</t>
  </si>
  <si>
    <t>Breakup of Fixed Asset - Common Size</t>
  </si>
  <si>
    <t>land</t>
  </si>
  <si>
    <t>Buildings</t>
  </si>
  <si>
    <t>Plant and equipment</t>
  </si>
  <si>
    <t>Furniture and fixtures</t>
  </si>
  <si>
    <t>Office Equipment</t>
  </si>
  <si>
    <t>Leasehold improvements</t>
  </si>
  <si>
    <t>Change in Revenue</t>
  </si>
  <si>
    <t>Total Revenue</t>
  </si>
  <si>
    <t>Change in Revenue / Change in Gross Block</t>
  </si>
  <si>
    <t>Net Fixed Asset</t>
  </si>
  <si>
    <t>Maintainance Capex</t>
  </si>
  <si>
    <t>Growth Capex</t>
  </si>
  <si>
    <t>Less: Adjustment</t>
  </si>
  <si>
    <t>Clossing Gross Block</t>
  </si>
  <si>
    <t>Goodwill and Other intangible assets</t>
  </si>
  <si>
    <t>Less: Amortisation</t>
  </si>
  <si>
    <t>Add Goodwill</t>
  </si>
  <si>
    <t>Net Block (other asset)</t>
  </si>
  <si>
    <t>Gross Block (other asset)</t>
  </si>
  <si>
    <t xml:space="preserve"> Less: Accumulated amortisation</t>
  </si>
  <si>
    <t xml:space="preserve">Total </t>
  </si>
  <si>
    <t>Capex</t>
  </si>
  <si>
    <t>% Change in Capex</t>
  </si>
  <si>
    <t>Less:- Accumulated depreciation</t>
  </si>
  <si>
    <t>Breakup of Fixed Asset (Balance Sheet fig)</t>
  </si>
  <si>
    <t>Right of Use Assets</t>
  </si>
  <si>
    <t>CapEx Calculation</t>
  </si>
  <si>
    <t>CWIP</t>
  </si>
  <si>
    <t>CWIP % Fixed Asset</t>
  </si>
  <si>
    <t>Management Guidance</t>
  </si>
  <si>
    <t>No Concrete Guidance available</t>
  </si>
  <si>
    <t>Emkay Research</t>
  </si>
  <si>
    <t>Deprication</t>
  </si>
  <si>
    <t>Trade Payables</t>
  </si>
  <si>
    <t>Growth YoY %</t>
  </si>
  <si>
    <t xml:space="preserve">Trade Payables % COGS </t>
  </si>
  <si>
    <t>Current Liabilities</t>
  </si>
  <si>
    <t>Trade Payable % Revenue</t>
  </si>
  <si>
    <t>Trade Receivable % Revenue</t>
  </si>
  <si>
    <t>Peers Trade Receviable Days Analysis</t>
  </si>
  <si>
    <t>Trade Payables (Days)</t>
  </si>
  <si>
    <t>Street Estimate (days)</t>
  </si>
  <si>
    <t xml:space="preserve">Under other liablities we have to so individual iteams but it timefull efforts and which is not required so only take the major iteam and forcaste it and other iteams should be flat </t>
  </si>
  <si>
    <t xml:space="preserve">other current liablites sales </t>
  </si>
  <si>
    <t>Peers Trade Payables Days Analysis</t>
  </si>
  <si>
    <t xml:space="preserve">We assume other Liablities excluding short term borrowing to remain flat at 2025 levels. The short term borrowings is sepreately Calculated </t>
  </si>
  <si>
    <t>Debt</t>
  </si>
  <si>
    <t xml:space="preserve">YoY Growth % </t>
  </si>
  <si>
    <t>Short Term Debt (STB)</t>
  </si>
  <si>
    <t>Long Term Debt (LTB)</t>
  </si>
  <si>
    <t>Total Borrowings (TB)</t>
  </si>
  <si>
    <t>LTB % TB</t>
  </si>
  <si>
    <t>STB % TB</t>
  </si>
  <si>
    <t xml:space="preserve">Revenue </t>
  </si>
  <si>
    <t xml:space="preserve">LTB % Revenue </t>
  </si>
  <si>
    <t xml:space="preserve">STB % Revenue </t>
  </si>
  <si>
    <t xml:space="preserve">Debt To Equity </t>
  </si>
  <si>
    <t>Debt To Capital</t>
  </si>
  <si>
    <t>Debt To Asset</t>
  </si>
  <si>
    <t>Debt To EBITDA</t>
  </si>
  <si>
    <t>Bank of Barodra</t>
  </si>
  <si>
    <t xml:space="preserve">Fixed Assets </t>
  </si>
  <si>
    <t>Right of Use Asset Growth %</t>
  </si>
  <si>
    <t>Intangible Asset (Excluding Goodwill) Growth %</t>
  </si>
  <si>
    <t>Goodwill Growth %</t>
  </si>
  <si>
    <t>Property, Plant &amp; Equipments</t>
  </si>
  <si>
    <t>Opening PP&amp;E</t>
  </si>
  <si>
    <t>Closing PPE</t>
  </si>
  <si>
    <t xml:space="preserve">Right of Use Asset </t>
  </si>
  <si>
    <t>Additional during the Year</t>
  </si>
  <si>
    <t>ADD: Capex during the Year</t>
  </si>
  <si>
    <t xml:space="preserve">Capital Working In Progress </t>
  </si>
  <si>
    <t>Intangible Assets (excluding goodwill)</t>
  </si>
  <si>
    <t>Non Current Financial Asset</t>
  </si>
  <si>
    <t>YoY Growth %</t>
  </si>
  <si>
    <t xml:space="preserve">Average Trade Payables </t>
  </si>
  <si>
    <t>Change in Trade Payables</t>
  </si>
  <si>
    <t>Long Term Borrowing</t>
  </si>
  <si>
    <t>Growth YoY</t>
  </si>
  <si>
    <t>Growth YoY%</t>
  </si>
  <si>
    <t>% Revenue</t>
  </si>
  <si>
    <t>Short Term Borrowing</t>
  </si>
  <si>
    <t>ShortTerm Borrowing</t>
  </si>
  <si>
    <t xml:space="preserve">Total Borrowing </t>
  </si>
  <si>
    <t xml:space="preserve">Right of use asset </t>
  </si>
  <si>
    <t>Leasehold land</t>
  </si>
  <si>
    <t>intangible assets</t>
  </si>
  <si>
    <t>Trademarks</t>
  </si>
  <si>
    <t>Computer</t>
  </si>
  <si>
    <t>Non Compete</t>
  </si>
  <si>
    <t xml:space="preserve">Customer Database </t>
  </si>
  <si>
    <t>Less: Land (Non Depreciable)</t>
  </si>
  <si>
    <t>Gross Block (depreciable)</t>
  </si>
  <si>
    <t xml:space="preserve">Change in Gross Block </t>
  </si>
  <si>
    <t xml:space="preserve">Depreciation and amortization expense  p&amp;l </t>
  </si>
  <si>
    <t>Growth in Gross Block YoY %</t>
  </si>
  <si>
    <t>PPE</t>
  </si>
  <si>
    <t>Total Capex</t>
  </si>
  <si>
    <t xml:space="preserve">Investment Property Growth % </t>
  </si>
  <si>
    <t>Property, Plant &amp; Equipment</t>
  </si>
  <si>
    <t>Investment Property</t>
  </si>
  <si>
    <t xml:space="preserve">Intangible Non Current Asset </t>
  </si>
  <si>
    <t>Non Current Financial Assets Growth %</t>
  </si>
  <si>
    <t>Deferred Assets Growth %</t>
  </si>
  <si>
    <t xml:space="preserve">Other Non Current Asset </t>
  </si>
  <si>
    <t>Other Non Current Asset % Revenue</t>
  </si>
  <si>
    <t>Other Non Current asset % Revenue</t>
  </si>
  <si>
    <t>Non Current Financial Assets</t>
  </si>
  <si>
    <t xml:space="preserve">Other Non Current asset </t>
  </si>
  <si>
    <t xml:space="preserve">Deferred Assets </t>
  </si>
  <si>
    <t xml:space="preserve"> % of Revenue </t>
  </si>
  <si>
    <t>Non current tax assets (net) % Revenue</t>
  </si>
  <si>
    <t xml:space="preserve">Net Fixed Asset </t>
  </si>
  <si>
    <t xml:space="preserve">Total Non Current Assets </t>
  </si>
  <si>
    <t>Current Assets</t>
  </si>
  <si>
    <t>Non Current Assets</t>
  </si>
  <si>
    <t>Less: Intangible Asset (Non Depreciable - Excl. Goodwill)</t>
  </si>
  <si>
    <t>Net Depreciable Fixed Asset</t>
  </si>
  <si>
    <t>Depreciation for the Year</t>
  </si>
  <si>
    <t>Average Life of Assets</t>
  </si>
  <si>
    <t>Average Age of the Assets</t>
  </si>
  <si>
    <t xml:space="preserve">% Asset Depreciated </t>
  </si>
  <si>
    <t>Depreciation % Fixed Asset</t>
  </si>
  <si>
    <t>Depreciation % Gross Block</t>
  </si>
  <si>
    <t>Depreciation % Revenue</t>
  </si>
  <si>
    <t>Depreciation % Sales</t>
  </si>
  <si>
    <t>Depreciation % Net Fixed Assets</t>
  </si>
  <si>
    <t>Indian FMCG industry</t>
  </si>
  <si>
    <t xml:space="preserve">Deferred Tax Assets </t>
  </si>
  <si>
    <t xml:space="preserve">Capex </t>
  </si>
  <si>
    <t xml:space="preserve">Total Net Depreciable Fixed Asset </t>
  </si>
  <si>
    <t>Less: Interest</t>
  </si>
  <si>
    <t>Other Income</t>
  </si>
  <si>
    <t xml:space="preserve"> % Revenue </t>
  </si>
  <si>
    <t>Other Income % Revenue</t>
  </si>
  <si>
    <t>Bank</t>
  </si>
  <si>
    <t>Minority Interest</t>
  </si>
  <si>
    <t>Long Term Borrowings</t>
  </si>
  <si>
    <t>Lease Liabilities</t>
  </si>
  <si>
    <t>Other Provisions</t>
  </si>
  <si>
    <t>Others Financial Liabilities - Long-term</t>
  </si>
  <si>
    <t>Deferred Tax Liabilities (Net)</t>
  </si>
  <si>
    <t>Short Term Borrowings</t>
  </si>
  <si>
    <t>Others Financial Liabilities - Short-term</t>
  </si>
  <si>
    <t>Current Tax Liabilities - Short-term</t>
  </si>
  <si>
    <t>Total Current Liabilites</t>
  </si>
  <si>
    <t>Total Equity and Liabilites</t>
  </si>
  <si>
    <t>Add: Other Iteams</t>
  </si>
  <si>
    <t>Less: Tax Paid</t>
  </si>
  <si>
    <t>Interest Received</t>
  </si>
  <si>
    <t>Acquisition of Companies</t>
  </si>
  <si>
    <t>Net Purchased of Fixed Assets</t>
  </si>
  <si>
    <t>Net Purchase of Investments</t>
  </si>
  <si>
    <t>Net Proceeds from Long term Borrowings</t>
  </si>
  <si>
    <t>Net Proceeds from Short term Borrowings</t>
  </si>
  <si>
    <t>Dividend Paid</t>
  </si>
  <si>
    <t>Interest Paid</t>
  </si>
  <si>
    <t>Proceeds from Share Issue</t>
  </si>
  <si>
    <t>Effect of exchange difference on translation of foreign currency (D)</t>
  </si>
  <si>
    <t>Cash Flow from Operation (A)</t>
  </si>
  <si>
    <t>Net Increase / (Decrease) in Cash &amp; Cash Equivalents (A+B+C+D)</t>
  </si>
  <si>
    <t xml:space="preserve">Interest Cost </t>
  </si>
  <si>
    <t>Interest Cost % TB</t>
  </si>
  <si>
    <t xml:space="preserve">Particulars </t>
  </si>
  <si>
    <t xml:space="preserve">Interest Rate </t>
  </si>
  <si>
    <t>Amt</t>
  </si>
  <si>
    <t>Interest Rate</t>
  </si>
  <si>
    <t>Average total borrowing</t>
  </si>
  <si>
    <t>Interest Expenses</t>
  </si>
  <si>
    <t>Interest Rate Calculation</t>
  </si>
  <si>
    <t>Weighted average Interest Rate</t>
  </si>
  <si>
    <t xml:space="preserve">We have not got all loan exact amount and its rate of interest so we are taking long term average of Interest Cost % Total Borrowing as interest rate </t>
  </si>
  <si>
    <t>Cash Flow from Financing Activities</t>
  </si>
  <si>
    <t>Net Proceeds from Lease Liabilities</t>
  </si>
  <si>
    <t>Dividend</t>
  </si>
  <si>
    <t>Dividend Payout Ratio</t>
  </si>
  <si>
    <t>Street Estimate (Dividend Amt)</t>
  </si>
  <si>
    <t>Other Equity Schedules</t>
  </si>
  <si>
    <t>Other Equity - Beginning of the Year</t>
  </si>
  <si>
    <t>Add: Net Profit</t>
  </si>
  <si>
    <t>Change in Short Term Borrowings</t>
  </si>
  <si>
    <t>Change in Lease Liabilities</t>
  </si>
  <si>
    <t>Change in Others Financial Liabilities - Short-term</t>
  </si>
  <si>
    <t>Change in Current Liabilities</t>
  </si>
  <si>
    <t>Change in Provisions</t>
  </si>
  <si>
    <t>Change in Employee benefit obligations (net)</t>
  </si>
  <si>
    <t>Change in Current Tax Liabilities - Short-term</t>
  </si>
  <si>
    <t>Total Current Assets (Excluding Cash)</t>
  </si>
  <si>
    <t>Change in Total Working Capital (Excluding Cash)</t>
  </si>
  <si>
    <t xml:space="preserve">Change in Operating Working Capital </t>
  </si>
  <si>
    <t>Cash Analysis</t>
  </si>
  <si>
    <t>Total Cash</t>
  </si>
  <si>
    <t>Cash % Revenue</t>
  </si>
  <si>
    <t>Cash % Total Asset</t>
  </si>
  <si>
    <t xml:space="preserve">Please Provide the below Inputs </t>
  </si>
  <si>
    <t>Name of the Company</t>
  </si>
  <si>
    <t xml:space="preserve">Marico Ltd </t>
  </si>
  <si>
    <t>Assumptions</t>
  </si>
  <si>
    <t xml:space="preserve">Tax Rate </t>
  </si>
  <si>
    <t xml:space="preserve">Divident Payout  </t>
  </si>
  <si>
    <t xml:space="preserve">Working Capital  </t>
  </si>
  <si>
    <t>Long Term Loan Borrowings</t>
  </si>
  <si>
    <t>Short Term Loan Borrowings</t>
  </si>
  <si>
    <t>Schedules</t>
  </si>
  <si>
    <t xml:space="preserve">Growth YoY </t>
  </si>
  <si>
    <t xml:space="preserve">COGS </t>
  </si>
  <si>
    <t>Current Case - COGS % Sales</t>
  </si>
  <si>
    <t>Closing ROU Asset</t>
  </si>
  <si>
    <t xml:space="preserve">Capital Working in Progress Growth % </t>
  </si>
  <si>
    <t>Closing Intangible Assets</t>
  </si>
  <si>
    <t>YoY Intangible Assets Growth %</t>
  </si>
  <si>
    <t>Trade Receivables (Days)</t>
  </si>
  <si>
    <t>Inventory  (Days)</t>
  </si>
  <si>
    <t>Trade Payables  (Days)</t>
  </si>
  <si>
    <t>Lease Liabilities (Growth YoY %)</t>
  </si>
  <si>
    <t>Others Financial Liabilities - Short-term (Growth YoY %)</t>
  </si>
  <si>
    <t>Other Current Liabilities (Growth YoY %)</t>
  </si>
  <si>
    <t>Provisions (Growth YoY %)</t>
  </si>
  <si>
    <t>Employee benefit obligations (net) (Growth YoY %)</t>
  </si>
  <si>
    <t>Current Tax Liabilities - Short-term (Growth YoY %)</t>
  </si>
  <si>
    <t xml:space="preserve">Bank Balance </t>
  </si>
  <si>
    <t>Bank Balance (Growth YoY %)</t>
  </si>
  <si>
    <t>NM</t>
  </si>
  <si>
    <t>Trade Payable Days</t>
  </si>
  <si>
    <t>Assumed Operating Cash % Revenue</t>
  </si>
  <si>
    <t>Operating Cash</t>
  </si>
  <si>
    <t>Excess Cash</t>
  </si>
  <si>
    <t>Country</t>
  </si>
  <si>
    <t>Africa</t>
  </si>
  <si>
    <t>Moody's rating</t>
  </si>
  <si>
    <t>Rating-based Default Spread</t>
  </si>
  <si>
    <t>Abu Dhabi</t>
  </si>
  <si>
    <t>Aa2</t>
  </si>
  <si>
    <t>Albania</t>
  </si>
  <si>
    <t>Eastern Europe &amp; Russia</t>
  </si>
  <si>
    <t>Ba3</t>
  </si>
  <si>
    <t>Andorra (Principality of)</t>
  </si>
  <si>
    <t>Western Europe</t>
  </si>
  <si>
    <t>Baa1</t>
  </si>
  <si>
    <t>Angola</t>
  </si>
  <si>
    <t>B3</t>
  </si>
  <si>
    <t>Argentina</t>
  </si>
  <si>
    <t>Central and South America</t>
  </si>
  <si>
    <t>Caa3</t>
  </si>
  <si>
    <t>Armenia</t>
  </si>
  <si>
    <t>Aruba</t>
  </si>
  <si>
    <t>Caribbean</t>
  </si>
  <si>
    <t>Baa3</t>
  </si>
  <si>
    <t>Australia</t>
  </si>
  <si>
    <t>Australia &amp; New Zealand</t>
  </si>
  <si>
    <t>Aaa</t>
  </si>
  <si>
    <t>Austria</t>
  </si>
  <si>
    <t>Aa1</t>
  </si>
  <si>
    <t>Azerbaijan</t>
  </si>
  <si>
    <t>Bahamas</t>
  </si>
  <si>
    <t>B1</t>
  </si>
  <si>
    <t>Bahrain</t>
  </si>
  <si>
    <t>B2</t>
  </si>
  <si>
    <t>Asia</t>
  </si>
  <si>
    <t>Barbados</t>
  </si>
  <si>
    <t>Belarus</t>
  </si>
  <si>
    <t>C</t>
  </si>
  <si>
    <t>Belgium</t>
  </si>
  <si>
    <t>Aa3</t>
  </si>
  <si>
    <t>Belize</t>
  </si>
  <si>
    <t>Caa1</t>
  </si>
  <si>
    <t>Benin</t>
  </si>
  <si>
    <t>Bermuda</t>
  </si>
  <si>
    <t>A2</t>
  </si>
  <si>
    <t>Bolivia</t>
  </si>
  <si>
    <t>Ca</t>
  </si>
  <si>
    <t>Bosnia and Herzegovina</t>
  </si>
  <si>
    <t>Botswana</t>
  </si>
  <si>
    <t>A3</t>
  </si>
  <si>
    <t>Brazil</t>
  </si>
  <si>
    <t>Ba1</t>
  </si>
  <si>
    <t>Bulgaria</t>
  </si>
  <si>
    <t>Burkina Faso</t>
  </si>
  <si>
    <t>Cambodia</t>
  </si>
  <si>
    <t>Cameroon</t>
  </si>
  <si>
    <t>Canada</t>
  </si>
  <si>
    <t>North America</t>
  </si>
  <si>
    <t>Cape Verde</t>
  </si>
  <si>
    <t>Cayman Islands</t>
  </si>
  <si>
    <t>Chile</t>
  </si>
  <si>
    <t>A1</t>
  </si>
  <si>
    <t>Colombia</t>
  </si>
  <si>
    <t>Congo (Democratic Republic of)</t>
  </si>
  <si>
    <t>Congo (Republic of)</t>
  </si>
  <si>
    <t>Caa2</t>
  </si>
  <si>
    <t>Cook Islands</t>
  </si>
  <si>
    <t>Costa Rica</t>
  </si>
  <si>
    <t>Côte d'Ivoire</t>
  </si>
  <si>
    <t>Ba2</t>
  </si>
  <si>
    <t>Croatia</t>
  </si>
  <si>
    <t>Cuba</t>
  </si>
  <si>
    <t>Curacao</t>
  </si>
  <si>
    <t>Cyprus</t>
  </si>
  <si>
    <t>Czech Republic</t>
  </si>
  <si>
    <t>Denmark</t>
  </si>
  <si>
    <t>Dominican Republic</t>
  </si>
  <si>
    <t>Ecuador</t>
  </si>
  <si>
    <t>Egypt</t>
  </si>
  <si>
    <t>El Salvador</t>
  </si>
  <si>
    <t>Estonia</t>
  </si>
  <si>
    <t>Ethiopia</t>
  </si>
  <si>
    <t>Fiji</t>
  </si>
  <si>
    <t>Finland</t>
  </si>
  <si>
    <t>France</t>
  </si>
  <si>
    <t>Gabon</t>
  </si>
  <si>
    <t>Georgia</t>
  </si>
  <si>
    <t>Germany</t>
  </si>
  <si>
    <t>Ghana</t>
  </si>
  <si>
    <t>Greece</t>
  </si>
  <si>
    <t>Guatemala</t>
  </si>
  <si>
    <t>Guernsey (States of)</t>
  </si>
  <si>
    <t>Honduras</t>
  </si>
  <si>
    <t>Hong Kong</t>
  </si>
  <si>
    <t>Hungary</t>
  </si>
  <si>
    <t>Baa2</t>
  </si>
  <si>
    <t>Iceland</t>
  </si>
  <si>
    <t>Indonesia</t>
  </si>
  <si>
    <t>Iraq</t>
  </si>
  <si>
    <t>Ireland</t>
  </si>
  <si>
    <t>Isle of Man</t>
  </si>
  <si>
    <t>Israel</t>
  </si>
  <si>
    <t>Italy</t>
  </si>
  <si>
    <t>Jamaica</t>
  </si>
  <si>
    <t>Jersey (States of)</t>
  </si>
  <si>
    <t>Jordan</t>
  </si>
  <si>
    <t>Kazakhstan</t>
  </si>
  <si>
    <t>Kenya</t>
  </si>
  <si>
    <t>Korea</t>
  </si>
  <si>
    <t>Kuwait</t>
  </si>
  <si>
    <t>Kyrgyzstan</t>
  </si>
  <si>
    <t>Laos</t>
  </si>
  <si>
    <t>Latvia</t>
  </si>
  <si>
    <t>Lebanon</t>
  </si>
  <si>
    <t>Liechtenstein</t>
  </si>
  <si>
    <t>Lithuania</t>
  </si>
  <si>
    <t>Luxembourg</t>
  </si>
  <si>
    <t>Macao</t>
  </si>
  <si>
    <t>Macedonia</t>
  </si>
  <si>
    <t>Malaysia</t>
  </si>
  <si>
    <t>Maldives</t>
  </si>
  <si>
    <t>Mali</t>
  </si>
  <si>
    <t>Malta</t>
  </si>
  <si>
    <t>Mauritius</t>
  </si>
  <si>
    <t>Mexico</t>
  </si>
  <si>
    <t>Moldova</t>
  </si>
  <si>
    <t>Mongolia</t>
  </si>
  <si>
    <t>Montenegro</t>
  </si>
  <si>
    <t>Montserrat</t>
  </si>
  <si>
    <t>Morocco</t>
  </si>
  <si>
    <t>Mozambique</t>
  </si>
  <si>
    <t>Namibia</t>
  </si>
  <si>
    <t>Nepal</t>
  </si>
  <si>
    <t>Netherlands</t>
  </si>
  <si>
    <t>New Zealand</t>
  </si>
  <si>
    <t>Nicaragua</t>
  </si>
  <si>
    <t>Niger</t>
  </si>
  <si>
    <t>Nigeria</t>
  </si>
  <si>
    <t>Norway</t>
  </si>
  <si>
    <t>Oman</t>
  </si>
  <si>
    <t>Pakistan</t>
  </si>
  <si>
    <t>Panama</t>
  </si>
  <si>
    <t>Papua New Guinea</t>
  </si>
  <si>
    <t>Paraguay</t>
  </si>
  <si>
    <t>Peru</t>
  </si>
  <si>
    <t>Philippines</t>
  </si>
  <si>
    <t>Poland</t>
  </si>
  <si>
    <t>Portugal</t>
  </si>
  <si>
    <t>Qatar</t>
  </si>
  <si>
    <t>Ras Al Khaimah (Emirate of)</t>
  </si>
  <si>
    <t>Romania</t>
  </si>
  <si>
    <t>Rwanda</t>
  </si>
  <si>
    <t>Saudi Arabia</t>
  </si>
  <si>
    <t>Senegal</t>
  </si>
  <si>
    <t>Serbia</t>
  </si>
  <si>
    <t>Sharjah</t>
  </si>
  <si>
    <t>Singapore</t>
  </si>
  <si>
    <t>Slovakia</t>
  </si>
  <si>
    <t>Slovenia</t>
  </si>
  <si>
    <t>Solomon Islands</t>
  </si>
  <si>
    <t>Spain</t>
  </si>
  <si>
    <t>Sri Lanka</t>
  </si>
  <si>
    <t>St. Maarten</t>
  </si>
  <si>
    <t>St. Vincent &amp; the Grenadines</t>
  </si>
  <si>
    <t>Suriname</t>
  </si>
  <si>
    <t>Swaziland</t>
  </si>
  <si>
    <t>Sweden</t>
  </si>
  <si>
    <t>Switzerland</t>
  </si>
  <si>
    <t>Taiwan</t>
  </si>
  <si>
    <t>Tajikistan</t>
  </si>
  <si>
    <t>Tanzania</t>
  </si>
  <si>
    <t>Thailand</t>
  </si>
  <si>
    <t>Togo</t>
  </si>
  <si>
    <t>Trinidad and Tobago</t>
  </si>
  <si>
    <t>Tunisia</t>
  </si>
  <si>
    <t>Turkey</t>
  </si>
  <si>
    <t>Turks and Caicos Islands</t>
  </si>
  <si>
    <t>Uganda</t>
  </si>
  <si>
    <t>Ukraine</t>
  </si>
  <si>
    <t>United Arab Emirates</t>
  </si>
  <si>
    <t>United Kingdom</t>
  </si>
  <si>
    <t>United States</t>
  </si>
  <si>
    <t>Uruguay</t>
  </si>
  <si>
    <t>Uzbekistan</t>
  </si>
  <si>
    <t>Venezuela</t>
  </si>
  <si>
    <t>Zambia</t>
  </si>
  <si>
    <t xml:space="preserve">WACC Inputs </t>
  </si>
  <si>
    <t>Local Currency 10Y Government Yield</t>
  </si>
  <si>
    <t>Credit Default spread as per Dr Damodaran</t>
  </si>
  <si>
    <t>Implied US Equity Risk Premium</t>
  </si>
  <si>
    <t xml:space="preserve">Asset Beta </t>
  </si>
  <si>
    <t>Asset Beta Variation (+/-)</t>
  </si>
  <si>
    <t>Debt to Capital (Gearing)</t>
  </si>
  <si>
    <t>Interest Coverage Ratio</t>
  </si>
  <si>
    <t>Provide Credit Rating</t>
  </si>
  <si>
    <t>Small Size Premium</t>
  </si>
  <si>
    <t>Company Credit Rating Available?</t>
  </si>
  <si>
    <t>Company is Large Firm or Small Firm</t>
  </si>
  <si>
    <t>Large</t>
  </si>
  <si>
    <t>Small</t>
  </si>
  <si>
    <t>Country Data</t>
  </si>
  <si>
    <t>Company Data</t>
  </si>
  <si>
    <t>For large non-financial service firms</t>
  </si>
  <si>
    <t>If interest coverage ratio is</t>
  </si>
  <si>
    <t>&gt;</t>
  </si>
  <si>
    <t>≤ to</t>
  </si>
  <si>
    <t>Rating is</t>
  </si>
  <si>
    <t>Spread is</t>
  </si>
  <si>
    <t>D2/D</t>
  </si>
  <si>
    <t>C2/C</t>
  </si>
  <si>
    <t>Ca2/CC</t>
  </si>
  <si>
    <t>Caa/CCC</t>
  </si>
  <si>
    <t>B3/B-</t>
  </si>
  <si>
    <t>B2/B</t>
  </si>
  <si>
    <t>B1/B+</t>
  </si>
  <si>
    <t>Ba2/BB</t>
  </si>
  <si>
    <t>Ba1/BB+</t>
  </si>
  <si>
    <t>Baa2/BBB</t>
  </si>
  <si>
    <t>A3/A-</t>
  </si>
  <si>
    <t>A2/A</t>
  </si>
  <si>
    <t>A1/A+</t>
  </si>
  <si>
    <t>Aa2/AA</t>
  </si>
  <si>
    <t>Aaa/AAA</t>
  </si>
  <si>
    <t>For smaller and riskier firms</t>
  </si>
  <si>
    <t>greater than</t>
  </si>
  <si>
    <t xml:space="preserve">Low </t>
  </si>
  <si>
    <t>Mid</t>
  </si>
  <si>
    <t>High</t>
  </si>
  <si>
    <t>Risk Free Rate</t>
  </si>
  <si>
    <t>Equity Risk Premium</t>
  </si>
  <si>
    <t>D/E Ratio</t>
  </si>
  <si>
    <t>Equity Beta</t>
  </si>
  <si>
    <t xml:space="preserve">CAMP Cost of Equity </t>
  </si>
  <si>
    <t>Asset Specific Premium</t>
  </si>
  <si>
    <t xml:space="preserve">Modified Cost of Equity </t>
  </si>
  <si>
    <t>Pre Tax Cost of Debt</t>
  </si>
  <si>
    <t>Post Tax Cost of Debt</t>
  </si>
  <si>
    <t>Capital Gearing (D/D+E)</t>
  </si>
  <si>
    <t>Weighted Average Cost of Capital (Rounded)</t>
  </si>
  <si>
    <t>ICR Based Corporate Default Spread</t>
  </si>
  <si>
    <t>Beta Analysis - 2 Years Weekly</t>
  </si>
  <si>
    <t xml:space="preserve">Comparable Company </t>
  </si>
  <si>
    <t>Ticker</t>
  </si>
  <si>
    <t>No.of Weekly Observations</t>
  </si>
  <si>
    <t>2 Years avg D/E</t>
  </si>
  <si>
    <t xml:space="preserve">Equity Beta </t>
  </si>
  <si>
    <t>2 Years avg D/D+E</t>
  </si>
  <si>
    <t>Dabur India</t>
  </si>
  <si>
    <t>Gokul Agro Resources Ltd</t>
  </si>
  <si>
    <t>Godrej Consumer Products Ltd</t>
  </si>
  <si>
    <t>Britannia Industries Ltd</t>
  </si>
  <si>
    <t>Emami Ltd</t>
  </si>
  <si>
    <t>Bajaj Consumer Care Ltd</t>
  </si>
  <si>
    <t>Sundrop Brands Ltd</t>
  </si>
  <si>
    <t>NSE: BAJAJCON</t>
  </si>
  <si>
    <t>NSE: EMAMILTD</t>
  </si>
  <si>
    <t>NSE: BRITANNIA</t>
  </si>
  <si>
    <t>NSE: GODREJCP</t>
  </si>
  <si>
    <t>NSE: GOKULAGRO</t>
  </si>
  <si>
    <t>NSE: SUNDROP</t>
  </si>
  <si>
    <t>NSE: DABUR</t>
  </si>
  <si>
    <t>NSE: HINDUNILVR</t>
  </si>
  <si>
    <t>Market Cap (Cr)</t>
  </si>
  <si>
    <r>
      <t> </t>
    </r>
    <r>
      <rPr>
        <sz val="9"/>
        <color rgb="FF22222F"/>
        <rFont val="Arial"/>
        <family val="2"/>
      </rPr>
      <t>91,904</t>
    </r>
  </si>
  <si>
    <t>Considered ?</t>
  </si>
  <si>
    <t>Median - Broad Set</t>
  </si>
  <si>
    <t>Average - Broad Set</t>
  </si>
  <si>
    <t>Median - Considered Set</t>
  </si>
  <si>
    <t>Average - Considered Set</t>
  </si>
  <si>
    <t>Beta Analysis - 5 Years Monthly</t>
  </si>
  <si>
    <t xml:space="preserve">1. Tax rate is considered as Marginal Tax Rate of India </t>
  </si>
  <si>
    <t>2. Asset Beta is considered as median of 5 years beta of comps adjusted for blume afeect</t>
  </si>
  <si>
    <t xml:space="preserve">3. Equity Beta = Asset Beta * (1+(1-Tax Rate%)*(Debt/Equity) </t>
  </si>
  <si>
    <t>Asset Beta</t>
  </si>
  <si>
    <t>Equity Risk Premium (ERP)</t>
  </si>
  <si>
    <t>For the purpose of assessing the cost of debt, we have used country's risk free rate, country's default spread and corporate default spread based on company's debt rating and interest coverage ratio</t>
  </si>
  <si>
    <t>Beta Cal</t>
  </si>
  <si>
    <t>Company Name</t>
  </si>
  <si>
    <t>2 Years D/E</t>
  </si>
  <si>
    <t>5 Years D/E</t>
  </si>
  <si>
    <t>2 Years D/(E+D)</t>
  </si>
  <si>
    <t>5 Years D/(E+D)</t>
  </si>
  <si>
    <t>2  YEARS DATA</t>
  </si>
  <si>
    <t>DEBT / EQUITY</t>
  </si>
  <si>
    <t>DEBT / EQUITY + DEBT</t>
  </si>
  <si>
    <t>Ratios (AVG)</t>
  </si>
  <si>
    <t>5 Years avg D/E</t>
  </si>
  <si>
    <t>5 Years avg D/D+E</t>
  </si>
  <si>
    <r>
      <t> </t>
    </r>
    <r>
      <rPr>
        <sz val="11"/>
        <color rgb="FF22222F"/>
        <rFont val="Calibri"/>
        <family val="2"/>
        <scheme val="minor"/>
      </rPr>
      <t>91,904</t>
    </r>
  </si>
  <si>
    <t>Blume Beta Analysis - 5 Years Monthly</t>
  </si>
  <si>
    <t>Small Size Premium &amp; Asset Specific Premium</t>
  </si>
  <si>
    <t xml:space="preserve">We are taking 0.45 as asset beta of FMCG Company </t>
  </si>
  <si>
    <t>Add: Depreciation &amp; Amortization</t>
  </si>
  <si>
    <t>Cash NOPAT</t>
  </si>
  <si>
    <t>Capex During the Year</t>
  </si>
  <si>
    <t>Mid Year ?</t>
  </si>
  <si>
    <t>Less: Minority Interest</t>
  </si>
  <si>
    <t>Add: Non Operating Asset</t>
  </si>
  <si>
    <t>Less: Equity Options</t>
  </si>
  <si>
    <t>Equity Value for shareholder</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</si>
  <si>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</si>
  <si>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</si>
  <si>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</si>
  <si>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</si>
  <si>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</si>
  <si>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</si>
  <si>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</si>
  <si>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Risk Free rate =</t>
  </si>
  <si>
    <t>Enter the number of options outstanding =</t>
  </si>
  <si>
    <t>Enter the number of shares outstanding =</t>
  </si>
  <si>
    <t>Do not input any numbers below this line</t>
  </si>
  <si>
    <t>VALUING OPTIONS WHEN THERE IS DILUTION</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</si>
  <si>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</si>
  <si>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</si>
  <si>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</si>
  <si>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</si>
  <si>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</si>
  <si>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</si>
  <si>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</si>
  <si>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</si>
  <si>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</si>
  <si>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</si>
  <si>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</si>
  <si>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</si>
  <si>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</si>
  <si>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</si>
  <si>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</si>
  <si>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</si>
  <si>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</si>
  <si>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Tranche</t>
  </si>
  <si>
    <t>Grant date</t>
  </si>
  <si>
    <t>No of Option Granted</t>
  </si>
  <si>
    <t>Exercise price</t>
  </si>
  <si>
    <t>Scheme XII</t>
  </si>
  <si>
    <t>Scheme XIII</t>
  </si>
  <si>
    <t>Scheme XIV</t>
  </si>
  <si>
    <t>Scheme XV</t>
  </si>
  <si>
    <t>Scheme XVI</t>
  </si>
  <si>
    <t>Scheme XVIII</t>
  </si>
  <si>
    <t>Scheme XIX</t>
  </si>
  <si>
    <t>Scheme XX</t>
  </si>
  <si>
    <t>Scheme XXII</t>
  </si>
  <si>
    <t>Scheme XXIV</t>
  </si>
  <si>
    <t>Scheme XXV</t>
  </si>
  <si>
    <t>Scheme XXVI</t>
  </si>
  <si>
    <t>Scheme XXVII</t>
  </si>
  <si>
    <t>Scheme XXVIII</t>
  </si>
  <si>
    <t>Scheme XXIX</t>
  </si>
  <si>
    <t>Scheme XXX</t>
  </si>
  <si>
    <t>Scheme XXXI</t>
  </si>
  <si>
    <t>Scheme XXXII</t>
  </si>
  <si>
    <t>Scheme XXXIII</t>
  </si>
  <si>
    <t>Scheme XXXIV</t>
  </si>
  <si>
    <t>Scheme XXXV</t>
  </si>
  <si>
    <t>Scheme XXXVII</t>
  </si>
  <si>
    <t>Scheme XXXVIII</t>
  </si>
  <si>
    <t>Scheme XXXIX</t>
  </si>
  <si>
    <t>Scheme XL</t>
  </si>
  <si>
    <t>Scheme XLI</t>
  </si>
  <si>
    <t>Scheme XLII</t>
  </si>
  <si>
    <t>Avg Maturity</t>
  </si>
  <si>
    <t xml:space="preserve"> Avg Expected
volatility</t>
  </si>
  <si>
    <t>AvgDividend yield (%</t>
  </si>
  <si>
    <t>Weighted Average</t>
  </si>
  <si>
    <t>Maturity Period</t>
  </si>
  <si>
    <t>Sensitivity Analysis</t>
  </si>
  <si>
    <t>WACC</t>
  </si>
  <si>
    <t>Deferred tax assets</t>
  </si>
  <si>
    <t>Historical Current Assets</t>
  </si>
  <si>
    <t>Other Non Current assets</t>
  </si>
  <si>
    <t>Add: Cash</t>
  </si>
  <si>
    <t>Date</t>
  </si>
  <si>
    <t>Adj Close</t>
  </si>
  <si>
    <t>2026P</t>
  </si>
  <si>
    <t>2025p</t>
  </si>
  <si>
    <t>2026p</t>
  </si>
  <si>
    <t>2027–2029p</t>
  </si>
  <si>
    <t xml:space="preserve">World </t>
  </si>
  <si>
    <t xml:space="preserve">Emerging Markets </t>
  </si>
  <si>
    <t xml:space="preserve">Advanced Economies </t>
  </si>
  <si>
    <t>2027P</t>
  </si>
  <si>
    <t>2028P</t>
  </si>
  <si>
    <t>2029P</t>
  </si>
  <si>
    <t>2030P</t>
  </si>
  <si>
    <t>2025P</t>
  </si>
  <si>
    <t>Market size (USD billion)</t>
  </si>
  <si>
    <t>FMCG Share</t>
  </si>
  <si>
    <t>Urban</t>
  </si>
  <si>
    <t>Rural</t>
  </si>
  <si>
    <t>Segment</t>
  </si>
  <si>
    <t>Health care</t>
  </si>
  <si>
    <t>Market Share</t>
  </si>
  <si>
    <t xml:space="preserve">Personal Care </t>
  </si>
  <si>
    <t>India's Disposable Income - Per Capita (US$ thousand)</t>
  </si>
  <si>
    <t xml:space="preserve">Product </t>
  </si>
  <si>
    <t>Coconut oil</t>
  </si>
  <si>
    <t>Hair oils</t>
  </si>
  <si>
    <t>Edible oils</t>
  </si>
  <si>
    <t>Food</t>
  </si>
  <si>
    <t>Personal care</t>
  </si>
  <si>
    <t>General Trade</t>
  </si>
  <si>
    <t>Modern Trade</t>
  </si>
  <si>
    <t>Quick Commerce</t>
  </si>
  <si>
    <t>Channel</t>
  </si>
  <si>
    <t>Share of India Revenue</t>
  </si>
  <si>
    <t>SG%A Expense</t>
  </si>
  <si>
    <t>Perpetuity Growth Rate</t>
  </si>
  <si>
    <t xml:space="preserve"> Exit Multiple</t>
  </si>
  <si>
    <t>Emperically small size assets have exceeded the returns as compared to large sized asset. We have used the study on size premium conducted by Incwert which is based on difference between actual return and CAPM expected returns arranged in decile basis market capitalization of Indian companies.</t>
  </si>
  <si>
    <t>Equity Value Available for Shareholders</t>
  </si>
  <si>
    <t>Value Per Share</t>
  </si>
  <si>
    <t>Share Market Price</t>
  </si>
  <si>
    <t>Discount Premium</t>
  </si>
  <si>
    <t>Premium %</t>
  </si>
  <si>
    <t>Valuation Method</t>
  </si>
  <si>
    <t>Enterprise Value (Cr.)</t>
  </si>
  <si>
    <t>Equity Value (Cr.)</t>
  </si>
  <si>
    <t>Value per Share (₹)</t>
  </si>
  <si>
    <t>Market Price (₹)</t>
  </si>
  <si>
    <t>Discount / Premium (₹)</t>
  </si>
  <si>
    <t>DCF – Perpetuity Growth</t>
  </si>
  <si>
    <t>DCF – Exit Multiple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</si>
</sst>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6" formatCode="&quot;₹&quot;\ #,##0;[Red]&quot;₹&quot;\ \-#,##0"/>
    <numFmt numFmtId="164" formatCode="#,##0;\(#,##0\);\-"/>
    <numFmt numFmtId="165" formatCode="0.0%"/>
    <numFmt numFmtId="166" formatCode="&quot;₹&quot;\ #,##0.00"/>
    <numFmt numFmtId="167" formatCode="&quot;₹&quot;\ #,##0"/>
    <numFmt numFmtId="168" formatCode="&quot;₹&quot;\ #,##0.0"/>
    <numFmt numFmtId="169" formatCode="&quot;FY&quot;0"/>
    <numFmt numFmtId="170" formatCode="0\ &quot;Days&quot;"/>
    <numFmt numFmtId="171" formatCode="0\ &quot;days&quot;"/>
    <numFmt numFmtId="172" formatCode="0.0"/>
    <numFmt numFmtId="173" formatCode="0.0&quot;x&quot;"/>
    <numFmt numFmtId="174" formatCode="0.0.&quot;x&quot;"/>
    <numFmt numFmtId="175" formatCode="mmm/yyyy"/>
    <numFmt numFmtId="176" formatCode="0&quot;F&quot;"/>
    <numFmt numFmtId="177" formatCode="0.000%"/>
    <numFmt numFmtId="178" formatCode="#,##0;\(#,##0\)"/>
    <numFmt numFmtId="179" formatCode="0&quot; days&quot;"/>
    <numFmt numFmtId="180" formatCode="0.00&quot;x&quot;"/>
    <numFmt numFmtId="181" formatCode="0&quot;x&quot;"/>
    <numFmt numFmtId="182" formatCode="&quot;Useful Life - &quot;\ 0\ &quot;Years&quot;"/>
    <numFmt numFmtId="183" formatCode="#,##0.00;\(#,##0.00\);\-"/>
    <numFmt numFmtId="184" formatCode="#,##0.000;\(#,##0.000\);\-"/>
    <numFmt numFmtId="185" formatCode="0.0000"/>
    <numFmt numFmtId="186" formatCode="#,##0.000"/>
    <numFmt numFmtId="187" formatCode="_(&quot;$&quot;* #,##0.00_);_(&quot;$&quot;* \(#,##0.00\);_(&quot;$&quot;* &quot;-&quot;??_);_(@_)"/>
    <numFmt numFmtId="188" formatCode="_(* #,##0.00_);_(* \(#,##0.00\);_(* &quot;-&quot;??_);_(@_)"/>
    <numFmt numFmtId="189" formatCode="#,##0.0000"/>
    <numFmt numFmtId="190" formatCode="0&quot;P&quot;"/>
    <numFmt numFmtId="191" formatCode="0\ &quot;B&quot;"/>
    <numFmt numFmtId="192" formatCode="0&quot;A&quot;"/>
  </numFmts>
  <fonts count="125">
    <font>
      <sz val="11"/>
      <color theme="1"/>
      <name val="Calibri"/>
      <family val="2"/>
    </font>
    <font>
      <sz val="11"/>
      <color theme="1"/>
      <name val="Calibri"/>
      <family val="2"/>
      <scheme val="minor"/>
    </font>
    <font>
      <sz val="10"/>
      <name val="Arial"/>
      <family val="2"/>
    </font>
    <font>
      <sz val="11"/>
      <name val="Calibri"/>
      <family val="2"/>
      <scheme val="minor"/>
    </font>
    <font>
      <sz val="12"/>
      <name val="Arial"/>
      <family val="2"/>
    </font>
    <font>
      <b/>
      <sz val="11"/>
      <color rgb="FF000000"/>
      <name val="Calibri"/>
      <family val="2"/>
      <scheme val="minor"/>
    </font>
    <font>
      <sz val="10"/>
      <name val="Calibri"/>
      <family val="2"/>
      <scheme val="minor"/>
    </font>
    <font>
      <sz val="11"/>
      <color theme="1"/>
      <name val="Calibri"/>
      <family val="2"/>
      <scheme val="minor"/>
    </font>
    <font>
      <b/>
      <sz val="10"/>
      <name val="Calibri"/>
      <family val="2"/>
      <scheme val="minor"/>
    </font>
    <font>
      <sz val="10"/>
      <color theme="1"/>
      <name val="Calibri"/>
      <family val="2"/>
      <scheme val="minor"/>
    </font>
    <font>
      <sz val="14"/>
      <color theme="1"/>
      <name val="Calibri"/>
      <family val="2"/>
    </font>
    <font>
      <b/>
      <sz val="11"/>
      <color theme="1"/>
      <name val="Calibri"/>
      <family val="2"/>
    </font>
    <font>
      <b/>
      <sz val="11"/>
      <color theme="0"/>
      <name val="Calibri"/>
      <family val="2"/>
    </font>
    <font>
      <b/>
      <sz val="14"/>
      <color theme="1"/>
      <name val="Calibri"/>
      <family val="2"/>
    </font>
    <font>
      <b/>
      <sz val="18"/>
      <color rgb="FF0070C0"/>
      <name val="Calibri"/>
      <family val="2"/>
    </font>
    <font>
      <sz val="11"/>
      <color rgb="FF3333FF"/>
      <name val="Calibri"/>
      <family val="2"/>
    </font>
    <font>
      <sz val="11"/>
      <color rgb="FF00B050"/>
      <name val="Calibri"/>
      <family val="2"/>
    </font>
    <font>
      <b/>
      <sz val="14"/>
      <color theme="0"/>
      <name val="Calibri"/>
      <family val="2"/>
    </font>
    <font>
      <i/>
      <sz val="10"/>
      <color rgb="FF3333FF"/>
      <name val="Calibri"/>
      <family val="2"/>
    </font>
    <font>
      <b/>
      <sz val="11"/>
      <color rgb="FF3333FF"/>
      <name val="Calibri"/>
      <family val="2"/>
    </font>
    <font>
      <b/>
      <sz val="12"/>
      <color theme="1"/>
      <name val="Calibri"/>
      <family val="2"/>
    </font>
    <font>
      <b/>
      <u/>
      <sz val="11"/>
      <color theme="1"/>
      <name val="Calibri"/>
      <family val="2"/>
    </font>
    <font>
      <b/>
      <sz val="11"/>
      <color rgb="FF00B050"/>
      <name val="Calibri"/>
      <family val="2"/>
    </font>
    <font>
      <b/>
      <sz val="11"/>
      <name val="Calibri"/>
      <family val="2"/>
    </font>
    <font>
      <sz val="11"/>
      <color theme="1"/>
      <name val="Calibri"/>
      <family val="2"/>
    </font>
    <font>
      <sz val="11"/>
      <color rgb="FF000000"/>
      <name val="Calibri"/>
      <family val="2"/>
      <scheme val="minor"/>
    </font>
    <font>
      <b/>
      <u/>
      <sz val="11"/>
      <color rgb="FF000000"/>
      <name val="Calibri"/>
      <family val="2"/>
      <scheme val="minor"/>
    </font>
    <font>
      <sz val="14"/>
      <color theme="0"/>
      <name val="Calibri"/>
      <family val="2"/>
    </font>
    <font>
      <b/>
      <sz val="11"/>
      <name val="Calibri"/>
      <family val="2"/>
      <scheme val="minor"/>
    </font>
    <font>
      <sz val="10"/>
      <color rgb="FF00B050"/>
      <name val="Calibri"/>
      <family val="2"/>
      <scheme val="minor"/>
    </font>
    <font>
      <sz val="11"/>
      <color theme="0"/>
      <name val="Calibri"/>
      <family val="2"/>
    </font>
    <font>
      <sz val="11"/>
      <color rgb="FF000000"/>
      <name val="Calibri"/>
    </font>
    <font>
      <b/>
      <sz val="12"/>
      <color theme="0"/>
      <name val="Calibri"/>
      <family val="2"/>
    </font>
    <font>
      <b/>
      <sz val="11"/>
      <color rgb="FF000000"/>
      <name val="Calibri"/>
      <family val="2"/>
    </font>
    <font>
      <i/>
      <sz val="11"/>
      <color theme="1"/>
      <name val="Calibri"/>
      <family val="2"/>
    </font>
    <font>
      <i/>
      <sz val="11"/>
      <color rgb="FF000000"/>
      <name val="Calibri"/>
      <family val="2"/>
    </font>
    <font>
      <sz val="11"/>
      <color rgb="FF000000"/>
      <name val="Calibri"/>
      <family val="2"/>
    </font>
    <font>
      <b/>
      <sz val="10"/>
      <color rgb="FF0A0A0A"/>
      <name val="Arial"/>
      <family val="2"/>
    </font>
    <font>
      <sz val="10"/>
      <color rgb="FF0A0A0A"/>
      <name val="Arial"/>
      <family val="2"/>
    </font>
    <font>
      <sz val="11"/>
      <name val="Calibri"/>
      <family val="2"/>
    </font>
    <font>
      <sz val="11"/>
      <color rgb="FFFF0000"/>
      <name val="Calibri"/>
      <family val="2"/>
    </font>
    <font>
      <sz val="9"/>
      <color rgb="FF000000"/>
      <name val="Arial"/>
      <family val="2"/>
    </font>
    <font>
      <sz val="11"/>
      <color theme="1"/>
      <name val="Aptos"/>
      <family val="2"/>
    </font>
    <font>
      <sz val="10"/>
      <color theme="1"/>
      <name val="Aptos"/>
      <family val="2"/>
    </font>
    <font>
      <sz val="9"/>
      <color theme="1"/>
      <name val="Aptos"/>
      <family val="2"/>
    </font>
    <font>
      <sz val="10"/>
      <color rgb="FF002060"/>
      <name val="Aptos"/>
      <family val="2"/>
    </font>
    <font>
      <b/>
      <sz val="11"/>
      <color theme="1"/>
      <name val="Aptos"/>
      <family val="2"/>
    </font>
    <font>
      <u/>
      <sz val="11"/>
      <color theme="10"/>
      <name val="Calibri"/>
      <family val="2"/>
    </font>
    <font>
      <sz val="8"/>
      <color rgb="FF101828"/>
      <name val="__Inter_f367f3"/>
    </font>
    <font>
      <b/>
      <sz val="12"/>
      <name val="Calibri"/>
      <family val="2"/>
    </font>
    <font>
      <sz val="7"/>
      <color theme="1"/>
      <name val="Times New Roman"/>
      <family val="1"/>
    </font>
    <font>
      <sz val="11"/>
      <color theme="9" tint="-0.249977111117893"/>
      <name val="Calibri"/>
      <family val="2"/>
    </font>
    <font>
      <sz val="9"/>
      <color theme="1"/>
      <name val="Calibri"/>
      <family val="2"/>
    </font>
    <font>
      <sz val="9"/>
      <name val="Arial"/>
      <family val="2"/>
    </font>
    <font>
      <sz val="9"/>
      <name val="Calibri"/>
      <family val="2"/>
    </font>
    <font>
      <sz val="10"/>
      <name val="Verdana"/>
      <family val="2"/>
    </font>
    <font>
      <sz val="12"/>
      <color theme="1"/>
      <name val="Calibri"/>
      <family val="2"/>
      <scheme val="minor"/>
    </font>
    <font>
      <u/>
      <sz val="12"/>
      <color theme="10"/>
      <name val="Calibri"/>
      <family val="2"/>
      <scheme val="minor"/>
    </font>
    <font>
      <sz val="8"/>
      <color rgb="FF303030"/>
      <name val="Arial"/>
      <family val="2"/>
    </font>
    <font>
      <b/>
      <sz val="8"/>
      <color rgb="FF303030"/>
      <name val="Arial"/>
      <family val="2"/>
    </font>
    <font>
      <sz val="9"/>
      <color rgb="FF000000"/>
      <name val="Calibri"/>
      <family val="2"/>
      <scheme val="minor"/>
    </font>
    <font>
      <b/>
      <sz val="10"/>
      <color theme="1"/>
      <name val="Calibri"/>
      <family val="2"/>
      <scheme val="minor"/>
    </font>
    <font>
      <sz val="10"/>
      <color rgb="FF303030"/>
      <name val="Calibri"/>
      <family val="2"/>
      <scheme val="minor"/>
    </font>
    <font>
      <b/>
      <sz val="10"/>
      <color rgb="FF303030"/>
      <name val="Calibri"/>
      <family val="2"/>
      <scheme val="minor"/>
    </font>
    <font>
      <b/>
      <i/>
      <sz val="11"/>
      <color theme="1"/>
      <name val="Calibri"/>
      <family val="2"/>
    </font>
    <font>
      <sz val="14"/>
      <color rgb="FF22222F"/>
      <name val="Arial"/>
      <family val="2"/>
    </font>
    <font>
      <sz val="12"/>
      <color rgb="FF22222F"/>
      <name val="Arial"/>
      <family val="2"/>
    </font>
    <font>
      <b/>
      <sz val="16"/>
      <color theme="1"/>
      <name val="Calibri"/>
      <family val="2"/>
    </font>
    <font>
      <sz val="12"/>
      <color theme="1"/>
      <name val="Calibri"/>
      <family val="2"/>
    </font>
    <font>
      <sz val="12"/>
      <name val="Calibri"/>
      <family val="2"/>
    </font>
    <font>
      <sz val="9"/>
      <color indexed="81"/>
      <name val="Tahoma"/>
      <family val="2"/>
    </font>
    <font>
      <b/>
      <sz val="9"/>
      <color indexed="81"/>
      <name val="Tahoma"/>
      <family val="2"/>
    </font>
    <font>
      <b/>
      <sz val="18"/>
      <color theme="1"/>
      <name val="Calibri"/>
      <family val="2"/>
    </font>
    <font>
      <i/>
      <sz val="12"/>
      <color rgb="FF000000"/>
      <name val="Calibri"/>
      <family val="2"/>
      <scheme val="minor"/>
    </font>
    <font>
      <i/>
      <sz val="11"/>
      <color rgb="FF000000"/>
      <name val="Calibri"/>
      <family val="2"/>
      <scheme val="minor"/>
    </font>
    <font>
      <i/>
      <sz val="11"/>
      <color theme="1"/>
      <name val="Calibri"/>
      <family val="2"/>
      <scheme val="minor"/>
    </font>
    <font>
      <b/>
      <sz val="12"/>
      <color rgb="FF00B050"/>
      <name val="Calibri"/>
      <family val="2"/>
    </font>
    <font>
      <b/>
      <sz val="16"/>
      <name val="Calibri"/>
      <family val="2"/>
    </font>
    <font>
      <b/>
      <sz val="11"/>
      <color theme="0"/>
      <name val="Calibri"/>
      <family val="2"/>
      <scheme val="minor"/>
    </font>
    <font>
      <i/>
      <sz val="16"/>
      <color theme="1"/>
      <name val="Calibri"/>
      <family val="2"/>
    </font>
    <font>
      <b/>
      <sz val="12"/>
      <color theme="1"/>
      <name val="Calibri"/>
      <family val="2"/>
      <scheme val="minor"/>
    </font>
    <font>
      <b/>
      <sz val="12"/>
      <name val="Calibri"/>
      <family val="2"/>
      <scheme val="minor"/>
    </font>
    <font>
      <sz val="9"/>
      <color theme="1"/>
      <name val="Calibri"/>
      <family val="2"/>
      <scheme val="minor"/>
    </font>
    <font>
      <sz val="9"/>
      <color rgb="FF333333"/>
      <name val="Calibri"/>
      <family val="2"/>
      <scheme val="minor"/>
    </font>
    <font>
      <sz val="9"/>
      <name val="Calibri"/>
      <family val="2"/>
      <scheme val="minor"/>
    </font>
    <font>
      <i/>
      <sz val="16"/>
      <color theme="1"/>
      <name val="Calibri"/>
      <family val="2"/>
      <scheme val="minor"/>
    </font>
    <font>
      <i/>
      <sz val="11"/>
      <color rgb="FFFF0000"/>
      <name val="Calibri"/>
      <family val="2"/>
    </font>
    <font>
      <sz val="16"/>
      <color theme="1"/>
      <name val="Calibri"/>
      <family val="2"/>
    </font>
    <font>
      <sz val="11"/>
      <color theme="1" tint="0.249977111117893"/>
      <name val="Calibri"/>
      <family val="2"/>
    </font>
    <font>
      <sz val="12"/>
      <color rgb="FF3333FF"/>
      <name val="Calibri"/>
      <family val="2"/>
    </font>
    <font>
      <i/>
      <sz val="11"/>
      <name val="Calibri"/>
      <family val="2"/>
    </font>
    <font>
      <i/>
      <sz val="11"/>
      <color rgb="FF00B050"/>
      <name val="Calibri"/>
      <family val="2"/>
    </font>
    <font>
      <b/>
      <i/>
      <sz val="12"/>
      <color rgb="FF3333FF"/>
      <name val="Calibri"/>
      <family val="2"/>
    </font>
    <font>
      <b/>
      <sz val="12"/>
      <color rgb="FF000000"/>
      <name val="Calibri"/>
      <family val="2"/>
    </font>
    <font>
      <b/>
      <sz val="12"/>
      <color rgb="FF3333FF"/>
      <name val="Calibri"/>
      <family val="2"/>
    </font>
    <font>
      <i/>
      <sz val="10"/>
      <name val="Times Roman"/>
    </font>
    <font>
      <sz val="10"/>
      <name val="Times Roman"/>
    </font>
    <font>
      <sz val="16"/>
      <color rgb="FF3333FF"/>
      <name val="Calibri"/>
      <family val="2"/>
    </font>
    <font>
      <sz val="9"/>
      <color rgb="FF22222F"/>
      <name val="Arial"/>
      <family val="2"/>
    </font>
    <font>
      <sz val="10"/>
      <color theme="1"/>
      <name val="Calibri"/>
      <family val="2"/>
    </font>
    <font>
      <i/>
      <sz val="9"/>
      <color theme="1"/>
      <name val="Calibri"/>
      <family val="2"/>
    </font>
    <font>
      <b/>
      <sz val="11"/>
      <color rgb="FF002060"/>
      <name val="Calibri"/>
      <family val="2"/>
    </font>
    <font>
      <sz val="10"/>
      <color rgb="FF353434"/>
      <name val="Calibri"/>
      <family val="2"/>
      <scheme val="minor"/>
    </font>
    <font>
      <u/>
      <sz val="11"/>
      <color theme="10"/>
      <name val="Calibri"/>
      <family val="2"/>
      <scheme val="minor"/>
    </font>
    <font>
      <sz val="11"/>
      <color rgb="FF22222F"/>
      <name val="Calibri"/>
      <family val="2"/>
      <scheme val="minor"/>
    </font>
    <font>
      <sz val="11"/>
      <color rgb="FF212529"/>
      <name val="Calibri"/>
      <family val="2"/>
      <scheme val="minor"/>
    </font>
    <font>
      <sz val="9"/>
      <name val="Geneva"/>
      <family val="2"/>
    </font>
    <font>
      <b/>
      <sz val="14"/>
      <name val="Geneva"/>
      <family val="2"/>
    </font>
    <font>
      <b/>
      <sz val="11"/>
      <color rgb="FF3333FF"/>
      <name val="Calibri"/>
      <family val="2"/>
      <scheme val="minor"/>
    </font>
    <font>
      <b/>
      <i/>
      <sz val="11"/>
      <name val="Calibri"/>
      <family val="2"/>
      <scheme val="minor"/>
    </font>
    <font>
      <i/>
      <sz val="11"/>
      <name val="Calibri"/>
      <family val="2"/>
      <scheme val="minor"/>
    </font>
    <font>
      <i/>
      <sz val="10"/>
      <name val="Geneva"/>
      <family val="2"/>
    </font>
    <font>
      <sz val="10"/>
      <name val="Times"/>
      <family val="1"/>
    </font>
    <font>
      <b/>
      <i/>
      <sz val="9"/>
      <name val="Geneva"/>
    </font>
    <font>
      <b/>
      <sz val="10"/>
      <color theme="0"/>
      <name val="Times"/>
      <family val="1"/>
    </font>
    <font>
      <b/>
      <sz val="10"/>
      <color theme="0"/>
      <name val="Geneva"/>
      <family val="2"/>
      <charset val="1"/>
    </font>
    <font>
      <sz val="11"/>
      <color rgb="FF0055A4"/>
      <name val="Calibri"/>
      <family val="2"/>
    </font>
    <font>
      <b/>
      <sz val="10"/>
      <color theme="1"/>
      <name val="Arial"/>
      <family val="2"/>
    </font>
    <font>
      <sz val="10"/>
      <color theme="1"/>
      <name val="Arial"/>
      <family val="2"/>
    </font>
    <font>
      <b/>
      <sz val="14"/>
      <color rgb="FF9ACA3C"/>
      <name val="Calibri"/>
      <family val="2"/>
    </font>
    <font>
      <b/>
      <sz val="12"/>
      <color rgb="FF9ACA3C"/>
      <name val="Calibri"/>
      <family val="2"/>
    </font>
    <font>
      <b/>
      <sz val="10"/>
      <color theme="1"/>
      <name val="Calibri"/>
      <family val="2"/>
    </font>
    <font>
      <sz val="10"/>
      <color rgb="FF00B050"/>
      <name val="Calibri"/>
      <family val="2"/>
    </font>
    <font>
      <sz val="10"/>
      <color theme="0"/>
      <name val="Calibri"/>
      <family val="2"/>
    </font>
    <font>
      <sz val="11"/>
      <color rgb="FF002060"/>
      <name val="Calibri"/>
      <family val="2"/>
    </font>
  </fonts>
  <fills count="14">
    <fill>
      <patternFill patternType="none"/>
    </fill>
    <fill>
      <patternFill patternType="gray125"/>
    </fill>
    <fill>
      <patternFill patternType="solid">
        <fgColor rgb="FF002060"/>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6" tint="0.59999389629810485"/>
        <bgColor indexed="64"/>
      </patternFill>
    </fill>
    <fill>
      <patternFill patternType="solid">
        <fgColor rgb="FFFFC7CE"/>
        <bgColor indexed="64"/>
      </patternFill>
    </fill>
    <fill>
      <patternFill patternType="solid">
        <fgColor rgb="FFC6EFCE"/>
        <bgColor indexed="64"/>
      </patternFill>
    </fill>
  </fills>
  <borders count="32">
    <border>
      <left/>
      <right/>
      <top/>
      <bottom/>
      <diagonal/>
    </border>
    <border>
      <left/>
      <right/>
      <top/>
      <bottom style="thin">
        <color indexed="64"/>
      </bottom>
      <diagonal/>
    </border>
    <border>
      <left/>
      <right/>
      <top style="thin">
        <color indexed="64"/>
      </top>
      <bottom style="medium">
        <color indexed="64"/>
      </bottom>
      <diagonal/>
    </border>
    <border>
      <left/>
      <right/>
      <top/>
      <bottom style="thin">
        <color rgb="FF002060"/>
      </bottom>
      <diagonal/>
    </border>
    <border>
      <left/>
      <right/>
      <top style="hair">
        <color auto="1"/>
      </top>
      <bottom style="hair">
        <color auto="1"/>
      </bottom>
      <diagonal/>
    </border>
    <border>
      <left/>
      <right/>
      <top style="thin">
        <color auto="1"/>
      </top>
      <bottom/>
      <diagonal/>
    </border>
    <border>
      <left/>
      <right/>
      <top/>
      <bottom style="hair">
        <color auto="1"/>
      </bottom>
      <diagonal/>
    </border>
    <border>
      <left/>
      <right/>
      <top style="dashed">
        <color auto="1"/>
      </top>
      <bottom/>
      <diagonal/>
    </border>
    <border>
      <left/>
      <right/>
      <top style="thin">
        <color auto="1"/>
      </top>
      <bottom style="thin">
        <color auto="1"/>
      </bottom>
      <diagonal/>
    </border>
    <border>
      <left/>
      <right/>
      <top style="hair">
        <color auto="1"/>
      </top>
      <bottom/>
      <diagonal/>
    </border>
    <border>
      <left/>
      <right/>
      <top style="dashed">
        <color auto="1"/>
      </top>
      <bottom style="dashed">
        <color auto="1"/>
      </bottom>
      <diagonal/>
    </border>
    <border>
      <left/>
      <right/>
      <top/>
      <bottom style="medium">
        <color indexed="64"/>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dashed">
        <color auto="1"/>
      </bottom>
      <diagonal/>
    </border>
    <border>
      <left/>
      <right/>
      <top style="dashed">
        <color auto="1"/>
      </top>
      <bottom style="thin">
        <color auto="1"/>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
      <left style="medium">
        <color rgb="FFCCCCCC"/>
      </left>
      <right style="medium">
        <color rgb="FFCCCCCC"/>
      </right>
      <top style="medium">
        <color rgb="FFCCCCCC"/>
      </top>
      <bottom style="medium">
        <color rgb="FFCCCCCC"/>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diagonal/>
    </border>
    <border>
      <left/>
      <right/>
      <top style="thin">
        <color theme="0" tint="-0.499984740745262"/>
      </top>
      <bottom style="thin">
        <color theme="0" tint="-0.499984740745262"/>
      </bottom>
      <diagonal/>
    </border>
    <border>
      <left/>
      <right/>
      <top style="thin">
        <color theme="0" tint="-0.499984740745262"/>
      </top>
      <bottom/>
      <diagonal/>
    </border>
  </borders>
  <cellStyleXfs count="13">
    <xf numFmtId="0" fontId="0" fillId="0" borderId="0"/>
    <xf numFmtId="9" fontId="7" fillId="0" borderId="0" applyFont="0" applyFill="0" applyBorder="0" applyAlignment="0" applyProtection="0"/>
    <xf numFmtId="0" fontId="2" fillId="0" borderId="0"/>
    <xf numFmtId="0" fontId="4" fillId="0" borderId="0"/>
    <xf numFmtId="0" fontId="31" fillId="0" borderId="0"/>
    <xf numFmtId="9" fontId="31" fillId="0" borderId="0" applyFont="0" applyFill="0" applyBorder="0" applyAlignment="0" applyProtection="0"/>
    <xf numFmtId="0" fontId="47" fillId="0" borderId="0" applyNumberFormat="0" applyFill="0" applyBorder="0" applyAlignment="0" applyProtection="0"/>
    <xf numFmtId="0" fontId="56" fillId="0" borderId="0"/>
    <xf numFmtId="0" fontId="57" fillId="0" borderId="0" applyNumberFormat="0" applyFill="0" applyBorder="0" applyAlignment="0" applyProtection="0"/>
    <xf numFmtId="0" fontId="106" fillId="0" borderId="0"/>
    <xf numFmtId="187" fontId="106" fillId="0" borderId="0" applyFont="0" applyFill="0" applyBorder="0" applyAlignment="0" applyProtection="0"/>
    <xf numFmtId="9" fontId="106" fillId="0" borderId="0" applyFont="0" applyFill="0" applyBorder="0" applyAlignment="0" applyProtection="0"/>
    <xf numFmtId="188" fontId="106" fillId="0" borderId="0" applyFont="0" applyFill="0" applyBorder="0" applyAlignment="0" applyProtection="0"/>
  </cellStyleXfs>
  <cellXfs count="686">
    <xf numFmtId="0" fontId="0" fillId="0" borderId="0" xfId="0"/>
    <xf numFmtId="164" fontId="5" fillId="0" borderId="0" xfId="3" applyNumberFormat="1" applyFont="1" applyAlignment="1">
      <alignment vertical="center"/>
    </xf>
    <xf numFmtId="0" fontId="6" fillId="0" borderId="0" xfId="2" applyFont="1"/>
    <xf numFmtId="0" fontId="3" fillId="0" borderId="0" xfId="2" applyFont="1"/>
    <xf numFmtId="0" fontId="8" fillId="0" borderId="0" xfId="2" applyFont="1"/>
    <xf numFmtId="164" fontId="9" fillId="0" borderId="0" xfId="1" applyNumberFormat="1" applyFont="1" applyFill="1"/>
    <xf numFmtId="0" fontId="8" fillId="0" borderId="2" xfId="2" applyFont="1" applyBorder="1"/>
    <xf numFmtId="0" fontId="10" fillId="0" borderId="0" xfId="0" applyFont="1"/>
    <xf numFmtId="0" fontId="0" fillId="0" borderId="3" xfId="0" applyBorder="1"/>
    <xf numFmtId="0" fontId="13" fillId="0" borderId="0" xfId="0" applyFont="1"/>
    <xf numFmtId="0" fontId="14" fillId="0" borderId="0" xfId="0" applyFont="1"/>
    <xf numFmtId="0" fontId="12" fillId="2" borderId="0" xfId="0" applyFont="1" applyFill="1"/>
    <xf numFmtId="0" fontId="0" fillId="4" borderId="0" xfId="0" applyFill="1"/>
    <xf numFmtId="0" fontId="0" fillId="0" borderId="4" xfId="0" applyBorder="1"/>
    <xf numFmtId="0" fontId="15" fillId="0" borderId="4" xfId="0" applyFont="1" applyBorder="1"/>
    <xf numFmtId="0" fontId="11" fillId="5" borderId="0" xfId="0" applyFont="1" applyFill="1"/>
    <xf numFmtId="0" fontId="0" fillId="5" borderId="0" xfId="0" applyFill="1"/>
    <xf numFmtId="165" fontId="15" fillId="0" borderId="4" xfId="0" applyNumberFormat="1" applyFont="1" applyBorder="1"/>
    <xf numFmtId="0" fontId="11" fillId="0" borderId="0" xfId="0" applyFont="1"/>
    <xf numFmtId="0" fontId="15" fillId="0" borderId="0" xfId="0" applyFont="1"/>
    <xf numFmtId="0" fontId="11" fillId="0" borderId="5" xfId="0" applyFont="1" applyBorder="1"/>
    <xf numFmtId="0" fontId="0" fillId="0" borderId="5" xfId="0" applyBorder="1"/>
    <xf numFmtId="165" fontId="16" fillId="5" borderId="0" xfId="1" applyNumberFormat="1" applyFont="1" applyFill="1" applyBorder="1"/>
    <xf numFmtId="167" fontId="0" fillId="0" borderId="1" xfId="0" applyNumberFormat="1" applyBorder="1"/>
    <xf numFmtId="1" fontId="0" fillId="0" borderId="0" xfId="0" applyNumberFormat="1"/>
    <xf numFmtId="0" fontId="17" fillId="2" borderId="0" xfId="0" applyFont="1" applyFill="1"/>
    <xf numFmtId="0" fontId="11" fillId="0" borderId="6" xfId="0" applyFont="1" applyBorder="1"/>
    <xf numFmtId="0" fontId="0" fillId="0" borderId="6" xfId="0" applyBorder="1"/>
    <xf numFmtId="0" fontId="18" fillId="0" borderId="3" xfId="0" applyFont="1" applyBorder="1"/>
    <xf numFmtId="165" fontId="11" fillId="5" borderId="0" xfId="1" applyNumberFormat="1" applyFont="1" applyFill="1"/>
    <xf numFmtId="167" fontId="0" fillId="0" borderId="0" xfId="0" applyNumberFormat="1"/>
    <xf numFmtId="0" fontId="20" fillId="4" borderId="0" xfId="0" applyFont="1" applyFill="1"/>
    <xf numFmtId="0" fontId="21" fillId="0" borderId="0" xfId="0" applyFont="1"/>
    <xf numFmtId="0" fontId="11" fillId="0" borderId="7" xfId="0" applyFont="1" applyBorder="1"/>
    <xf numFmtId="165" fontId="0" fillId="5" borderId="0" xfId="1" applyNumberFormat="1" applyFont="1" applyFill="1"/>
    <xf numFmtId="165" fontId="0" fillId="0" borderId="0" xfId="1" applyNumberFormat="1" applyFont="1"/>
    <xf numFmtId="0" fontId="0" fillId="0" borderId="0" xfId="0" quotePrefix="1"/>
    <xf numFmtId="165" fontId="23" fillId="5" borderId="4" xfId="0" applyNumberFormat="1" applyFont="1" applyFill="1" applyBorder="1"/>
    <xf numFmtId="0" fontId="23" fillId="5" borderId="0" xfId="0" applyFont="1" applyFill="1"/>
    <xf numFmtId="167" fontId="11" fillId="0" borderId="0" xfId="0" applyNumberFormat="1" applyFont="1"/>
    <xf numFmtId="0" fontId="0" fillId="0" borderId="0" xfId="0" applyAlignment="1">
      <alignment horizontal="left" indent="1"/>
    </xf>
    <xf numFmtId="169" fontId="0" fillId="0" borderId="0" xfId="0" applyNumberFormat="1" applyAlignment="1">
      <alignment horizontal="left"/>
    </xf>
    <xf numFmtId="166" fontId="0" fillId="5" borderId="0" xfId="0" applyNumberFormat="1" applyFill="1"/>
    <xf numFmtId="167" fontId="0" fillId="5" borderId="0" xfId="0" applyNumberFormat="1" applyFill="1"/>
    <xf numFmtId="165" fontId="0" fillId="0" borderId="0" xfId="0" applyNumberFormat="1"/>
    <xf numFmtId="0" fontId="12" fillId="2" borderId="0" xfId="0" applyFont="1" applyFill="1" applyAlignment="1">
      <alignment horizontal="center"/>
    </xf>
    <xf numFmtId="164" fontId="0" fillId="0" borderId="0" xfId="0" applyNumberFormat="1"/>
    <xf numFmtId="164" fontId="16" fillId="0" borderId="0" xfId="0" applyNumberFormat="1" applyFont="1"/>
    <xf numFmtId="9" fontId="0" fillId="5" borderId="0" xfId="1" applyFont="1" applyFill="1"/>
    <xf numFmtId="0" fontId="0" fillId="3" borderId="0" xfId="0" applyFill="1"/>
    <xf numFmtId="167" fontId="22" fillId="0" borderId="7" xfId="0" applyNumberFormat="1" applyFont="1" applyBorder="1"/>
    <xf numFmtId="170" fontId="15" fillId="0" borderId="0" xfId="0" applyNumberFormat="1" applyFont="1"/>
    <xf numFmtId="171" fontId="11" fillId="5" borderId="0" xfId="0" applyNumberFormat="1" applyFont="1" applyFill="1"/>
    <xf numFmtId="9" fontId="0" fillId="0" borderId="0" xfId="0" applyNumberFormat="1"/>
    <xf numFmtId="165" fontId="16" fillId="5" borderId="0" xfId="1" applyNumberFormat="1" applyFont="1" applyFill="1"/>
    <xf numFmtId="0" fontId="18" fillId="0" borderId="0" xfId="0" applyFont="1"/>
    <xf numFmtId="169" fontId="0" fillId="0" borderId="0" xfId="0" applyNumberFormat="1"/>
    <xf numFmtId="164" fontId="25" fillId="0" borderId="0" xfId="3" applyNumberFormat="1" applyFont="1" applyAlignment="1">
      <alignment horizontal="left" vertical="center"/>
    </xf>
    <xf numFmtId="164" fontId="25" fillId="0" borderId="0" xfId="3" applyNumberFormat="1" applyFont="1" applyAlignment="1">
      <alignment horizontal="left" vertical="center" indent="1"/>
    </xf>
    <xf numFmtId="164" fontId="5" fillId="0" borderId="5" xfId="3" applyNumberFormat="1" applyFont="1" applyBorder="1" applyAlignment="1">
      <alignment vertical="center"/>
    </xf>
    <xf numFmtId="164" fontId="25" fillId="0" borderId="0" xfId="3" applyNumberFormat="1" applyFont="1" applyAlignment="1">
      <alignment vertical="center"/>
    </xf>
    <xf numFmtId="164" fontId="26" fillId="0" borderId="0" xfId="3" applyNumberFormat="1" applyFont="1" applyAlignment="1">
      <alignment horizontal="left" vertical="center"/>
    </xf>
    <xf numFmtId="0" fontId="3" fillId="0" borderId="0" xfId="2" applyFont="1" applyAlignment="1">
      <alignment horizontal="left" indent="1"/>
    </xf>
    <xf numFmtId="164" fontId="5" fillId="0" borderId="5" xfId="3" applyNumberFormat="1" applyFont="1" applyBorder="1" applyAlignment="1">
      <alignment horizontal="left" vertical="center"/>
    </xf>
    <xf numFmtId="164" fontId="5" fillId="0" borderId="0" xfId="3" applyNumberFormat="1" applyFont="1" applyAlignment="1">
      <alignment horizontal="left" vertical="center"/>
    </xf>
    <xf numFmtId="164" fontId="5" fillId="0" borderId="2" xfId="3" applyNumberFormat="1" applyFont="1" applyBorder="1" applyAlignment="1">
      <alignment vertical="center"/>
    </xf>
    <xf numFmtId="0" fontId="0" fillId="0" borderId="2" xfId="0" applyBorder="1"/>
    <xf numFmtId="0" fontId="27" fillId="2" borderId="0" xfId="0" applyFont="1" applyFill="1"/>
    <xf numFmtId="169" fontId="27" fillId="2" borderId="0" xfId="0" applyNumberFormat="1" applyFont="1" applyFill="1"/>
    <xf numFmtId="0" fontId="28" fillId="0" borderId="2" xfId="2" applyFont="1" applyBorder="1"/>
    <xf numFmtId="165" fontId="11" fillId="0" borderId="0" xfId="1" applyNumberFormat="1" applyFont="1" applyFill="1"/>
    <xf numFmtId="165" fontId="24" fillId="0" borderId="0" xfId="1" applyNumberFormat="1" applyFont="1" applyFill="1"/>
    <xf numFmtId="165" fontId="11" fillId="0" borderId="5" xfId="1" applyNumberFormat="1" applyFont="1" applyFill="1" applyBorder="1"/>
    <xf numFmtId="165" fontId="24" fillId="5" borderId="0" xfId="1" applyNumberFormat="1" applyFont="1" applyFill="1"/>
    <xf numFmtId="9" fontId="0" fillId="0" borderId="0" xfId="1" applyFont="1" applyFill="1"/>
    <xf numFmtId="165" fontId="16" fillId="0" borderId="0" xfId="1" applyNumberFormat="1" applyFont="1"/>
    <xf numFmtId="10" fontId="0" fillId="0" borderId="0" xfId="1" applyNumberFormat="1" applyFont="1"/>
    <xf numFmtId="172" fontId="0" fillId="0" borderId="0" xfId="0" applyNumberFormat="1"/>
    <xf numFmtId="0" fontId="11" fillId="0" borderId="5" xfId="0" applyFont="1" applyBorder="1" applyAlignment="1">
      <alignment horizontal="left" indent="1"/>
    </xf>
    <xf numFmtId="0" fontId="11" fillId="0" borderId="0" xfId="0" applyFont="1" applyAlignment="1">
      <alignment horizontal="left" indent="1"/>
    </xf>
    <xf numFmtId="0" fontId="0" fillId="0" borderId="0" xfId="0" applyAlignment="1">
      <alignment horizontal="left" indent="2"/>
    </xf>
    <xf numFmtId="0" fontId="11" fillId="0" borderId="2" xfId="0" applyFont="1" applyBorder="1"/>
    <xf numFmtId="174" fontId="0" fillId="0" borderId="0" xfId="0" applyNumberFormat="1"/>
    <xf numFmtId="9" fontId="0" fillId="5" borderId="0" xfId="0" applyNumberFormat="1" applyFill="1"/>
    <xf numFmtId="0" fontId="31" fillId="0" borderId="0" xfId="4"/>
    <xf numFmtId="0" fontId="31" fillId="0" borderId="0" xfId="4" applyAlignment="1">
      <alignment horizontal="right"/>
    </xf>
    <xf numFmtId="0" fontId="32" fillId="2" borderId="0" xfId="4" applyFont="1" applyFill="1"/>
    <xf numFmtId="17" fontId="32" fillId="2" borderId="0" xfId="4" applyNumberFormat="1" applyFont="1" applyFill="1"/>
    <xf numFmtId="0" fontId="32" fillId="0" borderId="0" xfId="4" applyFont="1"/>
    <xf numFmtId="17" fontId="32" fillId="0" borderId="0" xfId="4" applyNumberFormat="1" applyFont="1"/>
    <xf numFmtId="0" fontId="33" fillId="0" borderId="0" xfId="4" applyFont="1"/>
    <xf numFmtId="0" fontId="11" fillId="0" borderId="2" xfId="4" applyFont="1" applyBorder="1"/>
    <xf numFmtId="164" fontId="11" fillId="0" borderId="2" xfId="4" applyNumberFormat="1" applyFont="1" applyBorder="1"/>
    <xf numFmtId="0" fontId="11" fillId="0" borderId="0" xfId="4" applyFont="1"/>
    <xf numFmtId="164" fontId="11" fillId="0" borderId="0" xfId="4" applyNumberFormat="1" applyFont="1"/>
    <xf numFmtId="0" fontId="34" fillId="0" borderId="0" xfId="4" applyFont="1"/>
    <xf numFmtId="9" fontId="35" fillId="0" borderId="0" xfId="5" applyFont="1"/>
    <xf numFmtId="10" fontId="34" fillId="0" borderId="0" xfId="5" applyNumberFormat="1" applyFont="1"/>
    <xf numFmtId="9" fontId="31" fillId="0" borderId="0" xfId="4" applyNumberFormat="1"/>
    <xf numFmtId="0" fontId="15" fillId="0" borderId="0" xfId="4" applyFont="1" applyAlignment="1">
      <alignment horizontal="right"/>
    </xf>
    <xf numFmtId="164" fontId="15" fillId="0" borderId="0" xfId="4" applyNumberFormat="1" applyFont="1"/>
    <xf numFmtId="0" fontId="36" fillId="0" borderId="0" xfId="4" applyFont="1"/>
    <xf numFmtId="0" fontId="24" fillId="0" borderId="0" xfId="4" applyFont="1"/>
    <xf numFmtId="164" fontId="31" fillId="0" borderId="0" xfId="4" applyNumberFormat="1"/>
    <xf numFmtId="0" fontId="37" fillId="0" borderId="0" xfId="4" applyFont="1"/>
    <xf numFmtId="0" fontId="38" fillId="0" borderId="0" xfId="4" applyFont="1"/>
    <xf numFmtId="0" fontId="36" fillId="0" borderId="0" xfId="4" applyFont="1" applyAlignment="1">
      <alignment horizontal="right"/>
    </xf>
    <xf numFmtId="0" fontId="31" fillId="0" borderId="0" xfId="4" applyAlignment="1">
      <alignment horizontal="left" indent="1"/>
    </xf>
    <xf numFmtId="164" fontId="15" fillId="0" borderId="0" xfId="4" applyNumberFormat="1" applyFont="1" applyAlignment="1">
      <alignment horizontal="right"/>
    </xf>
    <xf numFmtId="164" fontId="39" fillId="0" borderId="0" xfId="4" applyNumberFormat="1" applyFont="1"/>
    <xf numFmtId="0" fontId="36" fillId="0" borderId="0" xfId="4" applyFont="1" applyAlignment="1">
      <alignment horizontal="left" indent="1"/>
    </xf>
    <xf numFmtId="0" fontId="33" fillId="0" borderId="8" xfId="4" applyFont="1" applyBorder="1"/>
    <xf numFmtId="164" fontId="33" fillId="0" borderId="8" xfId="4" applyNumberFormat="1" applyFont="1" applyBorder="1"/>
    <xf numFmtId="164" fontId="33" fillId="0" borderId="0" xfId="4" applyNumberFormat="1" applyFont="1"/>
    <xf numFmtId="0" fontId="33" fillId="0" borderId="2" xfId="4" applyFont="1" applyBorder="1"/>
    <xf numFmtId="164" fontId="33" fillId="0" borderId="2" xfId="4" applyNumberFormat="1" applyFont="1" applyBorder="1"/>
    <xf numFmtId="0" fontId="23" fillId="0" borderId="8" xfId="4" applyFont="1" applyBorder="1"/>
    <xf numFmtId="164" fontId="23" fillId="0" borderId="8" xfId="4" applyNumberFormat="1" applyFont="1" applyBorder="1"/>
    <xf numFmtId="0" fontId="23" fillId="0" borderId="0" xfId="4" applyFont="1"/>
    <xf numFmtId="164" fontId="23" fillId="0" borderId="0" xfId="4" applyNumberFormat="1" applyFont="1"/>
    <xf numFmtId="0" fontId="33" fillId="0" borderId="0" xfId="4" applyFont="1" applyAlignment="1">
      <alignment horizontal="right"/>
    </xf>
    <xf numFmtId="0" fontId="35" fillId="0" borderId="0" xfId="4" applyFont="1"/>
    <xf numFmtId="0" fontId="36" fillId="0" borderId="0" xfId="4" applyFont="1" applyAlignment="1">
      <alignment horizontal="left" indent="2"/>
    </xf>
    <xf numFmtId="0" fontId="31" fillId="0" borderId="0" xfId="4" applyAlignment="1">
      <alignment horizontal="left" indent="2"/>
    </xf>
    <xf numFmtId="175" fontId="32" fillId="2" borderId="0" xfId="4" applyNumberFormat="1" applyFont="1" applyFill="1" applyAlignment="1">
      <alignment horizontal="right"/>
    </xf>
    <xf numFmtId="175" fontId="32" fillId="2" borderId="0" xfId="4" applyNumberFormat="1" applyFont="1" applyFill="1"/>
    <xf numFmtId="15" fontId="32" fillId="0" borderId="0" xfId="4" applyNumberFormat="1" applyFont="1" applyAlignment="1">
      <alignment horizontal="right"/>
    </xf>
    <xf numFmtId="15" fontId="32" fillId="0" borderId="0" xfId="4" applyNumberFormat="1" applyFont="1"/>
    <xf numFmtId="164" fontId="31" fillId="0" borderId="0" xfId="4" applyNumberFormat="1" applyAlignment="1">
      <alignment horizontal="right"/>
    </xf>
    <xf numFmtId="164" fontId="33" fillId="0" borderId="0" xfId="4" applyNumberFormat="1" applyFont="1" applyAlignment="1">
      <alignment horizontal="right"/>
    </xf>
    <xf numFmtId="164" fontId="39" fillId="0" borderId="0" xfId="4" applyNumberFormat="1" applyFont="1" applyAlignment="1">
      <alignment horizontal="right"/>
    </xf>
    <xf numFmtId="164" fontId="24" fillId="0" borderId="0" xfId="4" applyNumberFormat="1" applyFont="1" applyAlignment="1">
      <alignment horizontal="right"/>
    </xf>
    <xf numFmtId="164" fontId="23" fillId="0" borderId="0" xfId="4" applyNumberFormat="1" applyFont="1" applyAlignment="1">
      <alignment horizontal="right"/>
    </xf>
    <xf numFmtId="164" fontId="33" fillId="0" borderId="8" xfId="4" applyNumberFormat="1" applyFont="1" applyBorder="1" applyAlignment="1">
      <alignment horizontal="right"/>
    </xf>
    <xf numFmtId="164" fontId="33" fillId="0" borderId="2" xfId="4" applyNumberFormat="1" applyFont="1" applyBorder="1" applyAlignment="1">
      <alignment horizontal="right"/>
    </xf>
    <xf numFmtId="1" fontId="31" fillId="0" borderId="0" xfId="4" applyNumberFormat="1"/>
    <xf numFmtId="0" fontId="34" fillId="0" borderId="0" xfId="0" applyFont="1"/>
    <xf numFmtId="0" fontId="20" fillId="0" borderId="0" xfId="0" applyFont="1"/>
    <xf numFmtId="175" fontId="0" fillId="0" borderId="0" xfId="0" applyNumberFormat="1"/>
    <xf numFmtId="0" fontId="32" fillId="2" borderId="0" xfId="0" applyFont="1" applyFill="1"/>
    <xf numFmtId="175" fontId="32" fillId="2" borderId="0" xfId="0" applyNumberFormat="1" applyFont="1" applyFill="1"/>
    <xf numFmtId="164" fontId="24" fillId="0" borderId="0" xfId="4" applyNumberFormat="1" applyFont="1"/>
    <xf numFmtId="0" fontId="41" fillId="0" borderId="0" xfId="0" applyFont="1"/>
    <xf numFmtId="0" fontId="42" fillId="0" borderId="0" xfId="0" applyFont="1"/>
    <xf numFmtId="0" fontId="44" fillId="0" borderId="0" xfId="0" applyFont="1"/>
    <xf numFmtId="0" fontId="45" fillId="0" borderId="0" xfId="0" applyFont="1"/>
    <xf numFmtId="10" fontId="42" fillId="0" borderId="0" xfId="0" applyNumberFormat="1" applyFont="1"/>
    <xf numFmtId="0" fontId="46" fillId="0" borderId="0" xfId="0" applyFont="1"/>
    <xf numFmtId="9" fontId="42" fillId="0" borderId="0" xfId="0" applyNumberFormat="1" applyFont="1"/>
    <xf numFmtId="0" fontId="47" fillId="0" borderId="0" xfId="6" applyAlignment="1">
      <alignment vertical="center"/>
    </xf>
    <xf numFmtId="0" fontId="48" fillId="0" borderId="0" xfId="0" applyFont="1"/>
    <xf numFmtId="0" fontId="47" fillId="0" borderId="0" xfId="6"/>
    <xf numFmtId="0" fontId="49" fillId="0" borderId="0" xfId="0" applyFont="1"/>
    <xf numFmtId="10" fontId="0" fillId="0" borderId="0" xfId="0" applyNumberFormat="1"/>
    <xf numFmtId="2" fontId="0" fillId="0" borderId="0" xfId="0" applyNumberFormat="1"/>
    <xf numFmtId="176" fontId="0" fillId="0" borderId="0" xfId="0" applyNumberFormat="1"/>
    <xf numFmtId="0" fontId="11" fillId="0" borderId="0" xfId="0" applyFont="1" applyAlignment="1">
      <alignment horizontal="center" vertical="center" wrapText="1"/>
    </xf>
    <xf numFmtId="0" fontId="0" fillId="0" borderId="0" xfId="0" applyAlignment="1">
      <alignment vertical="center" wrapText="1"/>
    </xf>
    <xf numFmtId="0" fontId="11" fillId="0" borderId="0" xfId="0" applyFont="1" applyAlignment="1">
      <alignment vertical="center" wrapText="1"/>
    </xf>
    <xf numFmtId="1" fontId="0" fillId="0" borderId="0" xfId="0" applyNumberFormat="1" applyAlignment="1">
      <alignment vertical="center" wrapText="1"/>
    </xf>
    <xf numFmtId="2" fontId="0" fillId="0" borderId="0" xfId="1" applyNumberFormat="1" applyFont="1"/>
    <xf numFmtId="172" fontId="11" fillId="0" borderId="0" xfId="0" applyNumberFormat="1" applyFont="1" applyAlignment="1">
      <alignment vertical="center" wrapText="1"/>
    </xf>
    <xf numFmtId="10" fontId="11" fillId="0" borderId="0" xfId="0" applyNumberFormat="1" applyFont="1" applyAlignment="1">
      <alignment horizontal="center" vertical="center" wrapText="1"/>
    </xf>
    <xf numFmtId="10" fontId="11" fillId="0" borderId="0" xfId="0" applyNumberFormat="1" applyFont="1" applyAlignment="1">
      <alignment vertical="center" wrapText="1"/>
    </xf>
    <xf numFmtId="0" fontId="0" fillId="0" borderId="1" xfId="0" applyBorder="1"/>
    <xf numFmtId="0" fontId="52" fillId="0" borderId="0" xfId="0" applyFont="1"/>
    <xf numFmtId="10" fontId="52" fillId="0" borderId="0" xfId="0" applyNumberFormat="1" applyFont="1" applyAlignment="1">
      <alignment horizontal="left"/>
    </xf>
    <xf numFmtId="0" fontId="53" fillId="0" borderId="0" xfId="0" applyFont="1"/>
    <xf numFmtId="0" fontId="54" fillId="0" borderId="0" xfId="0" applyFont="1"/>
    <xf numFmtId="10" fontId="54" fillId="0" borderId="0" xfId="0" applyNumberFormat="1" applyFont="1" applyAlignment="1">
      <alignment horizontal="left"/>
    </xf>
    <xf numFmtId="0" fontId="11" fillId="5" borderId="0" xfId="4" applyFont="1" applyFill="1"/>
    <xf numFmtId="0" fontId="36" fillId="5" borderId="0" xfId="4" applyFont="1" applyFill="1"/>
    <xf numFmtId="178" fontId="15" fillId="0" borderId="0" xfId="4" applyNumberFormat="1" applyFont="1" applyAlignment="1">
      <alignment horizontal="right"/>
    </xf>
    <xf numFmtId="178" fontId="15" fillId="0" borderId="0" xfId="4" applyNumberFormat="1" applyFont="1"/>
    <xf numFmtId="165" fontId="11" fillId="5" borderId="0" xfId="4" applyNumberFormat="1" applyFont="1" applyFill="1"/>
    <xf numFmtId="165" fontId="24" fillId="0" borderId="0" xfId="1" applyNumberFormat="1" applyFont="1"/>
    <xf numFmtId="0" fontId="55" fillId="0" borderId="0" xfId="0" applyFont="1"/>
    <xf numFmtId="10" fontId="55" fillId="0" borderId="0" xfId="0" applyNumberFormat="1" applyFont="1" applyAlignment="1">
      <alignment horizontal="left"/>
    </xf>
    <xf numFmtId="9" fontId="11" fillId="0" borderId="0" xfId="1" applyFont="1"/>
    <xf numFmtId="177" fontId="0" fillId="0" borderId="6" xfId="0" applyNumberFormat="1" applyBorder="1"/>
    <xf numFmtId="165" fontId="23" fillId="0" borderId="0" xfId="0" applyNumberFormat="1" applyFont="1"/>
    <xf numFmtId="164" fontId="11" fillId="0" borderId="5" xfId="0" applyNumberFormat="1" applyFont="1" applyBorder="1"/>
    <xf numFmtId="164" fontId="0" fillId="5" borderId="0" xfId="0" applyNumberFormat="1" applyFill="1"/>
    <xf numFmtId="164" fontId="0" fillId="5" borderId="0" xfId="0" applyNumberFormat="1" applyFill="1" applyAlignment="1">
      <alignment horizontal="right"/>
    </xf>
    <xf numFmtId="164" fontId="27" fillId="2" borderId="0" xfId="0" applyNumberFormat="1" applyFont="1" applyFill="1"/>
    <xf numFmtId="164" fontId="6" fillId="0" borderId="0" xfId="2" applyNumberFormat="1" applyFont="1"/>
    <xf numFmtId="164" fontId="29" fillId="0" borderId="0" xfId="2" applyNumberFormat="1" applyFont="1"/>
    <xf numFmtId="164" fontId="8" fillId="0" borderId="0" xfId="2" applyNumberFormat="1" applyFont="1"/>
    <xf numFmtId="164" fontId="8" fillId="0" borderId="5" xfId="2" applyNumberFormat="1" applyFont="1" applyBorder="1"/>
    <xf numFmtId="164" fontId="8" fillId="0" borderId="2" xfId="2" applyNumberFormat="1" applyFont="1" applyBorder="1"/>
    <xf numFmtId="165" fontId="39" fillId="0" borderId="0" xfId="0" applyNumberFormat="1" applyFont="1"/>
    <xf numFmtId="164" fontId="0" fillId="0" borderId="1" xfId="0" applyNumberFormat="1" applyBorder="1"/>
    <xf numFmtId="0" fontId="0" fillId="0" borderId="0" xfId="0" applyAlignment="1">
      <alignment horizontal="left" vertical="center" indent="1"/>
    </xf>
    <xf numFmtId="0" fontId="0" fillId="0" borderId="0" xfId="0" applyAlignment="1">
      <alignment horizontal="left" vertical="center" indent="2"/>
    </xf>
    <xf numFmtId="9" fontId="0" fillId="0" borderId="0" xfId="1" applyFont="1"/>
    <xf numFmtId="0" fontId="12" fillId="0" borderId="0" xfId="0" applyFont="1"/>
    <xf numFmtId="0" fontId="39" fillId="0" borderId="0" xfId="0" applyFont="1"/>
    <xf numFmtId="164" fontId="49" fillId="0" borderId="0" xfId="0" applyNumberFormat="1" applyFont="1"/>
    <xf numFmtId="0" fontId="39" fillId="5" borderId="0" xfId="0" applyFont="1" applyFill="1"/>
    <xf numFmtId="165" fontId="39" fillId="0" borderId="0" xfId="1" applyNumberFormat="1" applyFont="1" applyFill="1"/>
    <xf numFmtId="10" fontId="11" fillId="0" borderId="0" xfId="1" applyNumberFormat="1" applyFont="1"/>
    <xf numFmtId="165" fontId="0" fillId="0" borderId="4" xfId="1" applyNumberFormat="1" applyFont="1" applyBorder="1"/>
    <xf numFmtId="0" fontId="23" fillId="0" borderId="0" xfId="0" applyFont="1"/>
    <xf numFmtId="178" fontId="0" fillId="0" borderId="0" xfId="0" applyNumberFormat="1"/>
    <xf numFmtId="10" fontId="31" fillId="0" borderId="0" xfId="1" applyNumberFormat="1" applyFont="1"/>
    <xf numFmtId="9" fontId="39" fillId="0" borderId="0" xfId="1" applyFont="1"/>
    <xf numFmtId="3" fontId="0" fillId="0" borderId="0" xfId="0" applyNumberFormat="1" applyAlignment="1">
      <alignment vertical="center" wrapText="1"/>
    </xf>
    <xf numFmtId="0" fontId="60" fillId="0" borderId="0" xfId="0" applyFont="1"/>
    <xf numFmtId="0" fontId="42" fillId="0" borderId="0" xfId="0" applyFont="1" applyAlignment="1">
      <alignment vertical="top"/>
    </xf>
    <xf numFmtId="0" fontId="42" fillId="0" borderId="0" xfId="0" applyFont="1" applyAlignment="1">
      <alignment horizontal="left" vertical="top"/>
    </xf>
    <xf numFmtId="0" fontId="0" fillId="0" borderId="0" xfId="0" applyAlignment="1">
      <alignment vertical="top"/>
    </xf>
    <xf numFmtId="0" fontId="9" fillId="0" borderId="0" xfId="0" applyFont="1"/>
    <xf numFmtId="0" fontId="62" fillId="0" borderId="0" xfId="0" applyFont="1"/>
    <xf numFmtId="0" fontId="30" fillId="2" borderId="0" xfId="0" applyFont="1" applyFill="1"/>
    <xf numFmtId="9" fontId="0" fillId="0" borderId="0" xfId="1" applyFont="1" applyBorder="1"/>
    <xf numFmtId="0" fontId="31" fillId="0" borderId="0" xfId="4" applyAlignment="1">
      <alignment horizontal="left" vertical="top"/>
    </xf>
    <xf numFmtId="0" fontId="36" fillId="0" borderId="0" xfId="4" applyFont="1" applyAlignment="1">
      <alignment horizontal="left" vertical="top"/>
    </xf>
    <xf numFmtId="0" fontId="36" fillId="0" borderId="0" xfId="4" applyFont="1" applyAlignment="1">
      <alignment vertical="top"/>
    </xf>
    <xf numFmtId="9" fontId="23" fillId="0" borderId="2" xfId="1" applyFont="1" applyBorder="1"/>
    <xf numFmtId="180" fontId="0" fillId="0" borderId="0" xfId="0" applyNumberFormat="1"/>
    <xf numFmtId="0" fontId="11" fillId="0" borderId="0" xfId="0" applyFont="1" applyAlignment="1">
      <alignment horizontal="left"/>
    </xf>
    <xf numFmtId="179" fontId="0" fillId="5" borderId="0" xfId="0" applyNumberFormat="1" applyFill="1"/>
    <xf numFmtId="0" fontId="65" fillId="0" borderId="0" xfId="0" applyFont="1" applyAlignment="1">
      <alignment vertical="center"/>
    </xf>
    <xf numFmtId="0" fontId="66" fillId="0" borderId="0" xfId="0" applyFont="1" applyAlignment="1">
      <alignment vertical="center"/>
    </xf>
    <xf numFmtId="0" fontId="0" fillId="0" borderId="0" xfId="1" applyNumberFormat="1" applyFont="1"/>
    <xf numFmtId="1" fontId="0" fillId="5" borderId="0" xfId="0" applyNumberFormat="1" applyFill="1"/>
    <xf numFmtId="1" fontId="11" fillId="5" borderId="0" xfId="0" applyNumberFormat="1" applyFont="1" applyFill="1"/>
    <xf numFmtId="9" fontId="11" fillId="5" borderId="0" xfId="1" applyFont="1" applyFill="1"/>
    <xf numFmtId="0" fontId="67" fillId="0" borderId="0" xfId="0" applyFont="1"/>
    <xf numFmtId="0" fontId="33" fillId="0" borderId="0" xfId="4" applyFont="1" applyAlignment="1">
      <alignment horizontal="left" vertical="top"/>
    </xf>
    <xf numFmtId="0" fontId="16" fillId="0" borderId="0" xfId="0" applyFont="1"/>
    <xf numFmtId="10" fontId="11" fillId="5" borderId="0" xfId="0" applyNumberFormat="1" applyFont="1" applyFill="1"/>
    <xf numFmtId="0" fontId="68" fillId="0" borderId="0" xfId="0" applyFont="1"/>
    <xf numFmtId="0" fontId="0" fillId="0" borderId="0" xfId="0" applyAlignment="1">
      <alignment horizontal="left"/>
    </xf>
    <xf numFmtId="9" fontId="0" fillId="0" borderId="0" xfId="0" applyNumberFormat="1" applyAlignment="1">
      <alignment vertical="center" wrapText="1"/>
    </xf>
    <xf numFmtId="0" fontId="58" fillId="8" borderId="0" xfId="0" applyFont="1" applyFill="1" applyAlignment="1">
      <alignment vertical="center" wrapText="1"/>
    </xf>
    <xf numFmtId="0" fontId="59" fillId="0" borderId="0" xfId="0" applyFont="1"/>
    <xf numFmtId="0" fontId="58" fillId="0" borderId="0" xfId="0" applyFont="1"/>
    <xf numFmtId="6" fontId="59" fillId="8" borderId="0" xfId="0" applyNumberFormat="1" applyFont="1" applyFill="1" applyAlignment="1">
      <alignment vertical="center" wrapText="1"/>
    </xf>
    <xf numFmtId="6" fontId="59" fillId="0" borderId="0" xfId="0" applyNumberFormat="1" applyFont="1"/>
    <xf numFmtId="0" fontId="34" fillId="5" borderId="0" xfId="0" applyFont="1" applyFill="1"/>
    <xf numFmtId="10" fontId="34" fillId="5" borderId="0" xfId="1" applyNumberFormat="1" applyFont="1" applyFill="1"/>
    <xf numFmtId="3" fontId="0" fillId="0" borderId="0" xfId="0" applyNumberFormat="1"/>
    <xf numFmtId="10" fontId="34" fillId="0" borderId="0" xfId="1" applyNumberFormat="1" applyFont="1" applyFill="1"/>
    <xf numFmtId="0" fontId="34" fillId="0" borderId="0" xfId="1" applyNumberFormat="1" applyFont="1" applyFill="1"/>
    <xf numFmtId="0" fontId="11" fillId="0" borderId="8" xfId="0" applyFont="1" applyBorder="1"/>
    <xf numFmtId="0" fontId="24" fillId="5" borderId="0" xfId="4" applyFont="1" applyFill="1"/>
    <xf numFmtId="164" fontId="24" fillId="5" borderId="0" xfId="4" applyNumberFormat="1" applyFont="1" applyFill="1"/>
    <xf numFmtId="178" fontId="11" fillId="0" borderId="0" xfId="0" applyNumberFormat="1" applyFont="1"/>
    <xf numFmtId="181" fontId="24" fillId="5" borderId="0" xfId="4" applyNumberFormat="1" applyFont="1" applyFill="1"/>
    <xf numFmtId="0" fontId="64" fillId="0" borderId="0" xfId="1" applyNumberFormat="1" applyFont="1" applyFill="1" applyBorder="1"/>
    <xf numFmtId="1" fontId="64" fillId="0" borderId="0" xfId="1" applyNumberFormat="1" applyFont="1" applyFill="1" applyBorder="1"/>
    <xf numFmtId="9" fontId="34" fillId="0" borderId="0" xfId="1" applyFont="1" applyFill="1"/>
    <xf numFmtId="0" fontId="11" fillId="0" borderId="10" xfId="0" applyFont="1" applyBorder="1"/>
    <xf numFmtId="9" fontId="34" fillId="0" borderId="10" xfId="1" applyFont="1" applyFill="1" applyBorder="1"/>
    <xf numFmtId="9" fontId="34" fillId="0" borderId="0" xfId="1" applyFont="1" applyFill="1" applyBorder="1"/>
    <xf numFmtId="164" fontId="15" fillId="9" borderId="0" xfId="4" applyNumberFormat="1" applyFont="1" applyFill="1" applyAlignment="1">
      <alignment horizontal="right"/>
    </xf>
    <xf numFmtId="0" fontId="64" fillId="5" borderId="0" xfId="0" applyFont="1" applyFill="1"/>
    <xf numFmtId="10" fontId="64" fillId="5" borderId="0" xfId="1" applyNumberFormat="1" applyFont="1" applyFill="1"/>
    <xf numFmtId="1" fontId="0" fillId="0" borderId="0" xfId="0" applyNumberFormat="1" applyAlignment="1">
      <alignment horizontal="right"/>
    </xf>
    <xf numFmtId="0" fontId="69" fillId="0" borderId="0" xfId="0" applyFont="1"/>
    <xf numFmtId="178" fontId="15" fillId="0" borderId="0" xfId="0" applyNumberFormat="1" applyFont="1"/>
    <xf numFmtId="0" fontId="64" fillId="0" borderId="10" xfId="1" applyNumberFormat="1" applyFont="1" applyFill="1" applyBorder="1"/>
    <xf numFmtId="178" fontId="11" fillId="0" borderId="8" xfId="0" applyNumberFormat="1" applyFont="1" applyBorder="1"/>
    <xf numFmtId="0" fontId="19" fillId="0" borderId="0" xfId="0" applyFont="1"/>
    <xf numFmtId="164" fontId="24" fillId="0" borderId="5" xfId="4" applyNumberFormat="1" applyFont="1" applyBorder="1"/>
    <xf numFmtId="0" fontId="0" fillId="2" borderId="0" xfId="0" applyFill="1"/>
    <xf numFmtId="0" fontId="0" fillId="0" borderId="0" xfId="0" applyAlignment="1">
      <alignment horizontal="right"/>
    </xf>
    <xf numFmtId="9" fontId="34" fillId="0" borderId="0" xfId="1" applyFont="1"/>
    <xf numFmtId="0" fontId="72" fillId="0" borderId="0" xfId="0" applyFont="1"/>
    <xf numFmtId="179" fontId="0" fillId="0" borderId="0" xfId="0" applyNumberFormat="1"/>
    <xf numFmtId="0" fontId="31" fillId="5" borderId="0" xfId="4" applyFill="1"/>
    <xf numFmtId="0" fontId="31" fillId="10" borderId="0" xfId="4" applyFill="1"/>
    <xf numFmtId="0" fontId="36" fillId="10" borderId="0" xfId="4" applyFont="1" applyFill="1"/>
    <xf numFmtId="180" fontId="0" fillId="5" borderId="0" xfId="1" applyNumberFormat="1" applyFont="1" applyFill="1"/>
    <xf numFmtId="180" fontId="0" fillId="5" borderId="0" xfId="0" applyNumberFormat="1" applyFill="1"/>
    <xf numFmtId="168" fontId="20" fillId="0" borderId="0" xfId="0" applyNumberFormat="1" applyFont="1"/>
    <xf numFmtId="168" fontId="68" fillId="0" borderId="0" xfId="0" applyNumberFormat="1" applyFont="1"/>
    <xf numFmtId="0" fontId="20" fillId="0" borderId="5" xfId="0" applyFont="1" applyBorder="1"/>
    <xf numFmtId="0" fontId="68" fillId="5" borderId="0" xfId="0" applyFont="1" applyFill="1"/>
    <xf numFmtId="0" fontId="24" fillId="0" borderId="0" xfId="1" applyNumberFormat="1" applyFont="1"/>
    <xf numFmtId="2" fontId="23" fillId="0" borderId="0" xfId="0" applyNumberFormat="1" applyFont="1"/>
    <xf numFmtId="1" fontId="11" fillId="0" borderId="0" xfId="0" applyNumberFormat="1" applyFont="1"/>
    <xf numFmtId="171" fontId="11" fillId="0" borderId="0" xfId="0" applyNumberFormat="1" applyFont="1"/>
    <xf numFmtId="0" fontId="40" fillId="0" borderId="0" xfId="0" applyFont="1"/>
    <xf numFmtId="164" fontId="40" fillId="0" borderId="0" xfId="0" applyNumberFormat="1" applyFont="1"/>
    <xf numFmtId="1" fontId="0" fillId="0" borderId="5" xfId="0" applyNumberFormat="1" applyBorder="1"/>
    <xf numFmtId="9" fontId="0" fillId="0" borderId="8" xfId="1" applyFont="1" applyBorder="1"/>
    <xf numFmtId="0" fontId="32" fillId="0" borderId="0" xfId="0" applyFont="1"/>
    <xf numFmtId="175" fontId="32" fillId="0" borderId="0" xfId="0" applyNumberFormat="1" applyFont="1"/>
    <xf numFmtId="178" fontId="0" fillId="9" borderId="0" xfId="0" applyNumberFormat="1" applyFill="1"/>
    <xf numFmtId="0" fontId="11" fillId="0" borderId="11" xfId="0" applyFont="1" applyBorder="1"/>
    <xf numFmtId="178" fontId="11" fillId="0" borderId="11" xfId="0" applyNumberFormat="1" applyFont="1" applyBorder="1"/>
    <xf numFmtId="0" fontId="0" fillId="0" borderId="9" xfId="0" applyBorder="1"/>
    <xf numFmtId="178" fontId="0" fillId="0" borderId="9" xfId="0" applyNumberFormat="1" applyBorder="1"/>
    <xf numFmtId="0" fontId="0" fillId="0" borderId="6" xfId="0" applyBorder="1" applyAlignment="1">
      <alignment horizontal="left" indent="1"/>
    </xf>
    <xf numFmtId="0" fontId="74" fillId="8" borderId="6" xfId="0" applyFont="1" applyFill="1" applyBorder="1" applyAlignment="1">
      <alignment horizontal="right" vertical="center"/>
    </xf>
    <xf numFmtId="10" fontId="64" fillId="0" borderId="0" xfId="1" applyNumberFormat="1" applyFont="1" applyFill="1"/>
    <xf numFmtId="9" fontId="0" fillId="0" borderId="0" xfId="1" applyFont="1" applyFill="1" applyBorder="1"/>
    <xf numFmtId="0" fontId="0" fillId="0" borderId="12" xfId="0" applyBorder="1"/>
    <xf numFmtId="0" fontId="30" fillId="2" borderId="5" xfId="0" applyFont="1" applyFill="1" applyBorder="1"/>
    <xf numFmtId="0" fontId="0" fillId="0" borderId="13" xfId="0" applyBorder="1"/>
    <xf numFmtId="0" fontId="0" fillId="0" borderId="14" xfId="0" applyBorder="1"/>
    <xf numFmtId="0" fontId="20" fillId="0" borderId="15" xfId="0" applyFont="1" applyBorder="1"/>
    <xf numFmtId="0" fontId="0" fillId="0" borderId="15" xfId="0" applyBorder="1"/>
    <xf numFmtId="0" fontId="75" fillId="0" borderId="0" xfId="0" applyFont="1" applyAlignment="1">
      <alignment horizontal="right" vertical="center"/>
    </xf>
    <xf numFmtId="0" fontId="75" fillId="0" borderId="15" xfId="0" applyFont="1" applyBorder="1" applyAlignment="1">
      <alignment horizontal="right" vertical="center"/>
    </xf>
    <xf numFmtId="0" fontId="11" fillId="0" borderId="15" xfId="0" applyFont="1" applyBorder="1"/>
    <xf numFmtId="0" fontId="11" fillId="0" borderId="14" xfId="0" applyFont="1" applyBorder="1"/>
    <xf numFmtId="0" fontId="34" fillId="0" borderId="0" xfId="1" applyNumberFormat="1" applyFont="1" applyFill="1" applyBorder="1"/>
    <xf numFmtId="0" fontId="34" fillId="0" borderId="15" xfId="1" applyNumberFormat="1" applyFont="1" applyFill="1" applyBorder="1"/>
    <xf numFmtId="0" fontId="0" fillId="0" borderId="0" xfId="4" applyFont="1"/>
    <xf numFmtId="0" fontId="0" fillId="0" borderId="15" xfId="4" applyFont="1" applyBorder="1"/>
    <xf numFmtId="0" fontId="11" fillId="0" borderId="15" xfId="4" applyFont="1" applyBorder="1"/>
    <xf numFmtId="0" fontId="12" fillId="10" borderId="0" xfId="0" applyFont="1" applyFill="1"/>
    <xf numFmtId="0" fontId="64" fillId="0" borderId="15" xfId="1" applyNumberFormat="1" applyFont="1" applyFill="1" applyBorder="1"/>
    <xf numFmtId="0" fontId="0" fillId="0" borderId="16" xfId="0" applyBorder="1"/>
    <xf numFmtId="0" fontId="68" fillId="0" borderId="1" xfId="0" applyFont="1" applyBorder="1"/>
    <xf numFmtId="0" fontId="20" fillId="0" borderId="1" xfId="0" applyFont="1" applyBorder="1"/>
    <xf numFmtId="0" fontId="20" fillId="0" borderId="17" xfId="0" applyFont="1" applyBorder="1"/>
    <xf numFmtId="0" fontId="0" fillId="0" borderId="0" xfId="0" applyAlignment="1">
      <alignment horizontal="left" wrapText="1"/>
    </xf>
    <xf numFmtId="0" fontId="63" fillId="0" borderId="0" xfId="0" applyFont="1" applyAlignment="1">
      <alignment horizontal="center" wrapText="1"/>
    </xf>
    <xf numFmtId="0" fontId="63" fillId="0" borderId="0" xfId="0" applyFont="1" applyAlignment="1">
      <alignment horizontal="left" vertical="top" wrapText="1"/>
    </xf>
    <xf numFmtId="10" fontId="11" fillId="0" borderId="0" xfId="1" applyNumberFormat="1" applyFont="1" applyFill="1"/>
    <xf numFmtId="9" fontId="39" fillId="0" borderId="0" xfId="1" applyFont="1" applyFill="1"/>
    <xf numFmtId="165" fontId="0" fillId="0" borderId="0" xfId="1" applyNumberFormat="1" applyFont="1" applyFill="1"/>
    <xf numFmtId="9" fontId="11" fillId="0" borderId="0" xfId="1" applyFont="1" applyFill="1"/>
    <xf numFmtId="9" fontId="23" fillId="0" borderId="0" xfId="1" applyFont="1" applyFill="1" applyBorder="1"/>
    <xf numFmtId="10" fontId="0" fillId="0" borderId="0" xfId="1" applyNumberFormat="1" applyFont="1" applyFill="1"/>
    <xf numFmtId="0" fontId="74" fillId="0" borderId="0" xfId="0" applyFont="1" applyAlignment="1">
      <alignment horizontal="right" vertical="center"/>
    </xf>
    <xf numFmtId="181" fontId="24" fillId="0" borderId="0" xfId="4" applyNumberFormat="1" applyFont="1"/>
    <xf numFmtId="0" fontId="73" fillId="0" borderId="0" xfId="0" applyFont="1" applyAlignment="1">
      <alignment horizontal="right" vertical="center"/>
    </xf>
    <xf numFmtId="0" fontId="0" fillId="0" borderId="0" xfId="1" applyNumberFormat="1" applyFont="1" applyFill="1"/>
    <xf numFmtId="0" fontId="30" fillId="0" borderId="0" xfId="0" applyFont="1"/>
    <xf numFmtId="0" fontId="24" fillId="0" borderId="0" xfId="1" applyNumberFormat="1" applyFont="1" applyFill="1"/>
    <xf numFmtId="180" fontId="0" fillId="0" borderId="0" xfId="1" applyNumberFormat="1" applyFont="1" applyFill="1"/>
    <xf numFmtId="0" fontId="0" fillId="0" borderId="0" xfId="0" applyAlignment="1">
      <alignment horizontal="center" vertical="center"/>
    </xf>
    <xf numFmtId="0" fontId="12" fillId="2" borderId="0" xfId="0" applyFont="1" applyFill="1" applyAlignment="1">
      <alignment horizontal="center" vertical="center"/>
    </xf>
    <xf numFmtId="165" fontId="0" fillId="5" borderId="0" xfId="1" applyNumberFormat="1" applyFont="1" applyFill="1" applyAlignment="1">
      <alignment horizontal="center" vertical="center"/>
    </xf>
    <xf numFmtId="9" fontId="0" fillId="0" borderId="0" xfId="0" applyNumberFormat="1" applyAlignment="1">
      <alignment horizontal="center" vertical="center"/>
    </xf>
    <xf numFmtId="9" fontId="0" fillId="5" borderId="0" xfId="0" applyNumberFormat="1" applyFill="1" applyAlignment="1">
      <alignment horizontal="center" vertical="center"/>
    </xf>
    <xf numFmtId="10" fontId="0" fillId="0" borderId="0" xfId="1" applyNumberFormat="1" applyFont="1" applyAlignment="1">
      <alignment horizontal="center" vertical="center"/>
    </xf>
    <xf numFmtId="179" fontId="0" fillId="5" borderId="0" xfId="0" applyNumberFormat="1" applyFill="1" applyAlignment="1">
      <alignment horizontal="center" vertical="center"/>
    </xf>
    <xf numFmtId="1" fontId="0" fillId="0" borderId="0" xfId="0" applyNumberFormat="1" applyAlignment="1">
      <alignment horizontal="center" vertical="center"/>
    </xf>
    <xf numFmtId="1" fontId="0" fillId="5" borderId="0" xfId="0" applyNumberFormat="1" applyFill="1" applyAlignment="1">
      <alignment horizontal="center" vertical="center"/>
    </xf>
    <xf numFmtId="9" fontId="0" fillId="5" borderId="0" xfId="1" applyFont="1" applyFill="1" applyAlignment="1">
      <alignment horizontal="center" vertical="center"/>
    </xf>
    <xf numFmtId="9" fontId="0" fillId="0" borderId="0" xfId="1" applyFont="1" applyFill="1" applyAlignment="1">
      <alignment horizontal="center" vertical="center"/>
    </xf>
    <xf numFmtId="174" fontId="24" fillId="5" borderId="0" xfId="1" applyNumberFormat="1" applyFont="1" applyFill="1" applyAlignment="1">
      <alignment horizontal="center" vertical="center"/>
    </xf>
    <xf numFmtId="179" fontId="0" fillId="0" borderId="0" xfId="0" applyNumberFormat="1" applyAlignment="1">
      <alignment horizontal="center" vertical="center"/>
    </xf>
    <xf numFmtId="0" fontId="34" fillId="5" borderId="0" xfId="0" applyFont="1" applyFill="1" applyAlignment="1">
      <alignment horizontal="center" vertical="center"/>
    </xf>
    <xf numFmtId="0" fontId="34" fillId="0" borderId="0" xfId="0" applyFont="1" applyAlignment="1">
      <alignment horizontal="center" vertical="center"/>
    </xf>
    <xf numFmtId="9" fontId="34" fillId="5" borderId="0" xfId="1" applyFont="1" applyFill="1" applyAlignment="1">
      <alignment horizontal="center" vertical="center"/>
    </xf>
    <xf numFmtId="180" fontId="0" fillId="5" borderId="0" xfId="1" applyNumberFormat="1" applyFont="1" applyFill="1" applyAlignment="1">
      <alignment horizontal="center" vertical="center"/>
    </xf>
    <xf numFmtId="3" fontId="0" fillId="0" borderId="0" xfId="0" applyNumberFormat="1" applyAlignment="1">
      <alignment horizontal="center" vertical="center"/>
    </xf>
    <xf numFmtId="1" fontId="34" fillId="5" borderId="0" xfId="0" applyNumberFormat="1" applyFont="1" applyFill="1" applyAlignment="1">
      <alignment horizontal="center" vertical="center"/>
    </xf>
    <xf numFmtId="165" fontId="31" fillId="0" borderId="0" xfId="1" applyNumberFormat="1" applyFont="1"/>
    <xf numFmtId="0" fontId="76" fillId="0" borderId="5" xfId="0" applyFont="1" applyBorder="1"/>
    <xf numFmtId="9" fontId="68" fillId="5" borderId="0" xfId="1" applyFont="1" applyFill="1"/>
    <xf numFmtId="9" fontId="68" fillId="0" borderId="0" xfId="1" applyFont="1" applyFill="1"/>
    <xf numFmtId="0" fontId="8" fillId="0" borderId="5" xfId="2" applyFont="1" applyBorder="1"/>
    <xf numFmtId="0" fontId="11" fillId="7" borderId="5" xfId="0" applyFont="1" applyFill="1" applyBorder="1"/>
    <xf numFmtId="9" fontId="11" fillId="7" borderId="5" xfId="1" applyFont="1" applyFill="1" applyBorder="1"/>
    <xf numFmtId="9" fontId="11" fillId="7" borderId="0" xfId="1" applyFont="1" applyFill="1" applyBorder="1"/>
    <xf numFmtId="164" fontId="5" fillId="0" borderId="0" xfId="3" applyNumberFormat="1" applyFont="1" applyAlignment="1">
      <alignment horizontal="left" vertical="center" indent="1"/>
    </xf>
    <xf numFmtId="0" fontId="77" fillId="0" borderId="0" xfId="0" applyFont="1"/>
    <xf numFmtId="1" fontId="0" fillId="5" borderId="0" xfId="0" applyNumberFormat="1" applyFill="1" applyAlignment="1">
      <alignment horizontal="center"/>
    </xf>
    <xf numFmtId="182" fontId="19" fillId="0" borderId="18" xfId="0" applyNumberFormat="1" applyFont="1" applyBorder="1"/>
    <xf numFmtId="164" fontId="11" fillId="0" borderId="0" xfId="0" applyNumberFormat="1" applyFont="1"/>
    <xf numFmtId="9" fontId="11" fillId="0" borderId="0" xfId="1" applyFont="1" applyBorder="1"/>
    <xf numFmtId="0" fontId="79" fillId="0" borderId="0" xfId="0" applyFont="1"/>
    <xf numFmtId="0" fontId="80" fillId="0" borderId="0" xfId="0" applyFont="1"/>
    <xf numFmtId="0" fontId="81" fillId="0" borderId="0" xfId="0" applyFont="1"/>
    <xf numFmtId="0" fontId="81" fillId="0" borderId="0" xfId="0" applyFont="1" applyAlignment="1">
      <alignment vertical="center"/>
    </xf>
    <xf numFmtId="0" fontId="82" fillId="0" borderId="0" xfId="0" applyFont="1"/>
    <xf numFmtId="0" fontId="83" fillId="0" borderId="0" xfId="0" applyFont="1" applyAlignment="1">
      <alignment horizontal="justify" vertical="center" wrapText="1"/>
    </xf>
    <xf numFmtId="0" fontId="82" fillId="0" borderId="0" xfId="0" applyFont="1" applyAlignment="1">
      <alignment vertical="center" wrapText="1"/>
    </xf>
    <xf numFmtId="0" fontId="84" fillId="0" borderId="0" xfId="0" applyFont="1"/>
    <xf numFmtId="0" fontId="6" fillId="0" borderId="0" xfId="0" applyFont="1"/>
    <xf numFmtId="0" fontId="84" fillId="0" borderId="0" xfId="0" applyFont="1" applyAlignment="1">
      <alignment horizontal="justify" vertical="center" wrapText="1"/>
    </xf>
    <xf numFmtId="0" fontId="78" fillId="2" borderId="0" xfId="0" applyFont="1" applyFill="1"/>
    <xf numFmtId="0" fontId="78" fillId="2" borderId="0" xfId="0" applyFont="1" applyFill="1" applyAlignment="1">
      <alignment horizontal="justify" vertical="center" wrapText="1"/>
    </xf>
    <xf numFmtId="0" fontId="12" fillId="2" borderId="0" xfId="6" applyFont="1" applyFill="1"/>
    <xf numFmtId="0" fontId="85" fillId="0" borderId="0" xfId="0" applyFont="1"/>
    <xf numFmtId="0" fontId="77" fillId="7" borderId="0" xfId="0" applyFont="1" applyFill="1"/>
    <xf numFmtId="165" fontId="34" fillId="5" borderId="0" xfId="0" applyNumberFormat="1" applyFont="1" applyFill="1"/>
    <xf numFmtId="165" fontId="34" fillId="5" borderId="0" xfId="0" applyNumberFormat="1" applyFont="1" applyFill="1" applyAlignment="1">
      <alignment horizontal="center" vertical="center"/>
    </xf>
    <xf numFmtId="165" fontId="0" fillId="5" borderId="0" xfId="0" applyNumberFormat="1" applyFill="1" applyAlignment="1">
      <alignment horizontal="center" vertical="center"/>
    </xf>
    <xf numFmtId="180" fontId="0" fillId="5" borderId="0" xfId="0" applyNumberFormat="1" applyFill="1" applyAlignment="1">
      <alignment horizontal="center" vertical="center"/>
    </xf>
    <xf numFmtId="164" fontId="40" fillId="0" borderId="0" xfId="4" applyNumberFormat="1" applyFont="1"/>
    <xf numFmtId="165" fontId="86" fillId="0" borderId="0" xfId="0" applyNumberFormat="1" applyFont="1"/>
    <xf numFmtId="165" fontId="40" fillId="0" borderId="0" xfId="1" applyNumberFormat="1" applyFont="1" applyFill="1"/>
    <xf numFmtId="180" fontId="40" fillId="0" borderId="0" xfId="0" applyNumberFormat="1" applyFont="1"/>
    <xf numFmtId="0" fontId="20" fillId="2" borderId="0" xfId="0" applyFont="1" applyFill="1"/>
    <xf numFmtId="0" fontId="0" fillId="5" borderId="0" xfId="0" applyFill="1" applyAlignment="1">
      <alignment horizontal="right"/>
    </xf>
    <xf numFmtId="165" fontId="34" fillId="0" borderId="0" xfId="0" applyNumberFormat="1" applyFont="1"/>
    <xf numFmtId="0" fontId="87" fillId="0" borderId="0" xfId="0" applyFont="1"/>
    <xf numFmtId="10" fontId="0" fillId="5" borderId="0" xfId="1" applyNumberFormat="1" applyFont="1" applyFill="1"/>
    <xf numFmtId="1" fontId="0" fillId="9" borderId="0" xfId="0" applyNumberFormat="1" applyFill="1" applyAlignment="1">
      <alignment horizontal="right"/>
    </xf>
    <xf numFmtId="1" fontId="0" fillId="9" borderId="0" xfId="0" applyNumberFormat="1" applyFill="1"/>
    <xf numFmtId="0" fontId="32" fillId="2" borderId="0" xfId="0" applyFont="1" applyFill="1" applyAlignment="1">
      <alignment horizontal="left" vertical="top"/>
    </xf>
    <xf numFmtId="10" fontId="11" fillId="5" borderId="0" xfId="1" applyNumberFormat="1" applyFont="1" applyFill="1" applyAlignment="1">
      <alignment horizontal="center" vertical="center"/>
    </xf>
    <xf numFmtId="175" fontId="12" fillId="2" borderId="0" xfId="0" applyNumberFormat="1" applyFont="1" applyFill="1"/>
    <xf numFmtId="9" fontId="11" fillId="0" borderId="2" xfId="1" applyFont="1" applyBorder="1"/>
    <xf numFmtId="165" fontId="39" fillId="5" borderId="0" xfId="1" applyNumberFormat="1" applyFont="1" applyFill="1"/>
    <xf numFmtId="10" fontId="0" fillId="5" borderId="0" xfId="1" applyNumberFormat="1" applyFont="1" applyFill="1" applyAlignment="1">
      <alignment horizontal="center" vertical="center"/>
    </xf>
    <xf numFmtId="10" fontId="11" fillId="0" borderId="0" xfId="0" applyNumberFormat="1" applyFont="1"/>
    <xf numFmtId="175" fontId="12" fillId="0" borderId="0" xfId="0" applyNumberFormat="1" applyFont="1"/>
    <xf numFmtId="1" fontId="64" fillId="0" borderId="10" xfId="1" applyNumberFormat="1" applyFont="1" applyFill="1" applyBorder="1"/>
    <xf numFmtId="178" fontId="88" fillId="0" borderId="0" xfId="0" applyNumberFormat="1" applyFont="1"/>
    <xf numFmtId="0" fontId="64" fillId="0" borderId="2" xfId="1" applyNumberFormat="1" applyFont="1" applyFill="1" applyBorder="1"/>
    <xf numFmtId="164" fontId="64" fillId="0" borderId="2" xfId="1" applyNumberFormat="1" applyFont="1" applyFill="1" applyBorder="1"/>
    <xf numFmtId="9" fontId="11" fillId="0" borderId="0" xfId="1" applyFont="1" applyFill="1" applyBorder="1"/>
    <xf numFmtId="0" fontId="0" fillId="0" borderId="0" xfId="0" applyAlignment="1">
      <alignment horizontal="left" vertical="top"/>
    </xf>
    <xf numFmtId="10" fontId="0" fillId="0" borderId="0" xfId="0" applyNumberFormat="1" applyAlignment="1">
      <alignment horizontal="center" vertical="center"/>
    </xf>
    <xf numFmtId="1" fontId="68" fillId="0" borderId="0" xfId="0" applyNumberFormat="1" applyFont="1"/>
    <xf numFmtId="1" fontId="20" fillId="0" borderId="5" xfId="0" applyNumberFormat="1" applyFont="1" applyBorder="1"/>
    <xf numFmtId="1" fontId="68" fillId="5" borderId="0" xfId="1" applyNumberFormat="1" applyFont="1" applyFill="1"/>
    <xf numFmtId="9" fontId="68" fillId="0" borderId="0" xfId="1" applyFont="1"/>
    <xf numFmtId="0" fontId="0" fillId="0" borderId="5" xfId="0" applyBorder="1" applyAlignment="1">
      <alignment horizontal="left" vertical="top"/>
    </xf>
    <xf numFmtId="164" fontId="5" fillId="5" borderId="0" xfId="3" applyNumberFormat="1" applyFont="1" applyFill="1" applyAlignment="1">
      <alignment vertical="center"/>
    </xf>
    <xf numFmtId="165" fontId="0" fillId="5" borderId="0" xfId="1" applyNumberFormat="1" applyFont="1" applyFill="1" applyBorder="1"/>
    <xf numFmtId="164" fontId="5" fillId="0" borderId="5" xfId="3" applyNumberFormat="1" applyFont="1" applyBorder="1" applyAlignment="1">
      <alignment horizontal="left" vertical="top"/>
    </xf>
    <xf numFmtId="0" fontId="23" fillId="0" borderId="5" xfId="4" applyFont="1" applyBorder="1"/>
    <xf numFmtId="0" fontId="6" fillId="0" borderId="5" xfId="2" applyFont="1" applyBorder="1"/>
    <xf numFmtId="164" fontId="9" fillId="0" borderId="0" xfId="1" applyNumberFormat="1" applyFont="1" applyFill="1" applyBorder="1"/>
    <xf numFmtId="0" fontId="33" fillId="0" borderId="5" xfId="4" applyFont="1" applyBorder="1"/>
    <xf numFmtId="164" fontId="33" fillId="0" borderId="5" xfId="4" applyNumberFormat="1" applyFont="1" applyBorder="1"/>
    <xf numFmtId="164" fontId="16" fillId="0" borderId="0" xfId="4" applyNumberFormat="1" applyFont="1"/>
    <xf numFmtId="0" fontId="28" fillId="0" borderId="5" xfId="2" applyFont="1" applyBorder="1"/>
    <xf numFmtId="164" fontId="61" fillId="0" borderId="5" xfId="1" applyNumberFormat="1" applyFont="1" applyFill="1" applyBorder="1"/>
    <xf numFmtId="183" fontId="15" fillId="0" borderId="0" xfId="4" applyNumberFormat="1" applyFont="1" applyAlignment="1">
      <alignment horizontal="right"/>
    </xf>
    <xf numFmtId="184" fontId="15" fillId="0" borderId="0" xfId="4" applyNumberFormat="1" applyFont="1" applyAlignment="1">
      <alignment horizontal="right"/>
    </xf>
    <xf numFmtId="184" fontId="31" fillId="0" borderId="0" xfId="4" applyNumberFormat="1" applyAlignment="1">
      <alignment horizontal="right"/>
    </xf>
    <xf numFmtId="164" fontId="11" fillId="0" borderId="8" xfId="0" applyNumberFormat="1" applyFont="1" applyBorder="1"/>
    <xf numFmtId="183" fontId="33" fillId="0" borderId="2" xfId="4" applyNumberFormat="1" applyFont="1" applyBorder="1" applyAlignment="1">
      <alignment horizontal="right"/>
    </xf>
    <xf numFmtId="183" fontId="33" fillId="0" borderId="2" xfId="4" applyNumberFormat="1" applyFont="1" applyBorder="1"/>
    <xf numFmtId="164" fontId="11" fillId="0" borderId="2" xfId="0" applyNumberFormat="1" applyFont="1" applyBorder="1"/>
    <xf numFmtId="164" fontId="9" fillId="0" borderId="0" xfId="2" applyNumberFormat="1" applyFont="1"/>
    <xf numFmtId="164" fontId="29" fillId="0" borderId="0" xfId="1" applyNumberFormat="1" applyFont="1" applyFill="1"/>
    <xf numFmtId="9" fontId="0" fillId="6" borderId="0" xfId="0" applyNumberFormat="1" applyFill="1"/>
    <xf numFmtId="1" fontId="11" fillId="0" borderId="5" xfId="0" applyNumberFormat="1" applyFont="1" applyBorder="1"/>
    <xf numFmtId="0" fontId="17" fillId="0" borderId="0" xfId="0" applyFont="1"/>
    <xf numFmtId="0" fontId="69" fillId="0" borderId="5" xfId="0" applyFont="1" applyBorder="1"/>
    <xf numFmtId="178" fontId="11" fillId="0" borderId="5" xfId="0" applyNumberFormat="1" applyFont="1" applyBorder="1"/>
    <xf numFmtId="165" fontId="11" fillId="0" borderId="0" xfId="1" applyNumberFormat="1" applyFont="1" applyFill="1" applyBorder="1"/>
    <xf numFmtId="0" fontId="16" fillId="0" borderId="5" xfId="1" applyNumberFormat="1" applyFont="1" applyBorder="1"/>
    <xf numFmtId="1" fontId="0" fillId="0" borderId="5" xfId="1" applyNumberFormat="1" applyFont="1" applyBorder="1"/>
    <xf numFmtId="0" fontId="23" fillId="5" borderId="4" xfId="0" applyFont="1" applyFill="1" applyBorder="1"/>
    <xf numFmtId="1" fontId="22" fillId="5" borderId="0" xfId="0" applyNumberFormat="1" applyFont="1" applyFill="1"/>
    <xf numFmtId="165" fontId="22" fillId="5" borderId="0" xfId="1" applyNumberFormat="1" applyFont="1" applyFill="1"/>
    <xf numFmtId="178" fontId="0" fillId="5" borderId="0" xfId="0" applyNumberFormat="1" applyFill="1"/>
    <xf numFmtId="178" fontId="0" fillId="5" borderId="0" xfId="0" applyNumberFormat="1" applyFill="1" applyAlignment="1">
      <alignment horizontal="center" vertical="center"/>
    </xf>
    <xf numFmtId="164" fontId="6" fillId="0" borderId="0" xfId="1" applyNumberFormat="1" applyFont="1" applyFill="1"/>
    <xf numFmtId="0" fontId="0" fillId="0" borderId="19" xfId="0" applyBorder="1"/>
    <xf numFmtId="169" fontId="32" fillId="2" borderId="0" xfId="0" applyNumberFormat="1" applyFont="1" applyFill="1"/>
    <xf numFmtId="164" fontId="51" fillId="0" borderId="0" xfId="0" applyNumberFormat="1" applyFont="1"/>
    <xf numFmtId="0" fontId="20" fillId="3" borderId="0" xfId="0" applyFont="1" applyFill="1" applyAlignment="1">
      <alignment horizontal="right"/>
    </xf>
    <xf numFmtId="0" fontId="90" fillId="0" borderId="0" xfId="0" applyFont="1"/>
    <xf numFmtId="9" fontId="91" fillId="0" borderId="0" xfId="1" applyFont="1"/>
    <xf numFmtId="9" fontId="23" fillId="0" borderId="0" xfId="0" applyNumberFormat="1" applyFont="1"/>
    <xf numFmtId="0" fontId="89" fillId="0" borderId="0" xfId="0" applyFont="1"/>
    <xf numFmtId="178" fontId="0" fillId="0" borderId="5" xfId="0" applyNumberFormat="1" applyBorder="1"/>
    <xf numFmtId="3" fontId="16" fillId="0" borderId="0" xfId="0" applyNumberFormat="1" applyFont="1"/>
    <xf numFmtId="3" fontId="11" fillId="0" borderId="7" xfId="0" applyNumberFormat="1" applyFont="1" applyBorder="1"/>
    <xf numFmtId="3" fontId="0" fillId="0" borderId="5" xfId="0" applyNumberFormat="1" applyBorder="1"/>
    <xf numFmtId="3" fontId="24" fillId="5" borderId="0" xfId="1" applyNumberFormat="1" applyFont="1" applyFill="1"/>
    <xf numFmtId="3" fontId="24" fillId="0" borderId="0" xfId="1" applyNumberFormat="1" applyFont="1" applyFill="1"/>
    <xf numFmtId="3" fontId="22" fillId="5" borderId="0" xfId="0" applyNumberFormat="1" applyFont="1" applyFill="1"/>
    <xf numFmtId="1" fontId="15" fillId="0" borderId="0" xfId="0" applyNumberFormat="1" applyFont="1"/>
    <xf numFmtId="1" fontId="39" fillId="0" borderId="0" xfId="0" applyNumberFormat="1" applyFont="1"/>
    <xf numFmtId="164" fontId="16" fillId="0" borderId="1" xfId="0" applyNumberFormat="1" applyFont="1" applyBorder="1"/>
    <xf numFmtId="178" fontId="16" fillId="0" borderId="0" xfId="0" applyNumberFormat="1" applyFont="1"/>
    <xf numFmtId="9" fontId="16" fillId="0" borderId="0" xfId="0" applyNumberFormat="1" applyFont="1"/>
    <xf numFmtId="0" fontId="92" fillId="0" borderId="3" xfId="0" applyFont="1" applyBorder="1"/>
    <xf numFmtId="169" fontId="20" fillId="0" borderId="3" xfId="0" applyNumberFormat="1" applyFont="1" applyBorder="1"/>
    <xf numFmtId="0" fontId="20" fillId="0" borderId="3" xfId="0" applyFont="1" applyBorder="1"/>
    <xf numFmtId="1" fontId="16" fillId="0" borderId="0" xfId="0" applyNumberFormat="1" applyFont="1"/>
    <xf numFmtId="0" fontId="23" fillId="0" borderId="1" xfId="0" applyFont="1" applyBorder="1"/>
    <xf numFmtId="164" fontId="15" fillId="0" borderId="0" xfId="0" applyNumberFormat="1" applyFont="1"/>
    <xf numFmtId="9" fontId="91" fillId="0" borderId="0" xfId="1" applyFont="1" applyFill="1"/>
    <xf numFmtId="165" fontId="0" fillId="0" borderId="4" xfId="0" applyNumberFormat="1" applyBorder="1"/>
    <xf numFmtId="165" fontId="0" fillId="5" borderId="0" xfId="0" applyNumberFormat="1" applyFill="1"/>
    <xf numFmtId="165" fontId="23" fillId="5" borderId="9" xfId="0" applyNumberFormat="1" applyFont="1" applyFill="1" applyBorder="1"/>
    <xf numFmtId="165" fontId="39" fillId="5" borderId="0" xfId="0" applyNumberFormat="1" applyFont="1" applyFill="1"/>
    <xf numFmtId="165" fontId="39" fillId="0" borderId="0" xfId="1" applyNumberFormat="1" applyFont="1" applyBorder="1"/>
    <xf numFmtId="165" fontId="16" fillId="0" borderId="0" xfId="1" applyNumberFormat="1" applyFont="1" applyBorder="1"/>
    <xf numFmtId="165" fontId="34" fillId="0" borderId="0" xfId="1" applyNumberFormat="1" applyFont="1"/>
    <xf numFmtId="165" fontId="91" fillId="0" borderId="0" xfId="1" applyNumberFormat="1" applyFont="1"/>
    <xf numFmtId="165" fontId="68" fillId="5" borderId="0" xfId="1" applyNumberFormat="1" applyFont="1" applyFill="1"/>
    <xf numFmtId="165" fontId="0" fillId="0" borderId="0" xfId="1" applyNumberFormat="1" applyFont="1" applyBorder="1"/>
    <xf numFmtId="165" fontId="0" fillId="3" borderId="0" xfId="1" applyNumberFormat="1" applyFont="1" applyFill="1"/>
    <xf numFmtId="165" fontId="11" fillId="5" borderId="0" xfId="0" applyNumberFormat="1" applyFont="1" applyFill="1"/>
    <xf numFmtId="165" fontId="34" fillId="5" borderId="0" xfId="1" applyNumberFormat="1" applyFont="1" applyFill="1"/>
    <xf numFmtId="165" fontId="91" fillId="5" borderId="0" xfId="1" applyNumberFormat="1" applyFont="1" applyFill="1"/>
    <xf numFmtId="164" fontId="16" fillId="5" borderId="0" xfId="0" applyNumberFormat="1" applyFont="1" applyFill="1"/>
    <xf numFmtId="0" fontId="93" fillId="0" borderId="0" xfId="4" applyFont="1"/>
    <xf numFmtId="0" fontId="32" fillId="2" borderId="0" xfId="0" applyFont="1" applyFill="1" applyAlignment="1">
      <alignment horizontal="center"/>
    </xf>
    <xf numFmtId="0" fontId="0" fillId="0" borderId="0" xfId="0" applyAlignment="1">
      <alignment horizontal="center"/>
    </xf>
    <xf numFmtId="9" fontId="11" fillId="0" borderId="5" xfId="1" applyFont="1" applyBorder="1"/>
    <xf numFmtId="9" fontId="24" fillId="0" borderId="0" xfId="1" applyFont="1"/>
    <xf numFmtId="164" fontId="24" fillId="0" borderId="0" xfId="0" applyNumberFormat="1" applyFont="1"/>
    <xf numFmtId="165" fontId="24" fillId="5" borderId="0" xfId="1" applyNumberFormat="1" applyFont="1" applyFill="1" applyBorder="1"/>
    <xf numFmtId="9" fontId="8" fillId="0" borderId="5" xfId="1" applyFont="1" applyBorder="1"/>
    <xf numFmtId="9" fontId="9" fillId="0" borderId="0" xfId="1" applyFont="1"/>
    <xf numFmtId="9" fontId="9" fillId="0" borderId="0" xfId="1" applyFont="1" applyFill="1"/>
    <xf numFmtId="9" fontId="8" fillId="0" borderId="2" xfId="1" applyFont="1" applyBorder="1"/>
    <xf numFmtId="9" fontId="61" fillId="0" borderId="5" xfId="1" applyFont="1" applyFill="1" applyBorder="1"/>
    <xf numFmtId="9" fontId="9" fillId="0" borderId="0" xfId="1" applyFont="1" applyFill="1" applyBorder="1"/>
    <xf numFmtId="9" fontId="61" fillId="0" borderId="5" xfId="1" applyFont="1" applyBorder="1"/>
    <xf numFmtId="10" fontId="0" fillId="0" borderId="0" xfId="1" applyNumberFormat="1" applyFont="1" applyAlignment="1">
      <alignment horizontal="center"/>
    </xf>
    <xf numFmtId="0" fontId="32" fillId="2" borderId="0" xfId="0" applyFont="1" applyFill="1" applyAlignment="1">
      <alignment horizontal="left"/>
    </xf>
    <xf numFmtId="0" fontId="95" fillId="0" borderId="18" xfId="0" applyFont="1" applyBorder="1" applyAlignment="1">
      <alignment horizontal="centerContinuous"/>
    </xf>
    <xf numFmtId="0" fontId="95" fillId="0" borderId="18" xfId="0" applyFont="1" applyBorder="1"/>
    <xf numFmtId="0" fontId="95" fillId="0" borderId="18" xfId="0" applyFont="1" applyBorder="1" applyAlignment="1">
      <alignment horizontal="center"/>
    </xf>
    <xf numFmtId="0" fontId="96" fillId="0" borderId="18" xfId="0" applyFont="1" applyBorder="1" applyAlignment="1">
      <alignment horizontal="center"/>
    </xf>
    <xf numFmtId="10" fontId="6" fillId="0" borderId="17" xfId="1" applyNumberFormat="1" applyFont="1" applyBorder="1" applyAlignment="1">
      <alignment horizontal="center"/>
    </xf>
    <xf numFmtId="2" fontId="96" fillId="0" borderId="18" xfId="0" applyNumberFormat="1" applyFont="1" applyBorder="1" applyAlignment="1">
      <alignment horizontal="center"/>
    </xf>
    <xf numFmtId="0" fontId="95" fillId="0" borderId="18" xfId="0" applyFont="1" applyBorder="1" applyAlignment="1">
      <alignment horizontal="left" indent="1"/>
    </xf>
    <xf numFmtId="181" fontId="0" fillId="5" borderId="0" xfId="1" applyNumberFormat="1" applyFont="1" applyFill="1"/>
    <xf numFmtId="0" fontId="97" fillId="0" borderId="0" xfId="0" applyFont="1"/>
    <xf numFmtId="0" fontId="11" fillId="5" borderId="1" xfId="0" applyFont="1" applyFill="1" applyBorder="1"/>
    <xf numFmtId="0" fontId="0" fillId="0" borderId="10" xfId="0" applyBorder="1"/>
    <xf numFmtId="10" fontId="0" fillId="0" borderId="10" xfId="0" applyNumberFormat="1" applyBorder="1" applyAlignment="1">
      <alignment horizontal="center"/>
    </xf>
    <xf numFmtId="0" fontId="0" fillId="0" borderId="10" xfId="0" applyBorder="1" applyAlignment="1">
      <alignment horizontal="center"/>
    </xf>
    <xf numFmtId="10" fontId="11" fillId="5" borderId="1" xfId="0" applyNumberFormat="1" applyFont="1" applyFill="1" applyBorder="1" applyAlignment="1">
      <alignment horizontal="center"/>
    </xf>
    <xf numFmtId="10" fontId="0" fillId="0" borderId="10" xfId="1" applyNumberFormat="1" applyFont="1" applyBorder="1" applyAlignment="1">
      <alignment horizontal="center"/>
    </xf>
    <xf numFmtId="172" fontId="94" fillId="0" borderId="14" xfId="0" applyNumberFormat="1" applyFont="1" applyBorder="1" applyAlignment="1">
      <alignment horizontal="left"/>
    </xf>
    <xf numFmtId="9" fontId="0" fillId="0" borderId="10" xfId="0" applyNumberFormat="1" applyBorder="1" applyAlignment="1">
      <alignment horizontal="center"/>
    </xf>
    <xf numFmtId="0" fontId="12" fillId="2" borderId="0" xfId="0" applyFont="1" applyFill="1" applyAlignment="1">
      <alignment horizontal="center" vertical="top"/>
    </xf>
    <xf numFmtId="0" fontId="12" fillId="2" borderId="0" xfId="0" applyFont="1" applyFill="1" applyAlignment="1">
      <alignment horizontal="center" vertical="top" wrapText="1"/>
    </xf>
    <xf numFmtId="0" fontId="0" fillId="4" borderId="0" xfId="0" applyFill="1" applyAlignment="1">
      <alignment horizontal="center"/>
    </xf>
    <xf numFmtId="0" fontId="0" fillId="5" borderId="21" xfId="0" applyFill="1" applyBorder="1"/>
    <xf numFmtId="0" fontId="0" fillId="5" borderId="22" xfId="0" applyFill="1" applyBorder="1"/>
    <xf numFmtId="0" fontId="99" fillId="0" borderId="0" xfId="0" applyFont="1" applyAlignment="1">
      <alignment vertical="top"/>
    </xf>
    <xf numFmtId="0" fontId="100" fillId="0" borderId="0" xfId="0" applyFont="1" applyAlignment="1">
      <alignment vertical="top"/>
    </xf>
    <xf numFmtId="0" fontId="52" fillId="0" borderId="0" xfId="0" applyFont="1" applyAlignment="1">
      <alignment horizontal="left"/>
    </xf>
    <xf numFmtId="0" fontId="101" fillId="0" borderId="0" xfId="0" applyFont="1"/>
    <xf numFmtId="0" fontId="0" fillId="0" borderId="0" xfId="0" applyAlignment="1">
      <alignment vertical="top" wrapText="1"/>
    </xf>
    <xf numFmtId="0" fontId="102" fillId="0" borderId="0" xfId="0" applyFont="1" applyAlignment="1">
      <alignment horizontal="right" vertical="center" wrapText="1"/>
    </xf>
    <xf numFmtId="3" fontId="102" fillId="0" borderId="0" xfId="0" applyNumberFormat="1" applyFont="1" applyAlignment="1">
      <alignment horizontal="right" vertical="center" wrapText="1"/>
    </xf>
    <xf numFmtId="0" fontId="30" fillId="2" borderId="0" xfId="0" applyFont="1" applyFill="1" applyAlignment="1">
      <alignment horizontal="right"/>
    </xf>
    <xf numFmtId="0" fontId="30" fillId="2" borderId="0" xfId="0" applyFont="1" applyFill="1" applyAlignment="1">
      <alignment horizontal="left"/>
    </xf>
    <xf numFmtId="10" fontId="102" fillId="0" borderId="0" xfId="1" applyNumberFormat="1" applyFont="1" applyFill="1" applyBorder="1" applyAlignment="1">
      <alignment horizontal="right" vertical="center" wrapText="1"/>
    </xf>
    <xf numFmtId="10" fontId="102" fillId="0" borderId="0" xfId="0" applyNumberFormat="1" applyFont="1" applyAlignment="1">
      <alignment horizontal="right" vertical="center" wrapText="1"/>
    </xf>
    <xf numFmtId="10" fontId="0" fillId="5" borderId="21" xfId="0" applyNumberFormat="1" applyFill="1" applyBorder="1"/>
    <xf numFmtId="10" fontId="0" fillId="5" borderId="22" xfId="0" applyNumberFormat="1" applyFill="1" applyBorder="1"/>
    <xf numFmtId="2" fontId="0" fillId="5" borderId="21" xfId="0" applyNumberFormat="1" applyFill="1" applyBorder="1"/>
    <xf numFmtId="2" fontId="0" fillId="5" borderId="22" xfId="0" applyNumberFormat="1" applyFill="1" applyBorder="1"/>
    <xf numFmtId="10" fontId="0" fillId="5" borderId="21" xfId="1" applyNumberFormat="1" applyFont="1" applyFill="1" applyBorder="1"/>
    <xf numFmtId="10" fontId="0" fillId="5" borderId="22" xfId="1" applyNumberFormat="1" applyFont="1" applyFill="1" applyBorder="1"/>
    <xf numFmtId="0" fontId="1" fillId="9" borderId="4" xfId="0" applyFont="1" applyFill="1" applyBorder="1"/>
    <xf numFmtId="0" fontId="1" fillId="0" borderId="4" xfId="0" applyFont="1" applyBorder="1"/>
    <xf numFmtId="0" fontId="103" fillId="0" borderId="4" xfId="6" applyFont="1" applyBorder="1"/>
    <xf numFmtId="0" fontId="1" fillId="0" borderId="4" xfId="0" applyFont="1" applyBorder="1" applyAlignment="1">
      <alignment horizontal="right"/>
    </xf>
    <xf numFmtId="2" fontId="1" fillId="0" borderId="4" xfId="0" applyNumberFormat="1" applyFont="1" applyBorder="1"/>
    <xf numFmtId="10" fontId="1" fillId="0" borderId="4" xfId="0" applyNumberFormat="1" applyFont="1" applyBorder="1"/>
    <xf numFmtId="2" fontId="105" fillId="0" borderId="4" xfId="0" applyNumberFormat="1" applyFont="1" applyBorder="1"/>
    <xf numFmtId="3" fontId="104" fillId="0" borderId="4" xfId="0" applyNumberFormat="1" applyFont="1" applyBorder="1" applyAlignment="1">
      <alignment horizontal="right"/>
    </xf>
    <xf numFmtId="3" fontId="104" fillId="0" borderId="4" xfId="0" applyNumberFormat="1" applyFont="1" applyBorder="1"/>
    <xf numFmtId="2" fontId="105" fillId="8" borderId="4" xfId="0" applyNumberFormat="1" applyFont="1" applyFill="1" applyBorder="1" applyAlignment="1">
      <alignment vertical="center" wrapText="1"/>
    </xf>
    <xf numFmtId="2" fontId="0" fillId="0" borderId="10" xfId="0" applyNumberFormat="1" applyBorder="1" applyAlignment="1">
      <alignment horizontal="center"/>
    </xf>
    <xf numFmtId="0" fontId="19" fillId="0" borderId="20" xfId="0" applyFont="1" applyBorder="1"/>
    <xf numFmtId="169" fontId="94" fillId="0" borderId="3" xfId="0" applyNumberFormat="1" applyFont="1" applyBorder="1"/>
    <xf numFmtId="186" fontId="0" fillId="0" borderId="0" xfId="0" applyNumberFormat="1"/>
    <xf numFmtId="0" fontId="11" fillId="0" borderId="2" xfId="0" applyFont="1" applyBorder="1" applyAlignment="1">
      <alignment horizontal="left"/>
    </xf>
    <xf numFmtId="0" fontId="11" fillId="0" borderId="5" xfId="0" applyFont="1" applyBorder="1" applyAlignment="1">
      <alignment horizontal="left"/>
    </xf>
    <xf numFmtId="0" fontId="34" fillId="0" borderId="0" xfId="0" applyFont="1" applyAlignment="1">
      <alignment horizontal="left" indent="1"/>
    </xf>
    <xf numFmtId="3" fontId="11" fillId="0" borderId="5" xfId="0" applyNumberFormat="1" applyFont="1" applyBorder="1"/>
    <xf numFmtId="0" fontId="28" fillId="0" borderId="0" xfId="9" applyFont="1"/>
    <xf numFmtId="0" fontId="28" fillId="0" borderId="0" xfId="9" applyFont="1" applyAlignment="1">
      <alignment horizontal="right"/>
    </xf>
    <xf numFmtId="0" fontId="107" fillId="0" borderId="0" xfId="9" applyFont="1"/>
    <xf numFmtId="0" fontId="3" fillId="0" borderId="0" xfId="9" applyFont="1"/>
    <xf numFmtId="2" fontId="108" fillId="0" borderId="18" xfId="9" applyNumberFormat="1" applyFont="1" applyBorder="1" applyAlignment="1">
      <alignment horizontal="right"/>
    </xf>
    <xf numFmtId="0" fontId="106" fillId="0" borderId="0" xfId="9"/>
    <xf numFmtId="2" fontId="108" fillId="0" borderId="18" xfId="10" applyNumberFormat="1" applyFont="1" applyFill="1" applyBorder="1" applyAlignment="1">
      <alignment horizontal="right"/>
    </xf>
    <xf numFmtId="10" fontId="108" fillId="0" borderId="18" xfId="11" applyNumberFormat="1" applyFont="1" applyFill="1" applyBorder="1" applyAlignment="1">
      <alignment horizontal="right"/>
    </xf>
    <xf numFmtId="10" fontId="108" fillId="0" borderId="18" xfId="9" applyNumberFormat="1" applyFont="1" applyBorder="1" applyAlignment="1">
      <alignment horizontal="right"/>
    </xf>
    <xf numFmtId="0" fontId="109" fillId="0" borderId="0" xfId="9" applyFont="1"/>
    <xf numFmtId="0" fontId="110" fillId="0" borderId="0" xfId="9" applyFont="1"/>
    <xf numFmtId="0" fontId="111" fillId="0" borderId="0" xfId="9" applyFont="1"/>
    <xf numFmtId="0" fontId="112" fillId="0" borderId="0" xfId="9" applyFont="1"/>
    <xf numFmtId="2" fontId="28" fillId="0" borderId="18" xfId="9" applyNumberFormat="1" applyFont="1" applyBorder="1" applyAlignment="1">
      <alignment horizontal="right"/>
    </xf>
    <xf numFmtId="2" fontId="3" fillId="0" borderId="18" xfId="9" applyNumberFormat="1" applyFont="1" applyBorder="1"/>
    <xf numFmtId="10" fontId="28" fillId="0" borderId="0" xfId="9" applyNumberFormat="1" applyFont="1"/>
    <xf numFmtId="10" fontId="28" fillId="0" borderId="18" xfId="9" applyNumberFormat="1" applyFont="1" applyBorder="1"/>
    <xf numFmtId="189" fontId="28" fillId="0" borderId="18" xfId="12" applyNumberFormat="1" applyFont="1" applyBorder="1"/>
    <xf numFmtId="10" fontId="3" fillId="0" borderId="18" xfId="9" applyNumberFormat="1" applyFont="1" applyBorder="1"/>
    <xf numFmtId="2" fontId="3" fillId="0" borderId="18" xfId="9" applyNumberFormat="1" applyFont="1" applyBorder="1" applyAlignment="1">
      <alignment horizontal="right"/>
    </xf>
    <xf numFmtId="0" fontId="3" fillId="0" borderId="0" xfId="9" applyFont="1" applyAlignment="1">
      <alignment horizontal="right"/>
    </xf>
    <xf numFmtId="2" fontId="3" fillId="0" borderId="24" xfId="10" applyNumberFormat="1" applyFont="1" applyBorder="1" applyAlignment="1">
      <alignment horizontal="right"/>
    </xf>
    <xf numFmtId="185" fontId="3" fillId="0" borderId="0" xfId="9" applyNumberFormat="1" applyFont="1"/>
    <xf numFmtId="187" fontId="3" fillId="0" borderId="0" xfId="10" applyFont="1"/>
    <xf numFmtId="0" fontId="12" fillId="2" borderId="0" xfId="0" applyFont="1" applyFill="1" applyAlignment="1">
      <alignment horizontal="right"/>
    </xf>
    <xf numFmtId="15" fontId="0" fillId="0" borderId="0" xfId="0" applyNumberFormat="1"/>
    <xf numFmtId="3" fontId="112" fillId="0" borderId="0" xfId="9" applyNumberFormat="1" applyFont="1"/>
    <xf numFmtId="10" fontId="106" fillId="0" borderId="0" xfId="9" applyNumberFormat="1"/>
    <xf numFmtId="0" fontId="12" fillId="2" borderId="0" xfId="0" applyFont="1" applyFill="1" applyAlignment="1">
      <alignment horizontal="right" wrapText="1"/>
    </xf>
    <xf numFmtId="0" fontId="12" fillId="2" borderId="0" xfId="0" applyFont="1" applyFill="1" applyAlignment="1">
      <alignment horizontal="right" vertical="center" wrapText="1"/>
    </xf>
    <xf numFmtId="0" fontId="113" fillId="0" borderId="0" xfId="9" applyFont="1"/>
    <xf numFmtId="2" fontId="106" fillId="0" borderId="0" xfId="9" applyNumberFormat="1"/>
    <xf numFmtId="165" fontId="106" fillId="0" borderId="0" xfId="1" applyNumberFormat="1" applyFont="1"/>
    <xf numFmtId="1" fontId="3" fillId="0" borderId="24" xfId="9" applyNumberFormat="1" applyFont="1" applyBorder="1" applyAlignment="1">
      <alignment horizontal="right"/>
    </xf>
    <xf numFmtId="3" fontId="30" fillId="0" borderId="0" xfId="0" applyNumberFormat="1" applyFont="1"/>
    <xf numFmtId="173" fontId="19" fillId="0" borderId="0" xfId="0" applyNumberFormat="1" applyFont="1"/>
    <xf numFmtId="0" fontId="114" fillId="2" borderId="0" xfId="0" applyFont="1" applyFill="1" applyAlignment="1">
      <alignment horizontal="left"/>
    </xf>
    <xf numFmtId="0" fontId="115" fillId="2" borderId="0" xfId="0" applyFont="1" applyFill="1" applyAlignment="1">
      <alignment horizontal="center"/>
    </xf>
    <xf numFmtId="0" fontId="15" fillId="0" borderId="18" xfId="0" applyFont="1" applyBorder="1" applyAlignment="1">
      <alignment horizontal="center"/>
    </xf>
    <xf numFmtId="1" fontId="15" fillId="0" borderId="4" xfId="0" applyNumberFormat="1" applyFont="1" applyBorder="1"/>
    <xf numFmtId="1" fontId="23" fillId="5" borderId="4" xfId="0" applyNumberFormat="1" applyFont="1" applyFill="1" applyBorder="1"/>
    <xf numFmtId="174" fontId="34" fillId="0" borderId="0" xfId="0" applyNumberFormat="1" applyFont="1"/>
    <xf numFmtId="0" fontId="116" fillId="0" borderId="0" xfId="0" applyFont="1"/>
    <xf numFmtId="0" fontId="117" fillId="0" borderId="25" xfId="0" applyFont="1" applyBorder="1" applyAlignment="1">
      <alignment wrapText="1"/>
    </xf>
    <xf numFmtId="14" fontId="118" fillId="0" borderId="25" xfId="0" applyNumberFormat="1" applyFont="1" applyBorder="1" applyAlignment="1">
      <alignment horizontal="right" wrapText="1"/>
    </xf>
    <xf numFmtId="0" fontId="118" fillId="0" borderId="25" xfId="0" applyFont="1" applyBorder="1" applyAlignment="1">
      <alignment horizontal="right" wrapText="1"/>
    </xf>
    <xf numFmtId="0" fontId="118" fillId="0" borderId="25" xfId="0" applyFont="1" applyBorder="1" applyAlignment="1">
      <alignment wrapText="1"/>
    </xf>
    <xf numFmtId="10" fontId="0" fillId="0" borderId="0" xfId="0" applyNumberFormat="1" applyAlignment="1">
      <alignment vertical="center" wrapText="1"/>
    </xf>
    <xf numFmtId="190" fontId="0" fillId="0" borderId="0" xfId="0" applyNumberFormat="1"/>
    <xf numFmtId="191" fontId="0" fillId="0" borderId="0" xfId="0" applyNumberFormat="1" applyAlignment="1">
      <alignment vertical="center" wrapText="1"/>
    </xf>
    <xf numFmtId="0" fontId="119" fillId="0" borderId="0" xfId="0" applyFont="1" applyAlignment="1">
      <alignment horizontal="left" vertical="center" readingOrder="1"/>
    </xf>
    <xf numFmtId="0" fontId="120" fillId="0" borderId="0" xfId="0" applyFont="1" applyAlignment="1">
      <alignment horizontal="left" vertical="center" readingOrder="1"/>
    </xf>
    <xf numFmtId="176" fontId="20" fillId="0" borderId="3" xfId="0" applyNumberFormat="1" applyFont="1" applyBorder="1"/>
    <xf numFmtId="9" fontId="0" fillId="5" borderId="0" xfId="1" applyFont="1" applyFill="1" applyBorder="1"/>
    <xf numFmtId="3" fontId="29" fillId="0" borderId="0" xfId="2" applyNumberFormat="1" applyFont="1"/>
    <xf numFmtId="3" fontId="9" fillId="0" borderId="0" xfId="2" applyNumberFormat="1" applyFont="1"/>
    <xf numFmtId="0" fontId="0" fillId="11" borderId="0" xfId="0" applyFill="1" applyAlignment="1">
      <alignment horizontal="center"/>
    </xf>
    <xf numFmtId="165" fontId="121" fillId="0" borderId="5" xfId="1" applyNumberFormat="1" applyFont="1" applyBorder="1"/>
    <xf numFmtId="0" fontId="99" fillId="0" borderId="0" xfId="0" applyFont="1"/>
    <xf numFmtId="173" fontId="121" fillId="0" borderId="5" xfId="0" applyNumberFormat="1" applyFont="1" applyBorder="1"/>
    <xf numFmtId="170" fontId="122" fillId="0" borderId="0" xfId="0" applyNumberFormat="1" applyFont="1"/>
    <xf numFmtId="170" fontId="121" fillId="0" borderId="5" xfId="0" applyNumberFormat="1" applyFont="1" applyBorder="1"/>
    <xf numFmtId="169" fontId="123" fillId="2" borderId="0" xfId="0" applyNumberFormat="1" applyFont="1" applyFill="1"/>
    <xf numFmtId="165" fontId="121" fillId="0" borderId="0" xfId="1" applyNumberFormat="1" applyFont="1" applyBorder="1"/>
    <xf numFmtId="173" fontId="121" fillId="0" borderId="0" xfId="0" applyNumberFormat="1" applyFont="1"/>
    <xf numFmtId="173" fontId="121" fillId="0" borderId="5" xfId="1" applyNumberFormat="1" applyFont="1" applyBorder="1"/>
    <xf numFmtId="181" fontId="121" fillId="0" borderId="5" xfId="1" applyNumberFormat="1" applyFont="1" applyBorder="1"/>
    <xf numFmtId="174" fontId="16" fillId="0" borderId="0" xfId="0" applyNumberFormat="1" applyFont="1"/>
    <xf numFmtId="17" fontId="12" fillId="2" borderId="0" xfId="0" applyNumberFormat="1" applyFont="1" applyFill="1"/>
    <xf numFmtId="169" fontId="11" fillId="0" borderId="0" xfId="0" applyNumberFormat="1" applyFont="1"/>
    <xf numFmtId="1" fontId="94" fillId="0" borderId="3" xfId="0" applyNumberFormat="1" applyFont="1" applyBorder="1"/>
    <xf numFmtId="192" fontId="0" fillId="0" borderId="0" xfId="0" applyNumberFormat="1" applyAlignment="1">
      <alignment horizontal="right"/>
    </xf>
    <xf numFmtId="192" fontId="94" fillId="0" borderId="3" xfId="0" applyNumberFormat="1" applyFont="1" applyBorder="1"/>
    <xf numFmtId="9" fontId="0" fillId="0" borderId="23" xfId="0" applyNumberFormat="1" applyBorder="1" applyAlignment="1">
      <alignment horizontal="center"/>
    </xf>
    <xf numFmtId="0" fontId="0" fillId="0" borderId="18" xfId="0" applyBorder="1" applyAlignment="1">
      <alignment horizontal="center"/>
    </xf>
    <xf numFmtId="37" fontId="0" fillId="0" borderId="4" xfId="0" applyNumberFormat="1" applyBorder="1"/>
    <xf numFmtId="37" fontId="0" fillId="5" borderId="4" xfId="0" applyNumberFormat="1" applyFill="1" applyBorder="1"/>
    <xf numFmtId="37" fontId="0" fillId="0" borderId="9" xfId="0" applyNumberFormat="1" applyBorder="1"/>
    <xf numFmtId="37" fontId="0" fillId="0" borderId="26" xfId="0" applyNumberFormat="1" applyBorder="1"/>
    <xf numFmtId="37" fontId="0" fillId="0" borderId="27" xfId="0" applyNumberFormat="1" applyBorder="1"/>
    <xf numFmtId="37" fontId="0" fillId="0" borderId="28" xfId="0" applyNumberFormat="1" applyBorder="1"/>
    <xf numFmtId="37" fontId="0" fillId="0" borderId="29" xfId="0" applyNumberFormat="1" applyBorder="1"/>
    <xf numFmtId="9" fontId="101" fillId="5" borderId="0" xfId="0" applyNumberFormat="1" applyFont="1" applyFill="1"/>
    <xf numFmtId="0" fontId="124" fillId="0" borderId="0" xfId="0" applyFont="1"/>
    <xf numFmtId="181" fontId="101" fillId="5" borderId="0" xfId="1" applyNumberFormat="1" applyFont="1" applyFill="1"/>
    <xf numFmtId="0" fontId="94" fillId="0" borderId="20" xfId="0" applyFont="1" applyBorder="1" applyAlignment="1">
      <alignment horizontal="center"/>
    </xf>
    <xf numFmtId="10" fontId="94" fillId="0" borderId="20" xfId="0" applyNumberFormat="1" applyFont="1" applyBorder="1" applyAlignment="1">
      <alignment horizontal="center"/>
    </xf>
    <xf numFmtId="10" fontId="94" fillId="0" borderId="20" xfId="1" applyNumberFormat="1" applyFont="1" applyBorder="1" applyAlignment="1">
      <alignment horizontal="center"/>
    </xf>
    <xf numFmtId="172" fontId="94" fillId="0" borderId="20" xfId="0" applyNumberFormat="1" applyFont="1" applyBorder="1" applyAlignment="1">
      <alignment horizontal="center"/>
    </xf>
    <xf numFmtId="0" fontId="32" fillId="2" borderId="31" xfId="0" applyFont="1" applyFill="1" applyBorder="1" applyAlignment="1">
      <alignment horizontal="center" vertical="center" wrapText="1"/>
    </xf>
    <xf numFmtId="0" fontId="12" fillId="2" borderId="31" xfId="0" applyFont="1" applyFill="1" applyBorder="1" applyAlignment="1">
      <alignment horizontal="center" vertical="center" wrapText="1"/>
    </xf>
    <xf numFmtId="0" fontId="0" fillId="0" borderId="30" xfId="0" applyBorder="1" applyAlignment="1">
      <alignment vertical="center" wrapText="1"/>
    </xf>
    <xf numFmtId="3" fontId="0" fillId="0" borderId="30" xfId="0" applyNumberFormat="1" applyBorder="1" applyAlignment="1">
      <alignment vertical="center" wrapText="1"/>
    </xf>
    <xf numFmtId="3" fontId="0" fillId="12" borderId="30" xfId="0" applyNumberFormat="1" applyFill="1" applyBorder="1" applyAlignment="1">
      <alignment vertical="center" wrapText="1"/>
    </xf>
    <xf numFmtId="9" fontId="0" fillId="12" borderId="30" xfId="0" applyNumberFormat="1" applyFill="1" applyBorder="1" applyAlignment="1">
      <alignment vertical="center" wrapText="1"/>
    </xf>
    <xf numFmtId="3" fontId="0" fillId="13" borderId="30" xfId="0" applyNumberFormat="1" applyFill="1" applyBorder="1" applyAlignment="1">
      <alignment vertical="center" wrapText="1"/>
    </xf>
    <xf numFmtId="9" fontId="0" fillId="13" borderId="30" xfId="0" applyNumberFormat="1" applyFill="1" applyBorder="1" applyAlignment="1">
      <alignment vertical="center" wrapText="1"/>
    </xf>
    <xf numFmtId="0" fontId="0" fillId="0" borderId="0" xfId="0" applyAlignment="1">
      <alignment horizontal="left" vertical="top" wrapText="1"/>
    </xf>
    <xf numFmtId="0" fontId="95" fillId="0" borderId="19" xfId="0" applyFont="1" applyBorder="1" applyAlignment="1">
      <alignment horizontal="center"/>
    </xf>
    <xf numFmtId="0" fontId="95" fillId="0" borderId="20" xfId="0" applyFont="1" applyBorder="1" applyAlignment="1">
      <alignment horizontal="center"/>
    </xf>
    <xf numFmtId="0" fontId="0" fillId="0" borderId="0" xfId="0" applyAlignment="1">
      <alignment horizontal="left" wrapText="1"/>
    </xf>
    <xf numFmtId="0" fontId="42" fillId="0" borderId="0" xfId="0" applyFont="1" applyAlignment="1">
      <alignment horizontal="left" vertical="top" wrapText="1"/>
    </xf>
    <xf numFmtId="0" fontId="63" fillId="0" borderId="0" xfId="0" applyFont="1" applyAlignment="1">
      <alignment horizontal="center" wrapText="1"/>
    </xf>
    <xf numFmtId="0" fontId="58" fillId="0" borderId="0" xfId="0" applyFont="1" applyAlignment="1">
      <alignment horizontal="center" wrapText="1"/>
    </xf>
    <xf numFmtId="0" fontId="63" fillId="0" borderId="0" xfId="0" applyFont="1" applyAlignment="1">
      <alignment horizontal="left" vertical="top" wrapText="1"/>
    </xf>
    <xf numFmtId="0" fontId="32" fillId="2" borderId="0" xfId="0" applyFont="1" applyFill="1" applyAlignment="1">
      <alignment horizontal="center"/>
    </xf>
    <xf numFmtId="0" fontId="20" fillId="3" borderId="0" xfId="0" applyFont="1" applyFill="1" applyAlignment="1">
      <alignment horizontal="center"/>
    </xf>
    <xf numFmtId="0" fontId="0" fillId="0" borderId="0" xfId="0" applyAlignment="1">
      <alignment horizontal="center"/>
    </xf>
    <xf numFmtId="0" fontId="20" fillId="5" borderId="0" xfId="0" applyFont="1" applyFill="1" applyAlignment="1">
      <alignment horizontal="center"/>
    </xf>
    <xf numFmtId="0" fontId="11" fillId="5" borderId="0" xfId="0" applyFont="1" applyFill="1" applyAlignment="1">
      <alignment horizontal="center"/>
    </xf>
    <xf numFmtId="0" fontId="12" fillId="2" borderId="0" xfId="0" applyFont="1" applyFill="1" applyAlignment="1">
      <alignment horizontal="center"/>
    </xf>
    <xf numFmtId="0" fontId="32" fillId="2" borderId="0" xfId="0" applyFont="1" applyFill="1" applyAlignment="1">
      <alignment horizontal="center" vertical="center" textRotation="90" wrapText="1"/>
    </xf>
    <xf numFmtId="0" fontId="11" fillId="0" borderId="0" xfId="0" applyFont="1" applyAlignment="1">
      <alignment horizontal="center"/>
    </xf>
    <xf numFmtId="0" fontId="20" fillId="0" borderId="0" xfId="0" applyFont="1" applyAlignment="1">
      <alignment horizontal="center" vertical="center" textRotation="90" wrapText="1"/>
    </xf>
    <xf numFmtId="0" fontId="31" fillId="0" borderId="0" xfId="4" applyAlignment="1">
      <alignment horizontal="center"/>
    </xf>
    <xf numFmtId="0" fontId="36" fillId="0" borderId="0" xfId="4" applyFont="1" applyAlignment="1">
      <alignment horizontal="center"/>
    </xf>
    <xf numFmtId="0" fontId="36" fillId="0" borderId="0" xfId="4" applyFont="1" applyAlignment="1">
      <alignment horizontal="center" wrapText="1"/>
    </xf>
    <xf numFmtId="0" fontId="31" fillId="0" borderId="0" xfId="4" applyAlignment="1">
      <alignment horizontal="center" wrapText="1"/>
    </xf>
  </cellXfs>
  <cellStyles count="13">
    <cellStyle name="Comma 2" xfId="12" xr:uid="{7C835FCB-074C-4DC6-939E-4652F6C80AB2}"/>
    <cellStyle name="Currency 3" xfId="10" xr:uid="{77CA471E-C73B-4C6B-9184-B2C8BD86BDBB}"/>
    <cellStyle name="Hyperlink" xfId="6" builtinId="8"/>
    <cellStyle name="Hyperlink 2" xfId="8" xr:uid="{20049E98-41D5-4C46-A57B-CFA23A053119}"/>
    <cellStyle name="Normal" xfId="0" builtinId="0"/>
    <cellStyle name="Normal 2" xfId="3" xr:uid="{3FDC719C-D55D-47C4-A983-FBE97D19701C}"/>
    <cellStyle name="Normal 3" xfId="2" xr:uid="{A8E48AEC-AEA1-424A-A68B-DCD242593CD0}"/>
    <cellStyle name="Normal 4" xfId="4" xr:uid="{E62E4589-DAE9-4167-B53C-5255D51881BD}"/>
    <cellStyle name="Normal 5" xfId="7" xr:uid="{B8C6CD28-BEF0-468C-B5E7-87566365EEEA}"/>
    <cellStyle name="Normal 6" xfId="9" xr:uid="{2D8E35F2-6D7E-4F76-BF17-2A6900A14348}"/>
    <cellStyle name="Percent" xfId="1" builtinId="5"/>
    <cellStyle name="Percent 2" xfId="5" xr:uid="{5DF0639E-D38C-447B-B3A8-CA11D00E16CD}"/>
    <cellStyle name="Percent 5" xfId="11" xr:uid="{F173D191-8050-46DA-8221-E664CD264371}"/>
  </cellStyles>
  <dxfs count="0"/>
  <tableStyles count="0" defaultTableStyle="TableStyleMedium2" defaultPivotStyle="PivotStyleLight16"/>
  <colors>
    <mruColors>
      <color rgb="FFFFC7CE"/>
      <color rgb="FFC6EFCE"/>
      <color rgb="FF0055A4"/>
      <color rgb="FF9ACA3C"/>
      <color rgb="FF005EB8"/>
      <color rgb="FF4D8FD4"/>
      <color rgb="FF66B2FF"/>
      <color rgb="FF80B3E6"/>
      <color rgb="FF3A80CC"/>
      <color rgb="FF2D9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stacked"/>
        <c:varyColors val="0"/>
        <c:ser>
          <c:idx val="0"/>
          <c:order val="0"/>
          <c:tx>
            <c:strRef>
              <c:f>'Assumptions Working '!$B$754</c:f>
              <c:strCache>
                <c:ptCount val="1"/>
                <c:pt idx="0">
                  <c:v>Operating Cash</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numRef>
              <c:f>'Assumptions Working '!$C$742:$M$742</c:f>
              <c:numCache>
                <c:formatCode>mmm/yyyy</c:formatCode>
                <c:ptCount val="11"/>
                <c:pt idx="0">
                  <c:v>43891</c:v>
                </c:pt>
                <c:pt idx="1">
                  <c:v>44256</c:v>
                </c:pt>
                <c:pt idx="2">
                  <c:v>44621</c:v>
                </c:pt>
                <c:pt idx="3">
                  <c:v>44986</c:v>
                </c:pt>
                <c:pt idx="4">
                  <c:v>45382</c:v>
                </c:pt>
                <c:pt idx="5">
                  <c:v>45717</c:v>
                </c:pt>
                <c:pt idx="6">
                  <c:v>46082</c:v>
                </c:pt>
                <c:pt idx="7">
                  <c:v>46447</c:v>
                </c:pt>
                <c:pt idx="8">
                  <c:v>46813</c:v>
                </c:pt>
                <c:pt idx="9">
                  <c:v>47178</c:v>
                </c:pt>
                <c:pt idx="10">
                  <c:v>47543</c:v>
                </c:pt>
              </c:numCache>
            </c:numRef>
          </c:cat>
          <c:val>
            <c:numRef>
              <c:f>'Assumptions Working '!$C$754:$M$754</c:f>
              <c:numCache>
                <c:formatCode>0</c:formatCode>
                <c:ptCount val="11"/>
                <c:pt idx="0">
                  <c:v>93.000000000000909</c:v>
                </c:pt>
                <c:pt idx="1">
                  <c:v>109.00000000000091</c:v>
                </c:pt>
                <c:pt idx="2">
                  <c:v>276.00000000000091</c:v>
                </c:pt>
                <c:pt idx="3">
                  <c:v>207.00000000000088</c:v>
                </c:pt>
                <c:pt idx="4">
                  <c:v>228.00000000000091</c:v>
                </c:pt>
                <c:pt idx="5">
                  <c:v>321.00000000000091</c:v>
                </c:pt>
                <c:pt idx="6">
                  <c:v>246.94680000000005</c:v>
                </c:pt>
                <c:pt idx="7">
                  <c:v>280.28461800000008</c:v>
                </c:pt>
                <c:pt idx="8">
                  <c:v>316.72161834000002</c:v>
                </c:pt>
                <c:pt idx="9">
                  <c:v>356.31182063250003</c:v>
                </c:pt>
                <c:pt idx="10">
                  <c:v>399.0692391084001</c:v>
                </c:pt>
              </c:numCache>
            </c:numRef>
          </c:val>
          <c:extLst>
            <c:ext xmlns:c16="http://schemas.microsoft.com/office/drawing/2014/chart" uri="{C3380CC4-5D6E-409C-BE32-E72D297353CC}">
              <c16:uniqueId val="{00000000-83FD-4112-9DD9-84DCB968E0BC}"/>
            </c:ext>
          </c:extLst>
        </c:ser>
        <c:ser>
          <c:idx val="1"/>
          <c:order val="1"/>
          <c:tx>
            <c:strRef>
              <c:f>'Assumptions Working '!$B$756</c:f>
              <c:strCache>
                <c:ptCount val="1"/>
                <c:pt idx="0">
                  <c:v>Excess Cash</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numRef>
              <c:f>'Assumptions Working '!$C$742:$M$742</c:f>
              <c:numCache>
                <c:formatCode>mmm/yyyy</c:formatCode>
                <c:ptCount val="11"/>
                <c:pt idx="0">
                  <c:v>43891</c:v>
                </c:pt>
                <c:pt idx="1">
                  <c:v>44256</c:v>
                </c:pt>
                <c:pt idx="2">
                  <c:v>44621</c:v>
                </c:pt>
                <c:pt idx="3">
                  <c:v>44986</c:v>
                </c:pt>
                <c:pt idx="4">
                  <c:v>45382</c:v>
                </c:pt>
                <c:pt idx="5">
                  <c:v>45717</c:v>
                </c:pt>
                <c:pt idx="6">
                  <c:v>46082</c:v>
                </c:pt>
                <c:pt idx="7">
                  <c:v>46447</c:v>
                </c:pt>
                <c:pt idx="8">
                  <c:v>46813</c:v>
                </c:pt>
                <c:pt idx="9">
                  <c:v>47178</c:v>
                </c:pt>
                <c:pt idx="10">
                  <c:v>47543</c:v>
                </c:pt>
              </c:numCache>
            </c:numRef>
          </c:cat>
          <c:val>
            <c:numRef>
              <c:f>'Assumptions Working '!$C$756:$M$756</c:f>
              <c:numCache>
                <c:formatCode>#,##0;\(#,##0\)</c:formatCode>
                <c:ptCount val="11"/>
                <c:pt idx="0">
                  <c:v>0</c:v>
                </c:pt>
                <c:pt idx="1">
                  <c:v>0</c:v>
                </c:pt>
                <c:pt idx="2">
                  <c:v>0</c:v>
                </c:pt>
                <c:pt idx="3">
                  <c:v>0</c:v>
                </c:pt>
                <c:pt idx="4">
                  <c:v>0</c:v>
                </c:pt>
                <c:pt idx="5">
                  <c:v>0</c:v>
                </c:pt>
                <c:pt idx="6">
                  <c:v>138.13996005302363</c:v>
                </c:pt>
                <c:pt idx="7">
                  <c:v>142.34642074720438</c:v>
                </c:pt>
                <c:pt idx="8">
                  <c:v>250.33133525497198</c:v>
                </c:pt>
                <c:pt idx="9">
                  <c:v>374.0961777239736</c:v>
                </c:pt>
                <c:pt idx="10">
                  <c:v>362.53143624904851</c:v>
                </c:pt>
              </c:numCache>
            </c:numRef>
          </c:val>
          <c:extLst>
            <c:ext xmlns:c16="http://schemas.microsoft.com/office/drawing/2014/chart" uri="{C3380CC4-5D6E-409C-BE32-E72D297353CC}">
              <c16:uniqueId val="{00000001-83FD-4112-9DD9-84DCB968E0BC}"/>
            </c:ext>
          </c:extLst>
        </c:ser>
        <c:dLbls>
          <c:showLegendKey val="0"/>
          <c:showVal val="0"/>
          <c:showCatName val="0"/>
          <c:showSerName val="0"/>
          <c:showPercent val="0"/>
          <c:showBubbleSize val="0"/>
        </c:dLbls>
        <c:gapWidth val="150"/>
        <c:overlap val="100"/>
        <c:axId val="714493391"/>
        <c:axId val="714486671"/>
      </c:barChart>
      <c:dateAx>
        <c:axId val="714493391"/>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14486671"/>
        <c:crosses val="autoZero"/>
        <c:auto val="1"/>
        <c:lblOffset val="100"/>
        <c:baseTimeUnit val="months"/>
      </c:dateAx>
      <c:valAx>
        <c:axId val="7144866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14493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Scratch!$AB$2</c:f>
              <c:strCache>
                <c:ptCount val="1"/>
                <c:pt idx="0">
                  <c:v>Young Population 18-24 Years (Working)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Scratch!$AA$3:$AA$10</c:f>
              <c:numCache>
                <c:formatCode>General</c:formatCode>
                <c:ptCount val="8"/>
                <c:pt idx="0">
                  <c:v>2023</c:v>
                </c:pt>
                <c:pt idx="1">
                  <c:v>2024</c:v>
                </c:pt>
                <c:pt idx="2">
                  <c:v>2025</c:v>
                </c:pt>
                <c:pt idx="3">
                  <c:v>2026</c:v>
                </c:pt>
                <c:pt idx="4">
                  <c:v>2027</c:v>
                </c:pt>
                <c:pt idx="5">
                  <c:v>2028</c:v>
                </c:pt>
                <c:pt idx="6">
                  <c:v>2029</c:v>
                </c:pt>
                <c:pt idx="7">
                  <c:v>2030</c:v>
                </c:pt>
              </c:numCache>
            </c:numRef>
          </c:cat>
          <c:val>
            <c:numRef>
              <c:f>Scratch!$AB$3:$AB$10</c:f>
              <c:numCache>
                <c:formatCode>0.00%</c:formatCode>
                <c:ptCount val="8"/>
                <c:pt idx="0">
                  <c:v>0.67910000000000004</c:v>
                </c:pt>
                <c:pt idx="1">
                  <c:v>0.67969999999999997</c:v>
                </c:pt>
                <c:pt idx="2">
                  <c:v>0.68079999999999996</c:v>
                </c:pt>
                <c:pt idx="3">
                  <c:v>0.68140000000000001</c:v>
                </c:pt>
                <c:pt idx="4">
                  <c:v>0.68210000000000004</c:v>
                </c:pt>
                <c:pt idx="5">
                  <c:v>0.68259999999999998</c:v>
                </c:pt>
                <c:pt idx="6">
                  <c:v>0.68289999999999995</c:v>
                </c:pt>
                <c:pt idx="7">
                  <c:v>0.68340000000000001</c:v>
                </c:pt>
              </c:numCache>
            </c:numRef>
          </c:val>
          <c:extLst>
            <c:ext xmlns:c16="http://schemas.microsoft.com/office/drawing/2014/chart" uri="{C3380CC4-5D6E-409C-BE32-E72D297353CC}">
              <c16:uniqueId val="{00000000-5EC7-4B5D-90F4-BC57FEE1E108}"/>
            </c:ext>
          </c:extLst>
        </c:ser>
        <c:dLbls>
          <c:showLegendKey val="0"/>
          <c:showVal val="0"/>
          <c:showCatName val="0"/>
          <c:showSerName val="0"/>
          <c:showPercent val="0"/>
          <c:showBubbleSize val="0"/>
        </c:dLbls>
        <c:gapWidth val="219"/>
        <c:overlap val="-27"/>
        <c:axId val="290581519"/>
        <c:axId val="290582479"/>
      </c:barChart>
      <c:catAx>
        <c:axId val="29058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582479"/>
        <c:crossesAt val="0.67600000000000016"/>
        <c:auto val="1"/>
        <c:lblAlgn val="ctr"/>
        <c:lblOffset val="100"/>
        <c:noMultiLvlLbl val="0"/>
      </c:catAx>
      <c:valAx>
        <c:axId val="290582479"/>
        <c:scaling>
          <c:orientation val="minMax"/>
        </c:scaling>
        <c:delete val="1"/>
        <c:axPos val="l"/>
        <c:numFmt formatCode="0.00%" sourceLinked="1"/>
        <c:majorTickMark val="none"/>
        <c:minorTickMark val="none"/>
        <c:tickLblPos val="nextTo"/>
        <c:crossAx val="29058151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Scratch!$AB$30</c:f>
              <c:strCache>
                <c:ptCount val="1"/>
                <c:pt idx="0">
                  <c:v>Product Wise Revenue Breakup</c:v>
                </c:pt>
              </c:strCache>
            </c:strRef>
          </c:tx>
          <c:explosion val="4"/>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Scratch!$AA$31:$AA$34</c:f>
            </c:multiLvlStrRef>
          </c:cat>
          <c:val>
            <c:numRef>
              <c:f>Scratch!$AB$31:$AB$34</c:f>
            </c:numRef>
          </c:val>
          <c:extLst>
            <c:ext xmlns:c16="http://schemas.microsoft.com/office/drawing/2014/chart" uri="{C3380CC4-5D6E-409C-BE32-E72D297353CC}">
              <c16:uniqueId val="{00000000-A505-4311-8D84-EAABC086C32A}"/>
            </c:ext>
          </c:extLst>
        </c:ser>
        <c:dLbls>
          <c:showLegendKey val="0"/>
          <c:showVal val="0"/>
          <c:showCatName val="0"/>
          <c:showSerName val="0"/>
          <c:showPercent val="0"/>
          <c:showBubbleSize val="0"/>
          <c:showLeaderLines val="1"/>
        </c:dLbls>
        <c:firstSliceAng val="67"/>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9ACA3C"/>
                </a:solidFill>
              </a:rPr>
              <a:t>India’s GDP (US$ Trillion)</a:t>
            </a:r>
            <a:endParaRPr lang="en-IN" b="1">
              <a:solidFill>
                <a:srgbClr val="9ACA3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Scratch!$AB$57</c:f>
              <c:strCache>
                <c:ptCount val="1"/>
                <c:pt idx="0">
                  <c:v>GDP (US$ Trillion)</c:v>
                </c:pt>
              </c:strCache>
            </c:strRef>
          </c:tx>
          <c:spPr>
            <a:solidFill>
              <a:srgbClr val="0055A4"/>
            </a:solidFill>
            <a:ln>
              <a:noFill/>
            </a:ln>
            <a:effectLst/>
          </c:spPr>
          <c:invertIfNegative val="0"/>
          <c:dLbls>
            <c:numFmt formatCode="0.0&quot; Tn&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Scratch!$AA$58:$AA$68</c:f>
              <c:numCache>
                <c:formatCode>General</c:formatCode>
                <c:ptCount val="10"/>
                <c:pt idx="0">
                  <c:v>2020</c:v>
                </c:pt>
                <c:pt idx="1">
                  <c:v>2021</c:v>
                </c:pt>
                <c:pt idx="2">
                  <c:v>2022</c:v>
                </c:pt>
                <c:pt idx="3">
                  <c:v>2023</c:v>
                </c:pt>
                <c:pt idx="4">
                  <c:v>2024</c:v>
                </c:pt>
                <c:pt idx="5" formatCode="0&quot;P&quot;">
                  <c:v>2025</c:v>
                </c:pt>
                <c:pt idx="6" formatCode="0&quot;P&quot;">
                  <c:v>2026</c:v>
                </c:pt>
                <c:pt idx="7" formatCode="0&quot;P&quot;">
                  <c:v>2027</c:v>
                </c:pt>
                <c:pt idx="8" formatCode="0&quot;P&quot;">
                  <c:v>2028</c:v>
                </c:pt>
                <c:pt idx="9" formatCode="0&quot;P&quot;">
                  <c:v>2029</c:v>
                </c:pt>
              </c:numCache>
            </c:numRef>
          </c:cat>
          <c:val>
            <c:numRef>
              <c:f>Scratch!$AB$58:$AB$68</c:f>
              <c:numCache>
                <c:formatCode>0.0</c:formatCode>
                <c:ptCount val="10"/>
                <c:pt idx="0">
                  <c:v>2.66</c:v>
                </c:pt>
                <c:pt idx="1">
                  <c:v>3.17</c:v>
                </c:pt>
                <c:pt idx="2">
                  <c:v>3.35</c:v>
                </c:pt>
                <c:pt idx="3">
                  <c:v>3.64</c:v>
                </c:pt>
                <c:pt idx="4">
                  <c:v>3.91</c:v>
                </c:pt>
                <c:pt idx="5">
                  <c:v>4.2</c:v>
                </c:pt>
                <c:pt idx="6">
                  <c:v>4.51</c:v>
                </c:pt>
                <c:pt idx="7">
                  <c:v>5.46</c:v>
                </c:pt>
                <c:pt idx="8">
                  <c:v>6.02</c:v>
                </c:pt>
                <c:pt idx="9">
                  <c:v>6.33</c:v>
                </c:pt>
              </c:numCache>
            </c:numRef>
          </c:val>
          <c:extLst>
            <c:ext xmlns:c16="http://schemas.microsoft.com/office/drawing/2014/chart" uri="{C3380CC4-5D6E-409C-BE32-E72D297353CC}">
              <c16:uniqueId val="{00000000-8EB7-4485-88B0-5052375D5C8F}"/>
            </c:ext>
          </c:extLst>
        </c:ser>
        <c:dLbls>
          <c:dLblPos val="outEnd"/>
          <c:showLegendKey val="0"/>
          <c:showVal val="1"/>
          <c:showCatName val="0"/>
          <c:showSerName val="0"/>
          <c:showPercent val="0"/>
          <c:showBubbleSize val="0"/>
        </c:dLbls>
        <c:gapWidth val="219"/>
        <c:overlap val="-27"/>
        <c:axId val="2004147103"/>
        <c:axId val="2004136543"/>
      </c:barChart>
      <c:catAx>
        <c:axId val="200414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136543"/>
        <c:crosses val="autoZero"/>
        <c:auto val="1"/>
        <c:lblAlgn val="ctr"/>
        <c:lblOffset val="100"/>
        <c:noMultiLvlLbl val="0"/>
      </c:catAx>
      <c:valAx>
        <c:axId val="2004136543"/>
        <c:scaling>
          <c:orientation val="minMax"/>
        </c:scaling>
        <c:delete val="0"/>
        <c:axPos val="l"/>
        <c:numFmt formatCode="0&quot; Tn&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147103"/>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9ACA3C"/>
                </a:solidFill>
              </a:rPr>
              <a:t>India vs Global GDP Growth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219851989226898"/>
          <c:y val="0.16074632723053561"/>
          <c:w val="0.87090338326842109"/>
          <c:h val="0.741014554575392"/>
        </c:manualLayout>
      </c:layout>
      <c:barChart>
        <c:barDir val="col"/>
        <c:grouping val="clustered"/>
        <c:varyColors val="0"/>
        <c:ser>
          <c:idx val="0"/>
          <c:order val="0"/>
          <c:tx>
            <c:strRef>
              <c:f>Scratch!$AA$75</c:f>
              <c:strCache>
                <c:ptCount val="1"/>
                <c:pt idx="0">
                  <c:v>India (%)</c:v>
                </c:pt>
              </c:strCache>
            </c:strRef>
          </c:tx>
          <c:spPr>
            <a:solidFill>
              <a:srgbClr val="0055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Scratch!$Z$76:$Z$86</c:f>
              <c:strCache>
                <c:ptCount val="11"/>
                <c:pt idx="0">
                  <c:v>2020</c:v>
                </c:pt>
                <c:pt idx="1">
                  <c:v>2021</c:v>
                </c:pt>
                <c:pt idx="2">
                  <c:v>2022</c:v>
                </c:pt>
                <c:pt idx="3">
                  <c:v>2023</c:v>
                </c:pt>
                <c:pt idx="4">
                  <c:v>2024</c:v>
                </c:pt>
                <c:pt idx="5">
                  <c:v>2025P</c:v>
                </c:pt>
                <c:pt idx="6">
                  <c:v>2026P</c:v>
                </c:pt>
                <c:pt idx="7">
                  <c:v>2027P</c:v>
                </c:pt>
                <c:pt idx="8">
                  <c:v>2028P</c:v>
                </c:pt>
                <c:pt idx="9">
                  <c:v>2029P</c:v>
                </c:pt>
                <c:pt idx="10">
                  <c:v>2030P</c:v>
                </c:pt>
              </c:strCache>
            </c:strRef>
          </c:cat>
          <c:val>
            <c:numRef>
              <c:f>Scratch!$AA$76:$AA$86</c:f>
              <c:numCache>
                <c:formatCode>0.00%</c:formatCode>
                <c:ptCount val="11"/>
                <c:pt idx="0">
                  <c:v>-5.7799999999999997E-2</c:v>
                </c:pt>
                <c:pt idx="1">
                  <c:v>9.69E-2</c:v>
                </c:pt>
                <c:pt idx="2">
                  <c:v>7.6100000000000001E-2</c:v>
                </c:pt>
                <c:pt idx="3">
                  <c:v>9.1899999999999996E-2</c:v>
                </c:pt>
                <c:pt idx="4">
                  <c:v>6.4000000000000001E-2</c:v>
                </c:pt>
                <c:pt idx="5">
                  <c:v>6.2E-2</c:v>
                </c:pt>
                <c:pt idx="6">
                  <c:v>6.2700000000000006E-2</c:v>
                </c:pt>
                <c:pt idx="7">
                  <c:v>6.4699999999999994E-2</c:v>
                </c:pt>
                <c:pt idx="8">
                  <c:v>6.4799999999999996E-2</c:v>
                </c:pt>
                <c:pt idx="9">
                  <c:v>6.4899999999999999E-2</c:v>
                </c:pt>
                <c:pt idx="10">
                  <c:v>6.5000000000000002E-2</c:v>
                </c:pt>
              </c:numCache>
            </c:numRef>
          </c:val>
          <c:extLst>
            <c:ext xmlns:c16="http://schemas.microsoft.com/office/drawing/2014/chart" uri="{C3380CC4-5D6E-409C-BE32-E72D297353CC}">
              <c16:uniqueId val="{00000000-DB3C-459B-B85A-F98F403537A7}"/>
            </c:ext>
          </c:extLst>
        </c:ser>
        <c:dLbls>
          <c:showLegendKey val="0"/>
          <c:showVal val="1"/>
          <c:showCatName val="0"/>
          <c:showSerName val="0"/>
          <c:showPercent val="0"/>
          <c:showBubbleSize val="0"/>
        </c:dLbls>
        <c:gapWidth val="150"/>
        <c:axId val="32749423"/>
        <c:axId val="32750863"/>
      </c:barChart>
      <c:lineChart>
        <c:grouping val="standard"/>
        <c:varyColors val="0"/>
        <c:ser>
          <c:idx val="1"/>
          <c:order val="1"/>
          <c:tx>
            <c:strRef>
              <c:f>Scratch!$AB$75</c:f>
              <c:strCache>
                <c:ptCount val="1"/>
                <c:pt idx="0">
                  <c:v>World (%)</c:v>
                </c:pt>
              </c:strCache>
            </c:strRef>
          </c:tx>
          <c:spPr>
            <a:ln w="22225" cap="rnd">
              <a:solidFill>
                <a:srgbClr val="9ACA3C"/>
              </a:solidFill>
              <a:round/>
            </a:ln>
            <a:effectLst/>
          </c:spPr>
          <c:marker>
            <c:symbol val="none"/>
          </c:marker>
          <c:dLbls>
            <c:delete val="1"/>
          </c:dLbls>
          <c:val>
            <c:numRef>
              <c:f>Scratch!$AB$76:$AB$86</c:f>
              <c:numCache>
                <c:formatCode>0.00%</c:formatCode>
                <c:ptCount val="11"/>
                <c:pt idx="0">
                  <c:v>-2.7E-2</c:v>
                </c:pt>
                <c:pt idx="1">
                  <c:v>6.6000000000000003E-2</c:v>
                </c:pt>
                <c:pt idx="2">
                  <c:v>3.7999999999999999E-2</c:v>
                </c:pt>
                <c:pt idx="3">
                  <c:v>3.5000000000000003E-2</c:v>
                </c:pt>
                <c:pt idx="4">
                  <c:v>3.3000000000000002E-2</c:v>
                </c:pt>
                <c:pt idx="5">
                  <c:v>3.2000000000000001E-2</c:v>
                </c:pt>
                <c:pt idx="6">
                  <c:v>3.1E-2</c:v>
                </c:pt>
                <c:pt idx="7">
                  <c:v>3.2000000000000001E-2</c:v>
                </c:pt>
                <c:pt idx="8">
                  <c:v>3.3000000000000002E-2</c:v>
                </c:pt>
                <c:pt idx="9">
                  <c:v>3.3000000000000002E-2</c:v>
                </c:pt>
                <c:pt idx="10">
                  <c:v>3.3000000000000002E-2</c:v>
                </c:pt>
              </c:numCache>
            </c:numRef>
          </c:val>
          <c:smooth val="0"/>
          <c:extLst>
            <c:ext xmlns:c16="http://schemas.microsoft.com/office/drawing/2014/chart" uri="{C3380CC4-5D6E-409C-BE32-E72D297353CC}">
              <c16:uniqueId val="{00000001-DB3C-459B-B85A-F98F403537A7}"/>
            </c:ext>
          </c:extLst>
        </c:ser>
        <c:dLbls>
          <c:showLegendKey val="0"/>
          <c:showVal val="1"/>
          <c:showCatName val="0"/>
          <c:showSerName val="0"/>
          <c:showPercent val="0"/>
          <c:showBubbleSize val="0"/>
        </c:dLbls>
        <c:marker val="1"/>
        <c:smooth val="0"/>
        <c:axId val="32749423"/>
        <c:axId val="32750863"/>
      </c:lineChart>
      <c:catAx>
        <c:axId val="3274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50863"/>
        <c:crosses val="autoZero"/>
        <c:auto val="1"/>
        <c:lblAlgn val="ctr"/>
        <c:lblOffset val="100"/>
        <c:noMultiLvlLbl val="0"/>
      </c:catAx>
      <c:valAx>
        <c:axId val="327508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49423"/>
        <c:crosses val="autoZero"/>
        <c:crossBetween val="between"/>
      </c:valAx>
      <c:spPr>
        <a:noFill/>
        <a:ln>
          <a:noFill/>
        </a:ln>
        <a:effectLst/>
      </c:spPr>
    </c:plotArea>
    <c:legend>
      <c:legendPos val="b"/>
      <c:layout>
        <c:manualLayout>
          <c:xMode val="edge"/>
          <c:yMode val="edge"/>
          <c:x val="0.34005586794401493"/>
          <c:y val="0.91909669493405222"/>
          <c:w val="0.31988807157011717"/>
          <c:h val="6.7901445219854278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Scratch!$AA$90</c:f>
              <c:strCache>
                <c:ptCount val="1"/>
                <c:pt idx="0">
                  <c:v>2023</c:v>
                </c:pt>
              </c:strCache>
            </c:strRef>
          </c:tx>
          <c:spPr>
            <a:solidFill>
              <a:schemeClr val="accent1"/>
            </a:solidFill>
            <a:ln>
              <a:noFill/>
            </a:ln>
            <a:effectLst/>
          </c:spPr>
          <c:invertIfNegative val="0"/>
          <c:cat>
            <c:strRef>
              <c:f>Scratch!$Z$91:$Z$99</c:f>
              <c:strCache>
                <c:ptCount val="9"/>
                <c:pt idx="0">
                  <c:v>World</c:v>
                </c:pt>
                <c:pt idx="1">
                  <c:v>Advanced Economies</c:v>
                </c:pt>
                <c:pt idx="2">
                  <c:v>Emerging Economies</c:v>
                </c:pt>
                <c:pt idx="3">
                  <c:v>Euro Area</c:v>
                </c:pt>
                <c:pt idx="4">
                  <c:v>US</c:v>
                </c:pt>
                <c:pt idx="5">
                  <c:v>Japan</c:v>
                </c:pt>
                <c:pt idx="6">
                  <c:v>UK</c:v>
                </c:pt>
                <c:pt idx="7">
                  <c:v>China</c:v>
                </c:pt>
                <c:pt idx="8">
                  <c:v>India</c:v>
                </c:pt>
              </c:strCache>
            </c:strRef>
          </c:cat>
          <c:val>
            <c:numRef>
              <c:f>Scratch!$AA$91:$AA$99</c:f>
              <c:numCache>
                <c:formatCode>0.00%</c:formatCode>
                <c:ptCount val="9"/>
                <c:pt idx="0">
                  <c:v>0.03</c:v>
                </c:pt>
                <c:pt idx="1">
                  <c:v>1.4999999999999999E-2</c:v>
                </c:pt>
                <c:pt idx="2">
                  <c:v>0.04</c:v>
                </c:pt>
                <c:pt idx="3">
                  <c:v>8.9999999999999993E-3</c:v>
                </c:pt>
                <c:pt idx="4">
                  <c:v>2.5000000000000001E-2</c:v>
                </c:pt>
                <c:pt idx="5">
                  <c:v>1.2E-2</c:v>
                </c:pt>
                <c:pt idx="6">
                  <c:v>6.0000000000000001E-3</c:v>
                </c:pt>
                <c:pt idx="7">
                  <c:v>5.1999999999999998E-2</c:v>
                </c:pt>
                <c:pt idx="8">
                  <c:v>6.5000000000000002E-2</c:v>
                </c:pt>
              </c:numCache>
            </c:numRef>
          </c:val>
          <c:extLst>
            <c:ext xmlns:c16="http://schemas.microsoft.com/office/drawing/2014/chart" uri="{C3380CC4-5D6E-409C-BE32-E72D297353CC}">
              <c16:uniqueId val="{00000000-2807-4F84-B9CC-DAE8AC010BFD}"/>
            </c:ext>
          </c:extLst>
        </c:ser>
        <c:ser>
          <c:idx val="1"/>
          <c:order val="1"/>
          <c:tx>
            <c:strRef>
              <c:f>Scratch!$AB$90</c:f>
              <c:strCache>
                <c:ptCount val="1"/>
                <c:pt idx="0">
                  <c:v>2024</c:v>
                </c:pt>
              </c:strCache>
            </c:strRef>
          </c:tx>
          <c:spPr>
            <a:solidFill>
              <a:schemeClr val="accent2"/>
            </a:solidFill>
            <a:ln>
              <a:noFill/>
            </a:ln>
            <a:effectLst/>
          </c:spPr>
          <c:invertIfNegative val="0"/>
          <c:cat>
            <c:strRef>
              <c:f>Scratch!$Z$91:$Z$99</c:f>
              <c:strCache>
                <c:ptCount val="9"/>
                <c:pt idx="0">
                  <c:v>World</c:v>
                </c:pt>
                <c:pt idx="1">
                  <c:v>Advanced Economies</c:v>
                </c:pt>
                <c:pt idx="2">
                  <c:v>Emerging Economies</c:v>
                </c:pt>
                <c:pt idx="3">
                  <c:v>Euro Area</c:v>
                </c:pt>
                <c:pt idx="4">
                  <c:v>US</c:v>
                </c:pt>
                <c:pt idx="5">
                  <c:v>Japan</c:v>
                </c:pt>
                <c:pt idx="6">
                  <c:v>UK</c:v>
                </c:pt>
                <c:pt idx="7">
                  <c:v>China</c:v>
                </c:pt>
                <c:pt idx="8">
                  <c:v>India</c:v>
                </c:pt>
              </c:strCache>
            </c:strRef>
          </c:cat>
          <c:val>
            <c:numRef>
              <c:f>Scratch!$AB$91:$AB$99</c:f>
              <c:numCache>
                <c:formatCode>0.00%</c:formatCode>
                <c:ptCount val="9"/>
                <c:pt idx="0">
                  <c:v>3.2000000000000001E-2</c:v>
                </c:pt>
                <c:pt idx="1">
                  <c:v>1.7999999999999999E-2</c:v>
                </c:pt>
                <c:pt idx="2">
                  <c:v>4.2000000000000003E-2</c:v>
                </c:pt>
                <c:pt idx="3">
                  <c:v>1.4999999999999999E-2</c:v>
                </c:pt>
                <c:pt idx="4">
                  <c:v>1.9E-2</c:v>
                </c:pt>
                <c:pt idx="5">
                  <c:v>8.9999999999999993E-3</c:v>
                </c:pt>
                <c:pt idx="6">
                  <c:v>1.2E-2</c:v>
                </c:pt>
                <c:pt idx="7">
                  <c:v>4.7E-2</c:v>
                </c:pt>
                <c:pt idx="8">
                  <c:v>6.3E-2</c:v>
                </c:pt>
              </c:numCache>
            </c:numRef>
          </c:val>
          <c:extLst>
            <c:ext xmlns:c16="http://schemas.microsoft.com/office/drawing/2014/chart" uri="{C3380CC4-5D6E-409C-BE32-E72D297353CC}">
              <c16:uniqueId val="{00000001-2807-4F84-B9CC-DAE8AC010BFD}"/>
            </c:ext>
          </c:extLst>
        </c:ser>
        <c:ser>
          <c:idx val="2"/>
          <c:order val="2"/>
          <c:tx>
            <c:strRef>
              <c:f>Scratch!$AC$90</c:f>
              <c:strCache>
                <c:ptCount val="1"/>
                <c:pt idx="0">
                  <c:v>2025</c:v>
                </c:pt>
              </c:strCache>
            </c:strRef>
          </c:tx>
          <c:spPr>
            <a:solidFill>
              <a:schemeClr val="accent3"/>
            </a:solidFill>
            <a:ln>
              <a:noFill/>
            </a:ln>
            <a:effectLst/>
          </c:spPr>
          <c:invertIfNegative val="0"/>
          <c:cat>
            <c:strRef>
              <c:f>Scratch!$Z$91:$Z$99</c:f>
              <c:strCache>
                <c:ptCount val="9"/>
                <c:pt idx="0">
                  <c:v>World</c:v>
                </c:pt>
                <c:pt idx="1">
                  <c:v>Advanced Economies</c:v>
                </c:pt>
                <c:pt idx="2">
                  <c:v>Emerging Economies</c:v>
                </c:pt>
                <c:pt idx="3">
                  <c:v>Euro Area</c:v>
                </c:pt>
                <c:pt idx="4">
                  <c:v>US</c:v>
                </c:pt>
                <c:pt idx="5">
                  <c:v>Japan</c:v>
                </c:pt>
                <c:pt idx="6">
                  <c:v>UK</c:v>
                </c:pt>
                <c:pt idx="7">
                  <c:v>China</c:v>
                </c:pt>
                <c:pt idx="8">
                  <c:v>India</c:v>
                </c:pt>
              </c:strCache>
            </c:strRef>
          </c:cat>
          <c:val>
            <c:numRef>
              <c:f>Scratch!$AC$91:$AC$99</c:f>
              <c:numCache>
                <c:formatCode>0.00%</c:formatCode>
                <c:ptCount val="9"/>
                <c:pt idx="0">
                  <c:v>3.1E-2</c:v>
                </c:pt>
                <c:pt idx="1">
                  <c:v>1.9E-2</c:v>
                </c:pt>
                <c:pt idx="2">
                  <c:v>4.2999999999999997E-2</c:v>
                </c:pt>
                <c:pt idx="3">
                  <c:v>1.7000000000000001E-2</c:v>
                </c:pt>
                <c:pt idx="4">
                  <c:v>1.7999999999999999E-2</c:v>
                </c:pt>
                <c:pt idx="5">
                  <c:v>0.01</c:v>
                </c:pt>
                <c:pt idx="6">
                  <c:v>1.2999999999999999E-2</c:v>
                </c:pt>
                <c:pt idx="7">
                  <c:v>4.4999999999999998E-2</c:v>
                </c:pt>
                <c:pt idx="8">
                  <c:v>6.4000000000000001E-2</c:v>
                </c:pt>
              </c:numCache>
            </c:numRef>
          </c:val>
          <c:extLst>
            <c:ext xmlns:c16="http://schemas.microsoft.com/office/drawing/2014/chart" uri="{C3380CC4-5D6E-409C-BE32-E72D297353CC}">
              <c16:uniqueId val="{00000002-2807-4F84-B9CC-DAE8AC010BFD}"/>
            </c:ext>
          </c:extLst>
        </c:ser>
        <c:dLbls>
          <c:showLegendKey val="0"/>
          <c:showVal val="0"/>
          <c:showCatName val="0"/>
          <c:showSerName val="0"/>
          <c:showPercent val="0"/>
          <c:showBubbleSize val="0"/>
        </c:dLbls>
        <c:gapWidth val="182"/>
        <c:axId val="2004139423"/>
        <c:axId val="2004138463"/>
      </c:barChart>
      <c:catAx>
        <c:axId val="20041394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138463"/>
        <c:crosses val="autoZero"/>
        <c:auto val="1"/>
        <c:lblAlgn val="ctr"/>
        <c:lblOffset val="100"/>
        <c:noMultiLvlLbl val="0"/>
      </c:catAx>
      <c:valAx>
        <c:axId val="2004138463"/>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139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Marico – Revenue Mix (India vs International)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Scratch!$AA$123</c:f>
              <c:strCache>
                <c:ptCount val="1"/>
                <c:pt idx="0">
                  <c:v>Revenue Contribution</c:v>
                </c:pt>
              </c:strCache>
            </c:strRef>
          </c:tx>
          <c:spPr>
            <a:solidFill>
              <a:srgbClr val="005EB8"/>
            </a:solidFill>
          </c:spPr>
          <c:dPt>
            <c:idx val="0"/>
            <c:bubble3D val="0"/>
            <c:spPr>
              <a:solidFill>
                <a:srgbClr val="005EB8"/>
              </a:solidFill>
              <a:ln w="19050">
                <a:solidFill>
                  <a:schemeClr val="lt1"/>
                </a:solidFill>
              </a:ln>
              <a:effectLst/>
            </c:spPr>
            <c:extLst>
              <c:ext xmlns:c16="http://schemas.microsoft.com/office/drawing/2014/chart" uri="{C3380CC4-5D6E-409C-BE32-E72D297353CC}">
                <c16:uniqueId val="{00000001-36F1-41DC-AD9F-BC6E25373D1E}"/>
              </c:ext>
            </c:extLst>
          </c:dPt>
          <c:dPt>
            <c:idx val="1"/>
            <c:bubble3D val="0"/>
            <c:spPr>
              <a:solidFill>
                <a:srgbClr val="9ACA3C"/>
              </a:solidFill>
              <a:ln w="19050">
                <a:solidFill>
                  <a:schemeClr val="lt1"/>
                </a:solidFill>
              </a:ln>
              <a:effectLst/>
            </c:spPr>
            <c:extLst>
              <c:ext xmlns:c16="http://schemas.microsoft.com/office/drawing/2014/chart" uri="{C3380CC4-5D6E-409C-BE32-E72D297353CC}">
                <c16:uniqueId val="{00000002-36F1-41DC-AD9F-BC6E25373D1E}"/>
              </c:ext>
            </c:extLst>
          </c:dPt>
          <c:dLbls>
            <c:dLbl>
              <c:idx val="0"/>
              <c:layout>
                <c:manualLayout>
                  <c:x val="-6.9444444444444489E-2"/>
                  <c:y val="-3.703703703703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6F1-41DC-AD9F-BC6E25373D1E}"/>
                </c:ext>
              </c:extLst>
            </c:dLbl>
            <c:dLbl>
              <c:idx val="1"/>
              <c:layout>
                <c:manualLayout>
                  <c:x val="8.611111111111111E-2"/>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F1-41DC-AD9F-BC6E25373D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Scratch!$Z$124:$Z$125</c:f>
              <c:strCache>
                <c:ptCount val="2"/>
                <c:pt idx="0">
                  <c:v>India</c:v>
                </c:pt>
                <c:pt idx="1">
                  <c:v>International</c:v>
                </c:pt>
              </c:strCache>
            </c:strRef>
          </c:cat>
          <c:val>
            <c:numRef>
              <c:f>Scratch!$AA$124:$AA$125</c:f>
              <c:numCache>
                <c:formatCode>0%</c:formatCode>
                <c:ptCount val="2"/>
                <c:pt idx="0">
                  <c:v>0.75</c:v>
                </c:pt>
                <c:pt idx="1">
                  <c:v>0.25</c:v>
                </c:pt>
              </c:numCache>
            </c:numRef>
          </c:val>
          <c:extLst>
            <c:ext xmlns:c16="http://schemas.microsoft.com/office/drawing/2014/chart" uri="{C3380CC4-5D6E-409C-BE32-E72D297353CC}">
              <c16:uniqueId val="{00000000-36F1-41DC-AD9F-BC6E25373D1E}"/>
            </c:ext>
          </c:extLst>
        </c:ser>
        <c:dLbls>
          <c:showLegendKey val="0"/>
          <c:showVal val="0"/>
          <c:showCatName val="0"/>
          <c:showSerName val="0"/>
          <c:showPercent val="0"/>
          <c:showBubbleSize val="0"/>
          <c:showLeaderLines val="1"/>
        </c:dLbls>
        <c:firstSliceAng val="169"/>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Scratch!$AV$18</c:f>
              <c:strCache>
                <c:ptCount val="1"/>
                <c:pt idx="0">
                  <c:v>Adj Close</c:v>
                </c:pt>
              </c:strCache>
            </c:strRef>
          </c:tx>
          <c:spPr>
            <a:ln w="28575" cap="rnd">
              <a:solidFill>
                <a:schemeClr val="accent1"/>
              </a:solidFill>
              <a:round/>
            </a:ln>
            <a:effectLst/>
          </c:spPr>
          <c:marker>
            <c:symbol val="none"/>
          </c:marker>
          <c:cat>
            <c:numRef>
              <c:f>Scratch!$AU$19:$AU$267</c:f>
              <c:numCache>
                <c:formatCode>m/d/yyyy</c:formatCode>
                <c:ptCount val="226"/>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45689</c:v>
                </c:pt>
                <c:pt idx="24">
                  <c:v>45691</c:v>
                </c:pt>
                <c:pt idx="25">
                  <c:v>45692</c:v>
                </c:pt>
                <c:pt idx="26">
                  <c:v>45693</c:v>
                </c:pt>
                <c:pt idx="27">
                  <c:v>45694</c:v>
                </c:pt>
                <c:pt idx="28">
                  <c:v>45695</c:v>
                </c:pt>
                <c:pt idx="29">
                  <c:v>45698</c:v>
                </c:pt>
                <c:pt idx="30">
                  <c:v>45699</c:v>
                </c:pt>
                <c:pt idx="31">
                  <c:v>45700</c:v>
                </c:pt>
                <c:pt idx="32">
                  <c:v>45701</c:v>
                </c:pt>
                <c:pt idx="33">
                  <c:v>45702</c:v>
                </c:pt>
                <c:pt idx="34">
                  <c:v>45705</c:v>
                </c:pt>
                <c:pt idx="35">
                  <c:v>45706</c:v>
                </c:pt>
                <c:pt idx="36">
                  <c:v>45707</c:v>
                </c:pt>
                <c:pt idx="37">
                  <c:v>45708</c:v>
                </c:pt>
                <c:pt idx="38">
                  <c:v>45709</c:v>
                </c:pt>
                <c:pt idx="39">
                  <c:v>45712</c:v>
                </c:pt>
                <c:pt idx="40">
                  <c:v>45713</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45733</c:v>
                </c:pt>
                <c:pt idx="53">
                  <c:v>45734</c:v>
                </c:pt>
                <c:pt idx="54">
                  <c:v>45735</c:v>
                </c:pt>
                <c:pt idx="55">
                  <c:v>45736</c:v>
                </c:pt>
                <c:pt idx="56">
                  <c:v>45737</c:v>
                </c:pt>
                <c:pt idx="57">
                  <c:v>45740</c:v>
                </c:pt>
                <c:pt idx="58">
                  <c:v>45741</c:v>
                </c:pt>
                <c:pt idx="59">
                  <c:v>45742</c:v>
                </c:pt>
                <c:pt idx="60">
                  <c:v>45743</c:v>
                </c:pt>
                <c:pt idx="61">
                  <c:v>45744</c:v>
                </c:pt>
                <c:pt idx="62">
                  <c:v>45748</c:v>
                </c:pt>
                <c:pt idx="63">
                  <c:v>45749</c:v>
                </c:pt>
                <c:pt idx="64">
                  <c:v>45750</c:v>
                </c:pt>
                <c:pt idx="65">
                  <c:v>45751</c:v>
                </c:pt>
                <c:pt idx="66">
                  <c:v>45754</c:v>
                </c:pt>
                <c:pt idx="67">
                  <c:v>45755</c:v>
                </c:pt>
                <c:pt idx="68">
                  <c:v>45756</c:v>
                </c:pt>
                <c:pt idx="69">
                  <c:v>45758</c:v>
                </c:pt>
                <c:pt idx="70">
                  <c:v>45762</c:v>
                </c:pt>
                <c:pt idx="71">
                  <c:v>45763</c:v>
                </c:pt>
                <c:pt idx="72">
                  <c:v>45764</c:v>
                </c:pt>
                <c:pt idx="73">
                  <c:v>45768</c:v>
                </c:pt>
                <c:pt idx="74">
                  <c:v>45769</c:v>
                </c:pt>
                <c:pt idx="75">
                  <c:v>45770</c:v>
                </c:pt>
                <c:pt idx="76">
                  <c:v>45771</c:v>
                </c:pt>
                <c:pt idx="77">
                  <c:v>45772</c:v>
                </c:pt>
                <c:pt idx="78">
                  <c:v>45775</c:v>
                </c:pt>
                <c:pt idx="79">
                  <c:v>45776</c:v>
                </c:pt>
                <c:pt idx="80">
                  <c:v>45777</c:v>
                </c:pt>
                <c:pt idx="81">
                  <c:v>45779</c:v>
                </c:pt>
                <c:pt idx="82">
                  <c:v>45782</c:v>
                </c:pt>
                <c:pt idx="83">
                  <c:v>45783</c:v>
                </c:pt>
                <c:pt idx="84">
                  <c:v>45784</c:v>
                </c:pt>
                <c:pt idx="85">
                  <c:v>45785</c:v>
                </c:pt>
                <c:pt idx="86">
                  <c:v>45786</c:v>
                </c:pt>
                <c:pt idx="87">
                  <c:v>45789</c:v>
                </c:pt>
                <c:pt idx="88">
                  <c:v>45790</c:v>
                </c:pt>
                <c:pt idx="89">
                  <c:v>45791</c:v>
                </c:pt>
                <c:pt idx="90">
                  <c:v>45792</c:v>
                </c:pt>
                <c:pt idx="91">
                  <c:v>45793</c:v>
                </c:pt>
                <c:pt idx="92">
                  <c:v>45796</c:v>
                </c:pt>
                <c:pt idx="93">
                  <c:v>45797</c:v>
                </c:pt>
                <c:pt idx="94">
                  <c:v>45798</c:v>
                </c:pt>
                <c:pt idx="95">
                  <c:v>45799</c:v>
                </c:pt>
                <c:pt idx="96">
                  <c:v>45800</c:v>
                </c:pt>
                <c:pt idx="97">
                  <c:v>45803</c:v>
                </c:pt>
                <c:pt idx="98">
                  <c:v>45804</c:v>
                </c:pt>
                <c:pt idx="99">
                  <c:v>45805</c:v>
                </c:pt>
                <c:pt idx="100">
                  <c:v>45806</c:v>
                </c:pt>
                <c:pt idx="101">
                  <c:v>45807</c:v>
                </c:pt>
                <c:pt idx="102">
                  <c:v>45810</c:v>
                </c:pt>
                <c:pt idx="103">
                  <c:v>45811</c:v>
                </c:pt>
                <c:pt idx="104">
                  <c:v>45812</c:v>
                </c:pt>
                <c:pt idx="105">
                  <c:v>45813</c:v>
                </c:pt>
                <c:pt idx="106">
                  <c:v>45814</c:v>
                </c:pt>
                <c:pt idx="107">
                  <c:v>45817</c:v>
                </c:pt>
                <c:pt idx="108">
                  <c:v>45818</c:v>
                </c:pt>
                <c:pt idx="109">
                  <c:v>45819</c:v>
                </c:pt>
                <c:pt idx="110">
                  <c:v>45820</c:v>
                </c:pt>
                <c:pt idx="111">
                  <c:v>45821</c:v>
                </c:pt>
                <c:pt idx="112">
                  <c:v>45824</c:v>
                </c:pt>
                <c:pt idx="113">
                  <c:v>45825</c:v>
                </c:pt>
                <c:pt idx="114">
                  <c:v>45826</c:v>
                </c:pt>
                <c:pt idx="115">
                  <c:v>45827</c:v>
                </c:pt>
                <c:pt idx="116">
                  <c:v>45828</c:v>
                </c:pt>
                <c:pt idx="117">
                  <c:v>45831</c:v>
                </c:pt>
                <c:pt idx="118">
                  <c:v>45832</c:v>
                </c:pt>
                <c:pt idx="119">
                  <c:v>45833</c:v>
                </c:pt>
                <c:pt idx="120">
                  <c:v>45834</c:v>
                </c:pt>
                <c:pt idx="121">
                  <c:v>45838</c:v>
                </c:pt>
                <c:pt idx="122">
                  <c:v>45839</c:v>
                </c:pt>
                <c:pt idx="123">
                  <c:v>45840</c:v>
                </c:pt>
                <c:pt idx="124">
                  <c:v>45841</c:v>
                </c:pt>
                <c:pt idx="125">
                  <c:v>45842</c:v>
                </c:pt>
                <c:pt idx="126">
                  <c:v>45845</c:v>
                </c:pt>
                <c:pt idx="127">
                  <c:v>45846</c:v>
                </c:pt>
                <c:pt idx="128">
                  <c:v>45847</c:v>
                </c:pt>
                <c:pt idx="129">
                  <c:v>45848</c:v>
                </c:pt>
                <c:pt idx="130">
                  <c:v>45849</c:v>
                </c:pt>
                <c:pt idx="131">
                  <c:v>45852</c:v>
                </c:pt>
                <c:pt idx="132">
                  <c:v>45853</c:v>
                </c:pt>
                <c:pt idx="133">
                  <c:v>45854</c:v>
                </c:pt>
                <c:pt idx="134">
                  <c:v>45855</c:v>
                </c:pt>
                <c:pt idx="135">
                  <c:v>45856</c:v>
                </c:pt>
                <c:pt idx="136">
                  <c:v>45859</c:v>
                </c:pt>
                <c:pt idx="137">
                  <c:v>45860</c:v>
                </c:pt>
                <c:pt idx="138">
                  <c:v>45861</c:v>
                </c:pt>
                <c:pt idx="139">
                  <c:v>45862</c:v>
                </c:pt>
                <c:pt idx="140">
                  <c:v>45863</c:v>
                </c:pt>
                <c:pt idx="141">
                  <c:v>45866</c:v>
                </c:pt>
                <c:pt idx="142">
                  <c:v>45867</c:v>
                </c:pt>
                <c:pt idx="143">
                  <c:v>45868</c:v>
                </c:pt>
                <c:pt idx="144">
                  <c:v>45869</c:v>
                </c:pt>
                <c:pt idx="145">
                  <c:v>45870</c:v>
                </c:pt>
                <c:pt idx="146">
                  <c:v>45873</c:v>
                </c:pt>
                <c:pt idx="147">
                  <c:v>45874</c:v>
                </c:pt>
                <c:pt idx="148">
                  <c:v>45875</c:v>
                </c:pt>
                <c:pt idx="149">
                  <c:v>45876</c:v>
                </c:pt>
                <c:pt idx="150">
                  <c:v>45877</c:v>
                </c:pt>
                <c:pt idx="151">
                  <c:v>45880</c:v>
                </c:pt>
                <c:pt idx="152">
                  <c:v>45881</c:v>
                </c:pt>
                <c:pt idx="153">
                  <c:v>45882</c:v>
                </c:pt>
                <c:pt idx="154">
                  <c:v>45883</c:v>
                </c:pt>
                <c:pt idx="155">
                  <c:v>45887</c:v>
                </c:pt>
                <c:pt idx="156">
                  <c:v>45888</c:v>
                </c:pt>
                <c:pt idx="157">
                  <c:v>45889</c:v>
                </c:pt>
                <c:pt idx="158">
                  <c:v>45890</c:v>
                </c:pt>
                <c:pt idx="159">
                  <c:v>45891</c:v>
                </c:pt>
                <c:pt idx="160">
                  <c:v>45894</c:v>
                </c:pt>
                <c:pt idx="161">
                  <c:v>45895</c:v>
                </c:pt>
                <c:pt idx="162">
                  <c:v>45897</c:v>
                </c:pt>
                <c:pt idx="163">
                  <c:v>45898</c:v>
                </c:pt>
                <c:pt idx="164">
                  <c:v>45901</c:v>
                </c:pt>
                <c:pt idx="165">
                  <c:v>45902</c:v>
                </c:pt>
                <c:pt idx="166">
                  <c:v>45903</c:v>
                </c:pt>
                <c:pt idx="167">
                  <c:v>45904</c:v>
                </c:pt>
                <c:pt idx="168">
                  <c:v>45905</c:v>
                </c:pt>
                <c:pt idx="169">
                  <c:v>45908</c:v>
                </c:pt>
                <c:pt idx="170">
                  <c:v>45909</c:v>
                </c:pt>
                <c:pt idx="171">
                  <c:v>45910</c:v>
                </c:pt>
                <c:pt idx="172">
                  <c:v>45911</c:v>
                </c:pt>
                <c:pt idx="173">
                  <c:v>45912</c:v>
                </c:pt>
                <c:pt idx="174">
                  <c:v>45915</c:v>
                </c:pt>
                <c:pt idx="175">
                  <c:v>45916</c:v>
                </c:pt>
                <c:pt idx="176">
                  <c:v>45917</c:v>
                </c:pt>
                <c:pt idx="177">
                  <c:v>45918</c:v>
                </c:pt>
                <c:pt idx="178">
                  <c:v>45919</c:v>
                </c:pt>
                <c:pt idx="179">
                  <c:v>45922</c:v>
                </c:pt>
                <c:pt idx="180">
                  <c:v>45923</c:v>
                </c:pt>
                <c:pt idx="181">
                  <c:v>45924</c:v>
                </c:pt>
                <c:pt idx="182">
                  <c:v>45925</c:v>
                </c:pt>
                <c:pt idx="183">
                  <c:v>45926</c:v>
                </c:pt>
                <c:pt idx="184">
                  <c:v>45929</c:v>
                </c:pt>
                <c:pt idx="185">
                  <c:v>45930</c:v>
                </c:pt>
                <c:pt idx="186">
                  <c:v>45931</c:v>
                </c:pt>
                <c:pt idx="187">
                  <c:v>45933</c:v>
                </c:pt>
                <c:pt idx="188">
                  <c:v>45936</c:v>
                </c:pt>
                <c:pt idx="189">
                  <c:v>45937</c:v>
                </c:pt>
                <c:pt idx="190">
                  <c:v>45938</c:v>
                </c:pt>
                <c:pt idx="191">
                  <c:v>45939</c:v>
                </c:pt>
                <c:pt idx="192">
                  <c:v>45940</c:v>
                </c:pt>
                <c:pt idx="193">
                  <c:v>45943</c:v>
                </c:pt>
                <c:pt idx="194">
                  <c:v>45944</c:v>
                </c:pt>
                <c:pt idx="195">
                  <c:v>45945</c:v>
                </c:pt>
                <c:pt idx="196">
                  <c:v>45946</c:v>
                </c:pt>
                <c:pt idx="197">
                  <c:v>45947</c:v>
                </c:pt>
                <c:pt idx="198">
                  <c:v>45950</c:v>
                </c:pt>
                <c:pt idx="199">
                  <c:v>45951</c:v>
                </c:pt>
                <c:pt idx="200">
                  <c:v>45953</c:v>
                </c:pt>
                <c:pt idx="201">
                  <c:v>45954</c:v>
                </c:pt>
                <c:pt idx="202">
                  <c:v>45957</c:v>
                </c:pt>
                <c:pt idx="203">
                  <c:v>45958</c:v>
                </c:pt>
                <c:pt idx="204">
                  <c:v>45959</c:v>
                </c:pt>
                <c:pt idx="205">
                  <c:v>45960</c:v>
                </c:pt>
                <c:pt idx="206">
                  <c:v>45961</c:v>
                </c:pt>
                <c:pt idx="207">
                  <c:v>45964</c:v>
                </c:pt>
                <c:pt idx="208">
                  <c:v>45965</c:v>
                </c:pt>
                <c:pt idx="209">
                  <c:v>45967</c:v>
                </c:pt>
                <c:pt idx="210">
                  <c:v>45968</c:v>
                </c:pt>
                <c:pt idx="211">
                  <c:v>45971</c:v>
                </c:pt>
                <c:pt idx="212">
                  <c:v>45972</c:v>
                </c:pt>
                <c:pt idx="213">
                  <c:v>45973</c:v>
                </c:pt>
                <c:pt idx="214">
                  <c:v>45974</c:v>
                </c:pt>
                <c:pt idx="215">
                  <c:v>45975</c:v>
                </c:pt>
                <c:pt idx="216">
                  <c:v>45978</c:v>
                </c:pt>
                <c:pt idx="217">
                  <c:v>45979</c:v>
                </c:pt>
                <c:pt idx="218">
                  <c:v>45980</c:v>
                </c:pt>
                <c:pt idx="219">
                  <c:v>45981</c:v>
                </c:pt>
                <c:pt idx="220">
                  <c:v>45982</c:v>
                </c:pt>
                <c:pt idx="221">
                  <c:v>45985</c:v>
                </c:pt>
                <c:pt idx="222">
                  <c:v>45986</c:v>
                </c:pt>
                <c:pt idx="223">
                  <c:v>45987</c:v>
                </c:pt>
                <c:pt idx="224">
                  <c:v>45988</c:v>
                </c:pt>
                <c:pt idx="225">
                  <c:v>45989</c:v>
                </c:pt>
              </c:numCache>
            </c:numRef>
          </c:cat>
          <c:val>
            <c:numRef>
              <c:f>Scratch!$AV$19:$AV$267</c:f>
              <c:numCache>
                <c:formatCode>General</c:formatCode>
                <c:ptCount val="226"/>
                <c:pt idx="0">
                  <c:v>633</c:v>
                </c:pt>
                <c:pt idx="1">
                  <c:v>643</c:v>
                </c:pt>
                <c:pt idx="2">
                  <c:v>651</c:v>
                </c:pt>
                <c:pt idx="3">
                  <c:v>638</c:v>
                </c:pt>
                <c:pt idx="4">
                  <c:v>634</c:v>
                </c:pt>
                <c:pt idx="5">
                  <c:v>628</c:v>
                </c:pt>
                <c:pt idx="6">
                  <c:v>656</c:v>
                </c:pt>
                <c:pt idx="7">
                  <c:v>663</c:v>
                </c:pt>
                <c:pt idx="8">
                  <c:v>658</c:v>
                </c:pt>
                <c:pt idx="9">
                  <c:v>651</c:v>
                </c:pt>
                <c:pt idx="10">
                  <c:v>650</c:v>
                </c:pt>
                <c:pt idx="11">
                  <c:v>642</c:v>
                </c:pt>
                <c:pt idx="12">
                  <c:v>654</c:v>
                </c:pt>
                <c:pt idx="13">
                  <c:v>647</c:v>
                </c:pt>
                <c:pt idx="14">
                  <c:v>653</c:v>
                </c:pt>
                <c:pt idx="15">
                  <c:v>655</c:v>
                </c:pt>
                <c:pt idx="16">
                  <c:v>658</c:v>
                </c:pt>
                <c:pt idx="17">
                  <c:v>656</c:v>
                </c:pt>
                <c:pt idx="18">
                  <c:v>646</c:v>
                </c:pt>
                <c:pt idx="19">
                  <c:v>655</c:v>
                </c:pt>
                <c:pt idx="20">
                  <c:v>660</c:v>
                </c:pt>
                <c:pt idx="21">
                  <c:v>662</c:v>
                </c:pt>
                <c:pt idx="22">
                  <c:v>661</c:v>
                </c:pt>
                <c:pt idx="23">
                  <c:v>683</c:v>
                </c:pt>
                <c:pt idx="24">
                  <c:v>663</c:v>
                </c:pt>
                <c:pt idx="25">
                  <c:v>667</c:v>
                </c:pt>
                <c:pt idx="26">
                  <c:v>659</c:v>
                </c:pt>
                <c:pt idx="27">
                  <c:v>651</c:v>
                </c:pt>
                <c:pt idx="28">
                  <c:v>640</c:v>
                </c:pt>
                <c:pt idx="29">
                  <c:v>638</c:v>
                </c:pt>
                <c:pt idx="30">
                  <c:v>628</c:v>
                </c:pt>
                <c:pt idx="31">
                  <c:v>626</c:v>
                </c:pt>
                <c:pt idx="32">
                  <c:v>629</c:v>
                </c:pt>
                <c:pt idx="33">
                  <c:v>628</c:v>
                </c:pt>
                <c:pt idx="34">
                  <c:v>618</c:v>
                </c:pt>
                <c:pt idx="35">
                  <c:v>620</c:v>
                </c:pt>
                <c:pt idx="36">
                  <c:v>628</c:v>
                </c:pt>
                <c:pt idx="37">
                  <c:v>635</c:v>
                </c:pt>
                <c:pt idx="38">
                  <c:v>618</c:v>
                </c:pt>
                <c:pt idx="39">
                  <c:v>615</c:v>
                </c:pt>
                <c:pt idx="40">
                  <c:v>615</c:v>
                </c:pt>
                <c:pt idx="41">
                  <c:v>618</c:v>
                </c:pt>
                <c:pt idx="42">
                  <c:v>594</c:v>
                </c:pt>
                <c:pt idx="43">
                  <c:v>588</c:v>
                </c:pt>
                <c:pt idx="44">
                  <c:v>582</c:v>
                </c:pt>
                <c:pt idx="45">
                  <c:v>585</c:v>
                </c:pt>
                <c:pt idx="46">
                  <c:v>602</c:v>
                </c:pt>
                <c:pt idx="47">
                  <c:v>604</c:v>
                </c:pt>
                <c:pt idx="48">
                  <c:v>602</c:v>
                </c:pt>
                <c:pt idx="49">
                  <c:v>597</c:v>
                </c:pt>
                <c:pt idx="50">
                  <c:v>595</c:v>
                </c:pt>
                <c:pt idx="51">
                  <c:v>600</c:v>
                </c:pt>
                <c:pt idx="52">
                  <c:v>601</c:v>
                </c:pt>
                <c:pt idx="53">
                  <c:v>616</c:v>
                </c:pt>
                <c:pt idx="54">
                  <c:v>613</c:v>
                </c:pt>
                <c:pt idx="55">
                  <c:v>626</c:v>
                </c:pt>
                <c:pt idx="56">
                  <c:v>625</c:v>
                </c:pt>
                <c:pt idx="57">
                  <c:v>627</c:v>
                </c:pt>
                <c:pt idx="58">
                  <c:v>618</c:v>
                </c:pt>
                <c:pt idx="59">
                  <c:v>633</c:v>
                </c:pt>
                <c:pt idx="60">
                  <c:v>643</c:v>
                </c:pt>
                <c:pt idx="61">
                  <c:v>645</c:v>
                </c:pt>
                <c:pt idx="62">
                  <c:v>640</c:v>
                </c:pt>
                <c:pt idx="63">
                  <c:v>650</c:v>
                </c:pt>
                <c:pt idx="64">
                  <c:v>654</c:v>
                </c:pt>
                <c:pt idx="65">
                  <c:v>671</c:v>
                </c:pt>
                <c:pt idx="66">
                  <c:v>656</c:v>
                </c:pt>
                <c:pt idx="67">
                  <c:v>671</c:v>
                </c:pt>
                <c:pt idx="68">
                  <c:v>686</c:v>
                </c:pt>
                <c:pt idx="69">
                  <c:v>703</c:v>
                </c:pt>
                <c:pt idx="70">
                  <c:v>705</c:v>
                </c:pt>
                <c:pt idx="71">
                  <c:v>714</c:v>
                </c:pt>
                <c:pt idx="72">
                  <c:v>707</c:v>
                </c:pt>
                <c:pt idx="73">
                  <c:v>688</c:v>
                </c:pt>
                <c:pt idx="74">
                  <c:v>702</c:v>
                </c:pt>
                <c:pt idx="75">
                  <c:v>709</c:v>
                </c:pt>
                <c:pt idx="76">
                  <c:v>706</c:v>
                </c:pt>
                <c:pt idx="77">
                  <c:v>703</c:v>
                </c:pt>
                <c:pt idx="78">
                  <c:v>708</c:v>
                </c:pt>
                <c:pt idx="79">
                  <c:v>705</c:v>
                </c:pt>
                <c:pt idx="80">
                  <c:v>703</c:v>
                </c:pt>
                <c:pt idx="81">
                  <c:v>691</c:v>
                </c:pt>
                <c:pt idx="82">
                  <c:v>716</c:v>
                </c:pt>
                <c:pt idx="83">
                  <c:v>713</c:v>
                </c:pt>
                <c:pt idx="84">
                  <c:v>728</c:v>
                </c:pt>
                <c:pt idx="85">
                  <c:v>712</c:v>
                </c:pt>
                <c:pt idx="86">
                  <c:v>716</c:v>
                </c:pt>
                <c:pt idx="87">
                  <c:v>731</c:v>
                </c:pt>
                <c:pt idx="88">
                  <c:v>720</c:v>
                </c:pt>
                <c:pt idx="89">
                  <c:v>715</c:v>
                </c:pt>
                <c:pt idx="90">
                  <c:v>714</c:v>
                </c:pt>
                <c:pt idx="91">
                  <c:v>717</c:v>
                </c:pt>
                <c:pt idx="92">
                  <c:v>709</c:v>
                </c:pt>
                <c:pt idx="93">
                  <c:v>697</c:v>
                </c:pt>
                <c:pt idx="94">
                  <c:v>703</c:v>
                </c:pt>
                <c:pt idx="95">
                  <c:v>691</c:v>
                </c:pt>
                <c:pt idx="96">
                  <c:v>694</c:v>
                </c:pt>
                <c:pt idx="97">
                  <c:v>705</c:v>
                </c:pt>
                <c:pt idx="98">
                  <c:v>709</c:v>
                </c:pt>
                <c:pt idx="99">
                  <c:v>711</c:v>
                </c:pt>
                <c:pt idx="100">
                  <c:v>716</c:v>
                </c:pt>
                <c:pt idx="101">
                  <c:v>711</c:v>
                </c:pt>
                <c:pt idx="102">
                  <c:v>697</c:v>
                </c:pt>
                <c:pt idx="103">
                  <c:v>696</c:v>
                </c:pt>
                <c:pt idx="104">
                  <c:v>694</c:v>
                </c:pt>
                <c:pt idx="105">
                  <c:v>696</c:v>
                </c:pt>
                <c:pt idx="106">
                  <c:v>692</c:v>
                </c:pt>
                <c:pt idx="107">
                  <c:v>697</c:v>
                </c:pt>
                <c:pt idx="108">
                  <c:v>690</c:v>
                </c:pt>
                <c:pt idx="109">
                  <c:v>694</c:v>
                </c:pt>
                <c:pt idx="110">
                  <c:v>685</c:v>
                </c:pt>
                <c:pt idx="111">
                  <c:v>684</c:v>
                </c:pt>
                <c:pt idx="112">
                  <c:v>684</c:v>
                </c:pt>
                <c:pt idx="113">
                  <c:v>681</c:v>
                </c:pt>
                <c:pt idx="114">
                  <c:v>683</c:v>
                </c:pt>
                <c:pt idx="115">
                  <c:v>684</c:v>
                </c:pt>
                <c:pt idx="116">
                  <c:v>686</c:v>
                </c:pt>
                <c:pt idx="117">
                  <c:v>687</c:v>
                </c:pt>
                <c:pt idx="118">
                  <c:v>696</c:v>
                </c:pt>
                <c:pt idx="119">
                  <c:v>697</c:v>
                </c:pt>
                <c:pt idx="120">
                  <c:v>719</c:v>
                </c:pt>
                <c:pt idx="121">
                  <c:v>715</c:v>
                </c:pt>
                <c:pt idx="122">
                  <c:v>710</c:v>
                </c:pt>
                <c:pt idx="123">
                  <c:v>705</c:v>
                </c:pt>
                <c:pt idx="124">
                  <c:v>707</c:v>
                </c:pt>
                <c:pt idx="125">
                  <c:v>722</c:v>
                </c:pt>
                <c:pt idx="126">
                  <c:v>722</c:v>
                </c:pt>
                <c:pt idx="127">
                  <c:v>720</c:v>
                </c:pt>
                <c:pt idx="128">
                  <c:v>723</c:v>
                </c:pt>
                <c:pt idx="129">
                  <c:v>720</c:v>
                </c:pt>
                <c:pt idx="130">
                  <c:v>719</c:v>
                </c:pt>
                <c:pt idx="131">
                  <c:v>721</c:v>
                </c:pt>
                <c:pt idx="132">
                  <c:v>733</c:v>
                </c:pt>
                <c:pt idx="133">
                  <c:v>724</c:v>
                </c:pt>
                <c:pt idx="134">
                  <c:v>726</c:v>
                </c:pt>
                <c:pt idx="135">
                  <c:v>713</c:v>
                </c:pt>
                <c:pt idx="136">
                  <c:v>711</c:v>
                </c:pt>
                <c:pt idx="137">
                  <c:v>709</c:v>
                </c:pt>
                <c:pt idx="138">
                  <c:v>713</c:v>
                </c:pt>
                <c:pt idx="139">
                  <c:v>699</c:v>
                </c:pt>
                <c:pt idx="140">
                  <c:v>687</c:v>
                </c:pt>
                <c:pt idx="141">
                  <c:v>692</c:v>
                </c:pt>
                <c:pt idx="142">
                  <c:v>690</c:v>
                </c:pt>
                <c:pt idx="143">
                  <c:v>696</c:v>
                </c:pt>
                <c:pt idx="144">
                  <c:v>702</c:v>
                </c:pt>
                <c:pt idx="145">
                  <c:v>710</c:v>
                </c:pt>
                <c:pt idx="146">
                  <c:v>723</c:v>
                </c:pt>
                <c:pt idx="147">
                  <c:v>717</c:v>
                </c:pt>
                <c:pt idx="148">
                  <c:v>715</c:v>
                </c:pt>
                <c:pt idx="149">
                  <c:v>718</c:v>
                </c:pt>
                <c:pt idx="150">
                  <c:v>704</c:v>
                </c:pt>
                <c:pt idx="151">
                  <c:v>708</c:v>
                </c:pt>
                <c:pt idx="152">
                  <c:v>705</c:v>
                </c:pt>
                <c:pt idx="153">
                  <c:v>711</c:v>
                </c:pt>
                <c:pt idx="154">
                  <c:v>711</c:v>
                </c:pt>
                <c:pt idx="155">
                  <c:v>720</c:v>
                </c:pt>
                <c:pt idx="156">
                  <c:v>728</c:v>
                </c:pt>
                <c:pt idx="157">
                  <c:v>752</c:v>
                </c:pt>
                <c:pt idx="158">
                  <c:v>739</c:v>
                </c:pt>
                <c:pt idx="159">
                  <c:v>731</c:v>
                </c:pt>
                <c:pt idx="160">
                  <c:v>722</c:v>
                </c:pt>
                <c:pt idx="161">
                  <c:v>719</c:v>
                </c:pt>
                <c:pt idx="162">
                  <c:v>712</c:v>
                </c:pt>
                <c:pt idx="163">
                  <c:v>726</c:v>
                </c:pt>
                <c:pt idx="164">
                  <c:v>731</c:v>
                </c:pt>
                <c:pt idx="165">
                  <c:v>742</c:v>
                </c:pt>
                <c:pt idx="166">
                  <c:v>735</c:v>
                </c:pt>
                <c:pt idx="167">
                  <c:v>739</c:v>
                </c:pt>
                <c:pt idx="168">
                  <c:v>732</c:v>
                </c:pt>
                <c:pt idx="169">
                  <c:v>731</c:v>
                </c:pt>
                <c:pt idx="170">
                  <c:v>732</c:v>
                </c:pt>
                <c:pt idx="171">
                  <c:v>735</c:v>
                </c:pt>
                <c:pt idx="172">
                  <c:v>734</c:v>
                </c:pt>
                <c:pt idx="173">
                  <c:v>735</c:v>
                </c:pt>
                <c:pt idx="174">
                  <c:v>727</c:v>
                </c:pt>
                <c:pt idx="175">
                  <c:v>724</c:v>
                </c:pt>
                <c:pt idx="176">
                  <c:v>712</c:v>
                </c:pt>
                <c:pt idx="177">
                  <c:v>719</c:v>
                </c:pt>
                <c:pt idx="178">
                  <c:v>721</c:v>
                </c:pt>
                <c:pt idx="179">
                  <c:v>717</c:v>
                </c:pt>
                <c:pt idx="180">
                  <c:v>706</c:v>
                </c:pt>
                <c:pt idx="181">
                  <c:v>708</c:v>
                </c:pt>
                <c:pt idx="182">
                  <c:v>703</c:v>
                </c:pt>
                <c:pt idx="183">
                  <c:v>698</c:v>
                </c:pt>
                <c:pt idx="184">
                  <c:v>699</c:v>
                </c:pt>
                <c:pt idx="185">
                  <c:v>697</c:v>
                </c:pt>
                <c:pt idx="186">
                  <c:v>701</c:v>
                </c:pt>
                <c:pt idx="187">
                  <c:v>711</c:v>
                </c:pt>
                <c:pt idx="188">
                  <c:v>716</c:v>
                </c:pt>
                <c:pt idx="189">
                  <c:v>715</c:v>
                </c:pt>
                <c:pt idx="190">
                  <c:v>711</c:v>
                </c:pt>
                <c:pt idx="191">
                  <c:v>716</c:v>
                </c:pt>
                <c:pt idx="192">
                  <c:v>714</c:v>
                </c:pt>
                <c:pt idx="193">
                  <c:v>714</c:v>
                </c:pt>
                <c:pt idx="194">
                  <c:v>708</c:v>
                </c:pt>
                <c:pt idx="195">
                  <c:v>709</c:v>
                </c:pt>
                <c:pt idx="196">
                  <c:v>726</c:v>
                </c:pt>
                <c:pt idx="197">
                  <c:v>735</c:v>
                </c:pt>
                <c:pt idx="198">
                  <c:v>727</c:v>
                </c:pt>
                <c:pt idx="199">
                  <c:v>722</c:v>
                </c:pt>
                <c:pt idx="200">
                  <c:v>725</c:v>
                </c:pt>
                <c:pt idx="201">
                  <c:v>725</c:v>
                </c:pt>
                <c:pt idx="202">
                  <c:v>723</c:v>
                </c:pt>
                <c:pt idx="203">
                  <c:v>721</c:v>
                </c:pt>
                <c:pt idx="204">
                  <c:v>722</c:v>
                </c:pt>
                <c:pt idx="205">
                  <c:v>722</c:v>
                </c:pt>
                <c:pt idx="206">
                  <c:v>720</c:v>
                </c:pt>
                <c:pt idx="207">
                  <c:v>721</c:v>
                </c:pt>
                <c:pt idx="208">
                  <c:v>717</c:v>
                </c:pt>
                <c:pt idx="209">
                  <c:v>712</c:v>
                </c:pt>
                <c:pt idx="210">
                  <c:v>711</c:v>
                </c:pt>
                <c:pt idx="211">
                  <c:v>719</c:v>
                </c:pt>
                <c:pt idx="212">
                  <c:v>713</c:v>
                </c:pt>
                <c:pt idx="213">
                  <c:v>722</c:v>
                </c:pt>
                <c:pt idx="214">
                  <c:v>722</c:v>
                </c:pt>
                <c:pt idx="215">
                  <c:v>739</c:v>
                </c:pt>
                <c:pt idx="216">
                  <c:v>761</c:v>
                </c:pt>
                <c:pt idx="217">
                  <c:v>756</c:v>
                </c:pt>
                <c:pt idx="218">
                  <c:v>748</c:v>
                </c:pt>
                <c:pt idx="219">
                  <c:v>736</c:v>
                </c:pt>
                <c:pt idx="220">
                  <c:v>740</c:v>
                </c:pt>
                <c:pt idx="221">
                  <c:v>736</c:v>
                </c:pt>
                <c:pt idx="222">
                  <c:v>731</c:v>
                </c:pt>
                <c:pt idx="223">
                  <c:v>735</c:v>
                </c:pt>
                <c:pt idx="224">
                  <c:v>727</c:v>
                </c:pt>
                <c:pt idx="225">
                  <c:v>717</c:v>
                </c:pt>
              </c:numCache>
            </c:numRef>
          </c:val>
          <c:smooth val="0"/>
          <c:extLst>
            <c:ext xmlns:c16="http://schemas.microsoft.com/office/drawing/2014/chart" uri="{C3380CC4-5D6E-409C-BE32-E72D297353CC}">
              <c16:uniqueId val="{00000000-10FC-4329-BDD3-9498FF71D7A9}"/>
            </c:ext>
          </c:extLst>
        </c:ser>
        <c:dLbls>
          <c:showLegendKey val="0"/>
          <c:showVal val="0"/>
          <c:showCatName val="0"/>
          <c:showSerName val="0"/>
          <c:showPercent val="0"/>
          <c:showBubbleSize val="0"/>
        </c:dLbls>
        <c:smooth val="0"/>
        <c:axId val="158314672"/>
        <c:axId val="809347296"/>
      </c:lineChart>
      <c:catAx>
        <c:axId val="158314672"/>
        <c:scaling>
          <c:orientation val="minMax"/>
        </c:scaling>
        <c:delete val="0"/>
        <c:axPos val="b"/>
        <c:numFmt formatCode="mmm/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347296"/>
        <c:crosses val="autoZero"/>
        <c:auto val="0"/>
        <c:lblAlgn val="ctr"/>
        <c:lblOffset val="100"/>
        <c:noMultiLvlLbl val="0"/>
      </c:catAx>
      <c:valAx>
        <c:axId val="809347296"/>
        <c:scaling>
          <c:orientation val="minMax"/>
          <c:max val="900"/>
          <c:min val="5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14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Share</a:t>
            </a:r>
            <a:r>
              <a:rPr lang="en-IN" baseline="0"/>
              <a:t> Price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spPr>
            <a:ln w="28575" cap="rnd">
              <a:solidFill>
                <a:srgbClr val="9ACA3C"/>
              </a:solidFill>
              <a:round/>
            </a:ln>
            <a:effectLst/>
          </c:spPr>
          <c:marker>
            <c:symbol val="none"/>
          </c:marker>
          <c:cat>
            <c:numRef>
              <c:f>Scratch!$AU$40:$AU$267</c:f>
              <c:numCache>
                <c:formatCode>m/d/yyyy</c:formatCode>
                <c:ptCount val="226"/>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45689</c:v>
                </c:pt>
                <c:pt idx="24">
                  <c:v>45691</c:v>
                </c:pt>
                <c:pt idx="25">
                  <c:v>45692</c:v>
                </c:pt>
                <c:pt idx="26">
                  <c:v>45693</c:v>
                </c:pt>
                <c:pt idx="27">
                  <c:v>45694</c:v>
                </c:pt>
                <c:pt idx="28">
                  <c:v>45695</c:v>
                </c:pt>
                <c:pt idx="29">
                  <c:v>45698</c:v>
                </c:pt>
                <c:pt idx="30">
                  <c:v>45699</c:v>
                </c:pt>
                <c:pt idx="31">
                  <c:v>45700</c:v>
                </c:pt>
                <c:pt idx="32">
                  <c:v>45701</c:v>
                </c:pt>
                <c:pt idx="33">
                  <c:v>45702</c:v>
                </c:pt>
                <c:pt idx="34">
                  <c:v>45705</c:v>
                </c:pt>
                <c:pt idx="35">
                  <c:v>45706</c:v>
                </c:pt>
                <c:pt idx="36">
                  <c:v>45707</c:v>
                </c:pt>
                <c:pt idx="37">
                  <c:v>45708</c:v>
                </c:pt>
                <c:pt idx="38">
                  <c:v>45709</c:v>
                </c:pt>
                <c:pt idx="39">
                  <c:v>45712</c:v>
                </c:pt>
                <c:pt idx="40">
                  <c:v>45713</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45733</c:v>
                </c:pt>
                <c:pt idx="53">
                  <c:v>45734</c:v>
                </c:pt>
                <c:pt idx="54">
                  <c:v>45735</c:v>
                </c:pt>
                <c:pt idx="55">
                  <c:v>45736</c:v>
                </c:pt>
                <c:pt idx="56">
                  <c:v>45737</c:v>
                </c:pt>
                <c:pt idx="57">
                  <c:v>45740</c:v>
                </c:pt>
                <c:pt idx="58">
                  <c:v>45741</c:v>
                </c:pt>
                <c:pt idx="59">
                  <c:v>45742</c:v>
                </c:pt>
                <c:pt idx="60">
                  <c:v>45743</c:v>
                </c:pt>
                <c:pt idx="61">
                  <c:v>45744</c:v>
                </c:pt>
                <c:pt idx="62">
                  <c:v>45748</c:v>
                </c:pt>
                <c:pt idx="63">
                  <c:v>45749</c:v>
                </c:pt>
                <c:pt idx="64">
                  <c:v>45750</c:v>
                </c:pt>
                <c:pt idx="65">
                  <c:v>45751</c:v>
                </c:pt>
                <c:pt idx="66">
                  <c:v>45754</c:v>
                </c:pt>
                <c:pt idx="67">
                  <c:v>45755</c:v>
                </c:pt>
                <c:pt idx="68">
                  <c:v>45756</c:v>
                </c:pt>
                <c:pt idx="69">
                  <c:v>45758</c:v>
                </c:pt>
                <c:pt idx="70">
                  <c:v>45762</c:v>
                </c:pt>
                <c:pt idx="71">
                  <c:v>45763</c:v>
                </c:pt>
                <c:pt idx="72">
                  <c:v>45764</c:v>
                </c:pt>
                <c:pt idx="73">
                  <c:v>45768</c:v>
                </c:pt>
                <c:pt idx="74">
                  <c:v>45769</c:v>
                </c:pt>
                <c:pt idx="75">
                  <c:v>45770</c:v>
                </c:pt>
                <c:pt idx="76">
                  <c:v>45771</c:v>
                </c:pt>
                <c:pt idx="77">
                  <c:v>45772</c:v>
                </c:pt>
                <c:pt idx="78">
                  <c:v>45775</c:v>
                </c:pt>
                <c:pt idx="79">
                  <c:v>45776</c:v>
                </c:pt>
                <c:pt idx="80">
                  <c:v>45777</c:v>
                </c:pt>
                <c:pt idx="81">
                  <c:v>45779</c:v>
                </c:pt>
                <c:pt idx="82">
                  <c:v>45782</c:v>
                </c:pt>
                <c:pt idx="83">
                  <c:v>45783</c:v>
                </c:pt>
                <c:pt idx="84">
                  <c:v>45784</c:v>
                </c:pt>
                <c:pt idx="85">
                  <c:v>45785</c:v>
                </c:pt>
                <c:pt idx="86">
                  <c:v>45786</c:v>
                </c:pt>
                <c:pt idx="87">
                  <c:v>45789</c:v>
                </c:pt>
                <c:pt idx="88">
                  <c:v>45790</c:v>
                </c:pt>
                <c:pt idx="89">
                  <c:v>45791</c:v>
                </c:pt>
                <c:pt idx="90">
                  <c:v>45792</c:v>
                </c:pt>
                <c:pt idx="91">
                  <c:v>45793</c:v>
                </c:pt>
                <c:pt idx="92">
                  <c:v>45796</c:v>
                </c:pt>
                <c:pt idx="93">
                  <c:v>45797</c:v>
                </c:pt>
                <c:pt idx="94">
                  <c:v>45798</c:v>
                </c:pt>
                <c:pt idx="95">
                  <c:v>45799</c:v>
                </c:pt>
                <c:pt idx="96">
                  <c:v>45800</c:v>
                </c:pt>
                <c:pt idx="97">
                  <c:v>45803</c:v>
                </c:pt>
                <c:pt idx="98">
                  <c:v>45804</c:v>
                </c:pt>
                <c:pt idx="99">
                  <c:v>45805</c:v>
                </c:pt>
                <c:pt idx="100">
                  <c:v>45806</c:v>
                </c:pt>
                <c:pt idx="101">
                  <c:v>45807</c:v>
                </c:pt>
                <c:pt idx="102">
                  <c:v>45810</c:v>
                </c:pt>
                <c:pt idx="103">
                  <c:v>45811</c:v>
                </c:pt>
                <c:pt idx="104">
                  <c:v>45812</c:v>
                </c:pt>
                <c:pt idx="105">
                  <c:v>45813</c:v>
                </c:pt>
                <c:pt idx="106">
                  <c:v>45814</c:v>
                </c:pt>
                <c:pt idx="107">
                  <c:v>45817</c:v>
                </c:pt>
                <c:pt idx="108">
                  <c:v>45818</c:v>
                </c:pt>
                <c:pt idx="109">
                  <c:v>45819</c:v>
                </c:pt>
                <c:pt idx="110">
                  <c:v>45820</c:v>
                </c:pt>
                <c:pt idx="111">
                  <c:v>45821</c:v>
                </c:pt>
                <c:pt idx="112">
                  <c:v>45824</c:v>
                </c:pt>
                <c:pt idx="113">
                  <c:v>45825</c:v>
                </c:pt>
                <c:pt idx="114">
                  <c:v>45826</c:v>
                </c:pt>
                <c:pt idx="115">
                  <c:v>45827</c:v>
                </c:pt>
                <c:pt idx="116">
                  <c:v>45828</c:v>
                </c:pt>
                <c:pt idx="117">
                  <c:v>45831</c:v>
                </c:pt>
                <c:pt idx="118">
                  <c:v>45832</c:v>
                </c:pt>
                <c:pt idx="119">
                  <c:v>45833</c:v>
                </c:pt>
                <c:pt idx="120">
                  <c:v>45834</c:v>
                </c:pt>
                <c:pt idx="121">
                  <c:v>45838</c:v>
                </c:pt>
                <c:pt idx="122">
                  <c:v>45839</c:v>
                </c:pt>
                <c:pt idx="123">
                  <c:v>45840</c:v>
                </c:pt>
                <c:pt idx="124">
                  <c:v>45841</c:v>
                </c:pt>
                <c:pt idx="125">
                  <c:v>45842</c:v>
                </c:pt>
                <c:pt idx="126">
                  <c:v>45845</c:v>
                </c:pt>
                <c:pt idx="127">
                  <c:v>45846</c:v>
                </c:pt>
                <c:pt idx="128">
                  <c:v>45847</c:v>
                </c:pt>
                <c:pt idx="129">
                  <c:v>45848</c:v>
                </c:pt>
                <c:pt idx="130">
                  <c:v>45849</c:v>
                </c:pt>
                <c:pt idx="131">
                  <c:v>45852</c:v>
                </c:pt>
                <c:pt idx="132">
                  <c:v>45853</c:v>
                </c:pt>
                <c:pt idx="133">
                  <c:v>45854</c:v>
                </c:pt>
                <c:pt idx="134">
                  <c:v>45855</c:v>
                </c:pt>
                <c:pt idx="135">
                  <c:v>45856</c:v>
                </c:pt>
                <c:pt idx="136">
                  <c:v>45859</c:v>
                </c:pt>
                <c:pt idx="137">
                  <c:v>45860</c:v>
                </c:pt>
                <c:pt idx="138">
                  <c:v>45861</c:v>
                </c:pt>
                <c:pt idx="139">
                  <c:v>45862</c:v>
                </c:pt>
                <c:pt idx="140">
                  <c:v>45863</c:v>
                </c:pt>
                <c:pt idx="141">
                  <c:v>45866</c:v>
                </c:pt>
                <c:pt idx="142">
                  <c:v>45867</c:v>
                </c:pt>
                <c:pt idx="143">
                  <c:v>45868</c:v>
                </c:pt>
                <c:pt idx="144">
                  <c:v>45869</c:v>
                </c:pt>
                <c:pt idx="145">
                  <c:v>45870</c:v>
                </c:pt>
                <c:pt idx="146">
                  <c:v>45873</c:v>
                </c:pt>
                <c:pt idx="147">
                  <c:v>45874</c:v>
                </c:pt>
                <c:pt idx="148">
                  <c:v>45875</c:v>
                </c:pt>
                <c:pt idx="149">
                  <c:v>45876</c:v>
                </c:pt>
                <c:pt idx="150">
                  <c:v>45877</c:v>
                </c:pt>
                <c:pt idx="151">
                  <c:v>45880</c:v>
                </c:pt>
                <c:pt idx="152">
                  <c:v>45881</c:v>
                </c:pt>
                <c:pt idx="153">
                  <c:v>45882</c:v>
                </c:pt>
                <c:pt idx="154">
                  <c:v>45883</c:v>
                </c:pt>
                <c:pt idx="155">
                  <c:v>45887</c:v>
                </c:pt>
                <c:pt idx="156">
                  <c:v>45888</c:v>
                </c:pt>
                <c:pt idx="157">
                  <c:v>45889</c:v>
                </c:pt>
                <c:pt idx="158">
                  <c:v>45890</c:v>
                </c:pt>
                <c:pt idx="159">
                  <c:v>45891</c:v>
                </c:pt>
                <c:pt idx="160">
                  <c:v>45894</c:v>
                </c:pt>
                <c:pt idx="161">
                  <c:v>45895</c:v>
                </c:pt>
                <c:pt idx="162">
                  <c:v>45897</c:v>
                </c:pt>
                <c:pt idx="163">
                  <c:v>45898</c:v>
                </c:pt>
                <c:pt idx="164">
                  <c:v>45901</c:v>
                </c:pt>
                <c:pt idx="165">
                  <c:v>45902</c:v>
                </c:pt>
                <c:pt idx="166">
                  <c:v>45903</c:v>
                </c:pt>
                <c:pt idx="167">
                  <c:v>45904</c:v>
                </c:pt>
                <c:pt idx="168">
                  <c:v>45905</c:v>
                </c:pt>
                <c:pt idx="169">
                  <c:v>45908</c:v>
                </c:pt>
                <c:pt idx="170">
                  <c:v>45909</c:v>
                </c:pt>
                <c:pt idx="171">
                  <c:v>45910</c:v>
                </c:pt>
                <c:pt idx="172">
                  <c:v>45911</c:v>
                </c:pt>
                <c:pt idx="173">
                  <c:v>45912</c:v>
                </c:pt>
                <c:pt idx="174">
                  <c:v>45915</c:v>
                </c:pt>
                <c:pt idx="175">
                  <c:v>45916</c:v>
                </c:pt>
                <c:pt idx="176">
                  <c:v>45917</c:v>
                </c:pt>
                <c:pt idx="177">
                  <c:v>45918</c:v>
                </c:pt>
                <c:pt idx="178">
                  <c:v>45919</c:v>
                </c:pt>
                <c:pt idx="179">
                  <c:v>45922</c:v>
                </c:pt>
                <c:pt idx="180">
                  <c:v>45923</c:v>
                </c:pt>
                <c:pt idx="181">
                  <c:v>45924</c:v>
                </c:pt>
                <c:pt idx="182">
                  <c:v>45925</c:v>
                </c:pt>
                <c:pt idx="183">
                  <c:v>45926</c:v>
                </c:pt>
                <c:pt idx="184">
                  <c:v>45929</c:v>
                </c:pt>
                <c:pt idx="185">
                  <c:v>45930</c:v>
                </c:pt>
                <c:pt idx="186">
                  <c:v>45931</c:v>
                </c:pt>
                <c:pt idx="187">
                  <c:v>45933</c:v>
                </c:pt>
                <c:pt idx="188">
                  <c:v>45936</c:v>
                </c:pt>
                <c:pt idx="189">
                  <c:v>45937</c:v>
                </c:pt>
                <c:pt idx="190">
                  <c:v>45938</c:v>
                </c:pt>
                <c:pt idx="191">
                  <c:v>45939</c:v>
                </c:pt>
                <c:pt idx="192">
                  <c:v>45940</c:v>
                </c:pt>
                <c:pt idx="193">
                  <c:v>45943</c:v>
                </c:pt>
                <c:pt idx="194">
                  <c:v>45944</c:v>
                </c:pt>
                <c:pt idx="195">
                  <c:v>45945</c:v>
                </c:pt>
                <c:pt idx="196">
                  <c:v>45946</c:v>
                </c:pt>
                <c:pt idx="197">
                  <c:v>45947</c:v>
                </c:pt>
                <c:pt idx="198">
                  <c:v>45950</c:v>
                </c:pt>
                <c:pt idx="199">
                  <c:v>45951</c:v>
                </c:pt>
                <c:pt idx="200">
                  <c:v>45953</c:v>
                </c:pt>
                <c:pt idx="201">
                  <c:v>45954</c:v>
                </c:pt>
                <c:pt idx="202">
                  <c:v>45957</c:v>
                </c:pt>
                <c:pt idx="203">
                  <c:v>45958</c:v>
                </c:pt>
                <c:pt idx="204">
                  <c:v>45959</c:v>
                </c:pt>
                <c:pt idx="205">
                  <c:v>45960</c:v>
                </c:pt>
                <c:pt idx="206">
                  <c:v>45961</c:v>
                </c:pt>
                <c:pt idx="207">
                  <c:v>45964</c:v>
                </c:pt>
                <c:pt idx="208">
                  <c:v>45965</c:v>
                </c:pt>
                <c:pt idx="209">
                  <c:v>45967</c:v>
                </c:pt>
                <c:pt idx="210">
                  <c:v>45968</c:v>
                </c:pt>
                <c:pt idx="211">
                  <c:v>45971</c:v>
                </c:pt>
                <c:pt idx="212">
                  <c:v>45972</c:v>
                </c:pt>
                <c:pt idx="213">
                  <c:v>45973</c:v>
                </c:pt>
                <c:pt idx="214">
                  <c:v>45974</c:v>
                </c:pt>
                <c:pt idx="215">
                  <c:v>45975</c:v>
                </c:pt>
                <c:pt idx="216">
                  <c:v>45978</c:v>
                </c:pt>
                <c:pt idx="217">
                  <c:v>45979</c:v>
                </c:pt>
                <c:pt idx="218">
                  <c:v>45980</c:v>
                </c:pt>
                <c:pt idx="219">
                  <c:v>45981</c:v>
                </c:pt>
                <c:pt idx="220">
                  <c:v>45982</c:v>
                </c:pt>
                <c:pt idx="221">
                  <c:v>45985</c:v>
                </c:pt>
                <c:pt idx="222">
                  <c:v>45986</c:v>
                </c:pt>
                <c:pt idx="223">
                  <c:v>45987</c:v>
                </c:pt>
                <c:pt idx="224">
                  <c:v>45988</c:v>
                </c:pt>
                <c:pt idx="225">
                  <c:v>45989</c:v>
                </c:pt>
              </c:numCache>
            </c:numRef>
          </c:cat>
          <c:val>
            <c:numRef>
              <c:f>Scratch!$AV$40:$AV$267</c:f>
              <c:numCache>
                <c:formatCode>General</c:formatCode>
                <c:ptCount val="226"/>
                <c:pt idx="0">
                  <c:v>633</c:v>
                </c:pt>
                <c:pt idx="1">
                  <c:v>643</c:v>
                </c:pt>
                <c:pt idx="2">
                  <c:v>651</c:v>
                </c:pt>
                <c:pt idx="3">
                  <c:v>638</c:v>
                </c:pt>
                <c:pt idx="4">
                  <c:v>634</c:v>
                </c:pt>
                <c:pt idx="5">
                  <c:v>628</c:v>
                </c:pt>
                <c:pt idx="6">
                  <c:v>656</c:v>
                </c:pt>
                <c:pt idx="7">
                  <c:v>663</c:v>
                </c:pt>
                <c:pt idx="8">
                  <c:v>658</c:v>
                </c:pt>
                <c:pt idx="9">
                  <c:v>651</c:v>
                </c:pt>
                <c:pt idx="10">
                  <c:v>650</c:v>
                </c:pt>
                <c:pt idx="11">
                  <c:v>642</c:v>
                </c:pt>
                <c:pt idx="12">
                  <c:v>654</c:v>
                </c:pt>
                <c:pt idx="13">
                  <c:v>647</c:v>
                </c:pt>
                <c:pt idx="14">
                  <c:v>653</c:v>
                </c:pt>
                <c:pt idx="15">
                  <c:v>655</c:v>
                </c:pt>
                <c:pt idx="16">
                  <c:v>658</c:v>
                </c:pt>
                <c:pt idx="17">
                  <c:v>656</c:v>
                </c:pt>
                <c:pt idx="18">
                  <c:v>646</c:v>
                </c:pt>
                <c:pt idx="19">
                  <c:v>655</c:v>
                </c:pt>
                <c:pt idx="20">
                  <c:v>660</c:v>
                </c:pt>
                <c:pt idx="21">
                  <c:v>662</c:v>
                </c:pt>
                <c:pt idx="22">
                  <c:v>661</c:v>
                </c:pt>
                <c:pt idx="23">
                  <c:v>683</c:v>
                </c:pt>
                <c:pt idx="24">
                  <c:v>663</c:v>
                </c:pt>
                <c:pt idx="25">
                  <c:v>667</c:v>
                </c:pt>
                <c:pt idx="26">
                  <c:v>659</c:v>
                </c:pt>
                <c:pt idx="27">
                  <c:v>651</c:v>
                </c:pt>
                <c:pt idx="28">
                  <c:v>640</c:v>
                </c:pt>
                <c:pt idx="29">
                  <c:v>638</c:v>
                </c:pt>
                <c:pt idx="30">
                  <c:v>628</c:v>
                </c:pt>
                <c:pt idx="31">
                  <c:v>626</c:v>
                </c:pt>
                <c:pt idx="32">
                  <c:v>629</c:v>
                </c:pt>
                <c:pt idx="33">
                  <c:v>628</c:v>
                </c:pt>
                <c:pt idx="34">
                  <c:v>618</c:v>
                </c:pt>
                <c:pt idx="35">
                  <c:v>620</c:v>
                </c:pt>
                <c:pt idx="36">
                  <c:v>628</c:v>
                </c:pt>
                <c:pt idx="37">
                  <c:v>635</c:v>
                </c:pt>
                <c:pt idx="38">
                  <c:v>618</c:v>
                </c:pt>
                <c:pt idx="39">
                  <c:v>615</c:v>
                </c:pt>
                <c:pt idx="40">
                  <c:v>615</c:v>
                </c:pt>
                <c:pt idx="41">
                  <c:v>618</c:v>
                </c:pt>
                <c:pt idx="42">
                  <c:v>594</c:v>
                </c:pt>
                <c:pt idx="43">
                  <c:v>588</c:v>
                </c:pt>
                <c:pt idx="44">
                  <c:v>582</c:v>
                </c:pt>
                <c:pt idx="45">
                  <c:v>585</c:v>
                </c:pt>
                <c:pt idx="46">
                  <c:v>602</c:v>
                </c:pt>
                <c:pt idx="47">
                  <c:v>604</c:v>
                </c:pt>
                <c:pt idx="48">
                  <c:v>602</c:v>
                </c:pt>
                <c:pt idx="49">
                  <c:v>597</c:v>
                </c:pt>
                <c:pt idx="50">
                  <c:v>595</c:v>
                </c:pt>
                <c:pt idx="51">
                  <c:v>600</c:v>
                </c:pt>
                <c:pt idx="52">
                  <c:v>601</c:v>
                </c:pt>
                <c:pt idx="53">
                  <c:v>616</c:v>
                </c:pt>
                <c:pt idx="54">
                  <c:v>613</c:v>
                </c:pt>
                <c:pt idx="55">
                  <c:v>626</c:v>
                </c:pt>
                <c:pt idx="56">
                  <c:v>625</c:v>
                </c:pt>
                <c:pt idx="57">
                  <c:v>627</c:v>
                </c:pt>
                <c:pt idx="58">
                  <c:v>618</c:v>
                </c:pt>
                <c:pt idx="59">
                  <c:v>633</c:v>
                </c:pt>
                <c:pt idx="60">
                  <c:v>643</c:v>
                </c:pt>
                <c:pt idx="61">
                  <c:v>645</c:v>
                </c:pt>
                <c:pt idx="62">
                  <c:v>640</c:v>
                </c:pt>
                <c:pt idx="63">
                  <c:v>650</c:v>
                </c:pt>
                <c:pt idx="64">
                  <c:v>654</c:v>
                </c:pt>
                <c:pt idx="65">
                  <c:v>671</c:v>
                </c:pt>
                <c:pt idx="66">
                  <c:v>656</c:v>
                </c:pt>
                <c:pt idx="67">
                  <c:v>671</c:v>
                </c:pt>
                <c:pt idx="68">
                  <c:v>686</c:v>
                </c:pt>
                <c:pt idx="69">
                  <c:v>703</c:v>
                </c:pt>
                <c:pt idx="70">
                  <c:v>705</c:v>
                </c:pt>
                <c:pt idx="71">
                  <c:v>714</c:v>
                </c:pt>
                <c:pt idx="72">
                  <c:v>707</c:v>
                </c:pt>
                <c:pt idx="73">
                  <c:v>688</c:v>
                </c:pt>
                <c:pt idx="74">
                  <c:v>702</c:v>
                </c:pt>
                <c:pt idx="75">
                  <c:v>709</c:v>
                </c:pt>
                <c:pt idx="76">
                  <c:v>706</c:v>
                </c:pt>
                <c:pt idx="77">
                  <c:v>703</c:v>
                </c:pt>
                <c:pt idx="78">
                  <c:v>708</c:v>
                </c:pt>
                <c:pt idx="79">
                  <c:v>705</c:v>
                </c:pt>
                <c:pt idx="80">
                  <c:v>703</c:v>
                </c:pt>
                <c:pt idx="81">
                  <c:v>691</c:v>
                </c:pt>
                <c:pt idx="82">
                  <c:v>716</c:v>
                </c:pt>
                <c:pt idx="83">
                  <c:v>713</c:v>
                </c:pt>
                <c:pt idx="84">
                  <c:v>728</c:v>
                </c:pt>
                <c:pt idx="85">
                  <c:v>712</c:v>
                </c:pt>
                <c:pt idx="86">
                  <c:v>716</c:v>
                </c:pt>
                <c:pt idx="87">
                  <c:v>731</c:v>
                </c:pt>
                <c:pt idx="88">
                  <c:v>720</c:v>
                </c:pt>
                <c:pt idx="89">
                  <c:v>715</c:v>
                </c:pt>
                <c:pt idx="90">
                  <c:v>714</c:v>
                </c:pt>
                <c:pt idx="91">
                  <c:v>717</c:v>
                </c:pt>
                <c:pt idx="92">
                  <c:v>709</c:v>
                </c:pt>
                <c:pt idx="93">
                  <c:v>697</c:v>
                </c:pt>
                <c:pt idx="94">
                  <c:v>703</c:v>
                </c:pt>
                <c:pt idx="95">
                  <c:v>691</c:v>
                </c:pt>
                <c:pt idx="96">
                  <c:v>694</c:v>
                </c:pt>
                <c:pt idx="97">
                  <c:v>705</c:v>
                </c:pt>
                <c:pt idx="98">
                  <c:v>709</c:v>
                </c:pt>
                <c:pt idx="99">
                  <c:v>711</c:v>
                </c:pt>
                <c:pt idx="100">
                  <c:v>716</c:v>
                </c:pt>
                <c:pt idx="101">
                  <c:v>711</c:v>
                </c:pt>
                <c:pt idx="102">
                  <c:v>697</c:v>
                </c:pt>
                <c:pt idx="103">
                  <c:v>696</c:v>
                </c:pt>
                <c:pt idx="104">
                  <c:v>694</c:v>
                </c:pt>
                <c:pt idx="105">
                  <c:v>696</c:v>
                </c:pt>
                <c:pt idx="106">
                  <c:v>692</c:v>
                </c:pt>
                <c:pt idx="107">
                  <c:v>697</c:v>
                </c:pt>
                <c:pt idx="108">
                  <c:v>690</c:v>
                </c:pt>
                <c:pt idx="109">
                  <c:v>694</c:v>
                </c:pt>
                <c:pt idx="110">
                  <c:v>685</c:v>
                </c:pt>
                <c:pt idx="111">
                  <c:v>684</c:v>
                </c:pt>
                <c:pt idx="112">
                  <c:v>684</c:v>
                </c:pt>
                <c:pt idx="113">
                  <c:v>681</c:v>
                </c:pt>
                <c:pt idx="114">
                  <c:v>683</c:v>
                </c:pt>
                <c:pt idx="115">
                  <c:v>684</c:v>
                </c:pt>
                <c:pt idx="116">
                  <c:v>686</c:v>
                </c:pt>
                <c:pt idx="117">
                  <c:v>687</c:v>
                </c:pt>
                <c:pt idx="118">
                  <c:v>696</c:v>
                </c:pt>
                <c:pt idx="119">
                  <c:v>697</c:v>
                </c:pt>
                <c:pt idx="120">
                  <c:v>719</c:v>
                </c:pt>
                <c:pt idx="121">
                  <c:v>715</c:v>
                </c:pt>
                <c:pt idx="122">
                  <c:v>710</c:v>
                </c:pt>
                <c:pt idx="123">
                  <c:v>705</c:v>
                </c:pt>
                <c:pt idx="124">
                  <c:v>707</c:v>
                </c:pt>
                <c:pt idx="125">
                  <c:v>722</c:v>
                </c:pt>
                <c:pt idx="126">
                  <c:v>722</c:v>
                </c:pt>
                <c:pt idx="127">
                  <c:v>720</c:v>
                </c:pt>
                <c:pt idx="128">
                  <c:v>723</c:v>
                </c:pt>
                <c:pt idx="129">
                  <c:v>720</c:v>
                </c:pt>
                <c:pt idx="130">
                  <c:v>719</c:v>
                </c:pt>
                <c:pt idx="131">
                  <c:v>721</c:v>
                </c:pt>
                <c:pt idx="132">
                  <c:v>733</c:v>
                </c:pt>
                <c:pt idx="133">
                  <c:v>724</c:v>
                </c:pt>
                <c:pt idx="134">
                  <c:v>726</c:v>
                </c:pt>
                <c:pt idx="135">
                  <c:v>713</c:v>
                </c:pt>
                <c:pt idx="136">
                  <c:v>711</c:v>
                </c:pt>
                <c:pt idx="137">
                  <c:v>709</c:v>
                </c:pt>
                <c:pt idx="138">
                  <c:v>713</c:v>
                </c:pt>
                <c:pt idx="139">
                  <c:v>699</c:v>
                </c:pt>
                <c:pt idx="140">
                  <c:v>687</c:v>
                </c:pt>
                <c:pt idx="141">
                  <c:v>692</c:v>
                </c:pt>
                <c:pt idx="142">
                  <c:v>690</c:v>
                </c:pt>
                <c:pt idx="143">
                  <c:v>696</c:v>
                </c:pt>
                <c:pt idx="144">
                  <c:v>702</c:v>
                </c:pt>
                <c:pt idx="145">
                  <c:v>710</c:v>
                </c:pt>
                <c:pt idx="146">
                  <c:v>723</c:v>
                </c:pt>
                <c:pt idx="147">
                  <c:v>717</c:v>
                </c:pt>
                <c:pt idx="148">
                  <c:v>715</c:v>
                </c:pt>
                <c:pt idx="149">
                  <c:v>718</c:v>
                </c:pt>
                <c:pt idx="150">
                  <c:v>704</c:v>
                </c:pt>
                <c:pt idx="151">
                  <c:v>708</c:v>
                </c:pt>
                <c:pt idx="152">
                  <c:v>705</c:v>
                </c:pt>
                <c:pt idx="153">
                  <c:v>711</c:v>
                </c:pt>
                <c:pt idx="154">
                  <c:v>711</c:v>
                </c:pt>
                <c:pt idx="155">
                  <c:v>720</c:v>
                </c:pt>
                <c:pt idx="156">
                  <c:v>728</c:v>
                </c:pt>
                <c:pt idx="157">
                  <c:v>752</c:v>
                </c:pt>
                <c:pt idx="158">
                  <c:v>739</c:v>
                </c:pt>
                <c:pt idx="159">
                  <c:v>731</c:v>
                </c:pt>
                <c:pt idx="160">
                  <c:v>722</c:v>
                </c:pt>
                <c:pt idx="161">
                  <c:v>719</c:v>
                </c:pt>
                <c:pt idx="162">
                  <c:v>712</c:v>
                </c:pt>
                <c:pt idx="163">
                  <c:v>726</c:v>
                </c:pt>
                <c:pt idx="164">
                  <c:v>731</c:v>
                </c:pt>
                <c:pt idx="165">
                  <c:v>742</c:v>
                </c:pt>
                <c:pt idx="166">
                  <c:v>735</c:v>
                </c:pt>
                <c:pt idx="167">
                  <c:v>739</c:v>
                </c:pt>
                <c:pt idx="168">
                  <c:v>732</c:v>
                </c:pt>
                <c:pt idx="169">
                  <c:v>731</c:v>
                </c:pt>
                <c:pt idx="170">
                  <c:v>732</c:v>
                </c:pt>
                <c:pt idx="171">
                  <c:v>735</c:v>
                </c:pt>
                <c:pt idx="172">
                  <c:v>734</c:v>
                </c:pt>
                <c:pt idx="173">
                  <c:v>735</c:v>
                </c:pt>
                <c:pt idx="174">
                  <c:v>727</c:v>
                </c:pt>
                <c:pt idx="175">
                  <c:v>724</c:v>
                </c:pt>
                <c:pt idx="176">
                  <c:v>712</c:v>
                </c:pt>
                <c:pt idx="177">
                  <c:v>719</c:v>
                </c:pt>
                <c:pt idx="178">
                  <c:v>721</c:v>
                </c:pt>
                <c:pt idx="179">
                  <c:v>717</c:v>
                </c:pt>
                <c:pt idx="180">
                  <c:v>706</c:v>
                </c:pt>
                <c:pt idx="181">
                  <c:v>708</c:v>
                </c:pt>
                <c:pt idx="182">
                  <c:v>703</c:v>
                </c:pt>
                <c:pt idx="183">
                  <c:v>698</c:v>
                </c:pt>
                <c:pt idx="184">
                  <c:v>699</c:v>
                </c:pt>
                <c:pt idx="185">
                  <c:v>697</c:v>
                </c:pt>
                <c:pt idx="186">
                  <c:v>701</c:v>
                </c:pt>
                <c:pt idx="187">
                  <c:v>711</c:v>
                </c:pt>
                <c:pt idx="188">
                  <c:v>716</c:v>
                </c:pt>
                <c:pt idx="189">
                  <c:v>715</c:v>
                </c:pt>
                <c:pt idx="190">
                  <c:v>711</c:v>
                </c:pt>
                <c:pt idx="191">
                  <c:v>716</c:v>
                </c:pt>
                <c:pt idx="192">
                  <c:v>714</c:v>
                </c:pt>
                <c:pt idx="193">
                  <c:v>714</c:v>
                </c:pt>
                <c:pt idx="194">
                  <c:v>708</c:v>
                </c:pt>
                <c:pt idx="195">
                  <c:v>709</c:v>
                </c:pt>
                <c:pt idx="196">
                  <c:v>726</c:v>
                </c:pt>
                <c:pt idx="197">
                  <c:v>735</c:v>
                </c:pt>
                <c:pt idx="198">
                  <c:v>727</c:v>
                </c:pt>
                <c:pt idx="199">
                  <c:v>722</c:v>
                </c:pt>
                <c:pt idx="200">
                  <c:v>725</c:v>
                </c:pt>
                <c:pt idx="201">
                  <c:v>725</c:v>
                </c:pt>
                <c:pt idx="202">
                  <c:v>723</c:v>
                </c:pt>
                <c:pt idx="203">
                  <c:v>721</c:v>
                </c:pt>
                <c:pt idx="204">
                  <c:v>722</c:v>
                </c:pt>
                <c:pt idx="205">
                  <c:v>722</c:v>
                </c:pt>
                <c:pt idx="206">
                  <c:v>720</c:v>
                </c:pt>
                <c:pt idx="207">
                  <c:v>721</c:v>
                </c:pt>
                <c:pt idx="208">
                  <c:v>717</c:v>
                </c:pt>
                <c:pt idx="209">
                  <c:v>712</c:v>
                </c:pt>
                <c:pt idx="210">
                  <c:v>711</c:v>
                </c:pt>
                <c:pt idx="211">
                  <c:v>719</c:v>
                </c:pt>
                <c:pt idx="212">
                  <c:v>713</c:v>
                </c:pt>
                <c:pt idx="213">
                  <c:v>722</c:v>
                </c:pt>
                <c:pt idx="214">
                  <c:v>722</c:v>
                </c:pt>
                <c:pt idx="215">
                  <c:v>739</c:v>
                </c:pt>
                <c:pt idx="216">
                  <c:v>761</c:v>
                </c:pt>
                <c:pt idx="217">
                  <c:v>756</c:v>
                </c:pt>
                <c:pt idx="218">
                  <c:v>748</c:v>
                </c:pt>
                <c:pt idx="219">
                  <c:v>736</c:v>
                </c:pt>
                <c:pt idx="220">
                  <c:v>740</c:v>
                </c:pt>
                <c:pt idx="221">
                  <c:v>736</c:v>
                </c:pt>
                <c:pt idx="222">
                  <c:v>731</c:v>
                </c:pt>
                <c:pt idx="223">
                  <c:v>735</c:v>
                </c:pt>
                <c:pt idx="224">
                  <c:v>727</c:v>
                </c:pt>
                <c:pt idx="225">
                  <c:v>717</c:v>
                </c:pt>
              </c:numCache>
            </c:numRef>
          </c:val>
          <c:smooth val="0"/>
          <c:extLst>
            <c:ext xmlns:c16="http://schemas.microsoft.com/office/drawing/2014/chart" uri="{C3380CC4-5D6E-409C-BE32-E72D297353CC}">
              <c16:uniqueId val="{00000000-A033-4F8A-8287-66D4BF17CD4E}"/>
            </c:ext>
          </c:extLst>
        </c:ser>
        <c:dLbls>
          <c:showLegendKey val="0"/>
          <c:showVal val="0"/>
          <c:showCatName val="0"/>
          <c:showSerName val="0"/>
          <c:showPercent val="0"/>
          <c:showBubbleSize val="0"/>
        </c:dLbls>
        <c:smooth val="0"/>
        <c:axId val="808936016"/>
        <c:axId val="808935536"/>
      </c:lineChart>
      <c:dateAx>
        <c:axId val="808936016"/>
        <c:scaling>
          <c:orientation val="minMax"/>
        </c:scaling>
        <c:delete val="0"/>
        <c:axPos val="b"/>
        <c:numFmt formatCode="mmm/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935536"/>
        <c:crosses val="autoZero"/>
        <c:auto val="1"/>
        <c:lblOffset val="100"/>
        <c:baseTimeUnit val="days"/>
      </c:dateAx>
      <c:valAx>
        <c:axId val="808935536"/>
        <c:scaling>
          <c:orientation val="minMax"/>
          <c:max val="850"/>
          <c:min val="5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936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9ACA3C"/>
                </a:solidFill>
              </a:rPr>
              <a:t>Global</a:t>
            </a:r>
            <a:r>
              <a:rPr lang="en-IN" sz="1600" b="1" baseline="0">
                <a:solidFill>
                  <a:srgbClr val="9ACA3C"/>
                </a:solidFill>
              </a:rPr>
              <a:t> GDP Projections</a:t>
            </a:r>
            <a:endParaRPr lang="en-IN" sz="1600" b="1">
              <a:solidFill>
                <a:srgbClr val="9ACA3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Scratch!$AA$151</c:f>
              <c:strCache>
                <c:ptCount val="1"/>
                <c:pt idx="0">
                  <c:v>2025p</c:v>
                </c:pt>
              </c:strCache>
            </c:strRef>
          </c:tx>
          <c:spPr>
            <a:solidFill>
              <a:srgbClr val="0055A4"/>
            </a:solidFill>
            <a:ln>
              <a:noFill/>
            </a:ln>
            <a:effectLst/>
          </c:spPr>
          <c:invertIfNegative val="0"/>
          <c:cat>
            <c:strRef>
              <c:f>Scratch!$Z$152:$Z$160</c:f>
              <c:strCache>
                <c:ptCount val="9"/>
                <c:pt idx="0">
                  <c:v>World </c:v>
                </c:pt>
                <c:pt idx="1">
                  <c:v>Advanced Economies </c:v>
                </c:pt>
                <c:pt idx="2">
                  <c:v>Emerging Markets </c:v>
                </c:pt>
                <c:pt idx="3">
                  <c:v>United States</c:v>
                </c:pt>
                <c:pt idx="4">
                  <c:v>Euro Area</c:v>
                </c:pt>
                <c:pt idx="5">
                  <c:v>United Kingdom</c:v>
                </c:pt>
                <c:pt idx="6">
                  <c:v>Japan</c:v>
                </c:pt>
                <c:pt idx="7">
                  <c:v>China</c:v>
                </c:pt>
                <c:pt idx="8">
                  <c:v>India</c:v>
                </c:pt>
              </c:strCache>
            </c:strRef>
          </c:cat>
          <c:val>
            <c:numRef>
              <c:f>Scratch!$AA$152:$AA$160</c:f>
              <c:numCache>
                <c:formatCode>0.00%</c:formatCode>
                <c:ptCount val="9"/>
                <c:pt idx="0">
                  <c:v>0.03</c:v>
                </c:pt>
                <c:pt idx="1">
                  <c:v>1.4999999999999999E-2</c:v>
                </c:pt>
                <c:pt idx="2">
                  <c:v>4.2999999999999997E-2</c:v>
                </c:pt>
                <c:pt idx="3">
                  <c:v>1.9E-2</c:v>
                </c:pt>
                <c:pt idx="4">
                  <c:v>1.0999999999999999E-2</c:v>
                </c:pt>
                <c:pt idx="5">
                  <c:v>1.4E-2</c:v>
                </c:pt>
                <c:pt idx="6">
                  <c:v>0.01</c:v>
                </c:pt>
                <c:pt idx="7">
                  <c:v>4.9000000000000002E-2</c:v>
                </c:pt>
                <c:pt idx="8">
                  <c:v>6.4000000000000001E-2</c:v>
                </c:pt>
              </c:numCache>
            </c:numRef>
          </c:val>
          <c:extLst>
            <c:ext xmlns:c16="http://schemas.microsoft.com/office/drawing/2014/chart" uri="{C3380CC4-5D6E-409C-BE32-E72D297353CC}">
              <c16:uniqueId val="{00000000-8F5B-4A7D-B337-283CE74EEBD2}"/>
            </c:ext>
          </c:extLst>
        </c:ser>
        <c:ser>
          <c:idx val="1"/>
          <c:order val="1"/>
          <c:tx>
            <c:strRef>
              <c:f>Scratch!$AB$151</c:f>
              <c:strCache>
                <c:ptCount val="1"/>
                <c:pt idx="0">
                  <c:v>2026p</c:v>
                </c:pt>
              </c:strCache>
            </c:strRef>
          </c:tx>
          <c:spPr>
            <a:solidFill>
              <a:schemeClr val="bg1">
                <a:lumMod val="50000"/>
              </a:schemeClr>
            </a:solidFill>
            <a:ln>
              <a:noFill/>
            </a:ln>
            <a:effectLst/>
          </c:spPr>
          <c:invertIfNegative val="0"/>
          <c:cat>
            <c:strRef>
              <c:f>Scratch!$Z$152:$Z$160</c:f>
              <c:strCache>
                <c:ptCount val="9"/>
                <c:pt idx="0">
                  <c:v>World </c:v>
                </c:pt>
                <c:pt idx="1">
                  <c:v>Advanced Economies </c:v>
                </c:pt>
                <c:pt idx="2">
                  <c:v>Emerging Markets </c:v>
                </c:pt>
                <c:pt idx="3">
                  <c:v>United States</c:v>
                </c:pt>
                <c:pt idx="4">
                  <c:v>Euro Area</c:v>
                </c:pt>
                <c:pt idx="5">
                  <c:v>United Kingdom</c:v>
                </c:pt>
                <c:pt idx="6">
                  <c:v>Japan</c:v>
                </c:pt>
                <c:pt idx="7">
                  <c:v>China</c:v>
                </c:pt>
                <c:pt idx="8">
                  <c:v>India</c:v>
                </c:pt>
              </c:strCache>
            </c:strRef>
          </c:cat>
          <c:val>
            <c:numRef>
              <c:f>Scratch!$AB$152:$AB$160</c:f>
              <c:numCache>
                <c:formatCode>0.00%</c:formatCode>
                <c:ptCount val="9"/>
                <c:pt idx="0">
                  <c:v>2.9000000000000001E-2</c:v>
                </c:pt>
                <c:pt idx="1">
                  <c:v>1.7999999999999999E-2</c:v>
                </c:pt>
                <c:pt idx="2">
                  <c:v>0.04</c:v>
                </c:pt>
                <c:pt idx="3">
                  <c:v>0.02</c:v>
                </c:pt>
                <c:pt idx="4">
                  <c:v>1.4E-2</c:v>
                </c:pt>
                <c:pt idx="5">
                  <c:v>1.0999999999999999E-2</c:v>
                </c:pt>
                <c:pt idx="6">
                  <c:v>6.0000000000000001E-3</c:v>
                </c:pt>
                <c:pt idx="7">
                  <c:v>4.2999999999999997E-2</c:v>
                </c:pt>
                <c:pt idx="8">
                  <c:v>6.2E-2</c:v>
                </c:pt>
              </c:numCache>
            </c:numRef>
          </c:val>
          <c:extLst>
            <c:ext xmlns:c16="http://schemas.microsoft.com/office/drawing/2014/chart" uri="{C3380CC4-5D6E-409C-BE32-E72D297353CC}">
              <c16:uniqueId val="{00000001-8F5B-4A7D-B337-283CE74EEBD2}"/>
            </c:ext>
          </c:extLst>
        </c:ser>
        <c:ser>
          <c:idx val="2"/>
          <c:order val="2"/>
          <c:tx>
            <c:strRef>
              <c:f>Scratch!$AC$151</c:f>
              <c:strCache>
                <c:ptCount val="1"/>
                <c:pt idx="0">
                  <c:v>2027–2029p</c:v>
                </c:pt>
              </c:strCache>
            </c:strRef>
          </c:tx>
          <c:spPr>
            <a:solidFill>
              <a:schemeClr val="bg1">
                <a:lumMod val="75000"/>
              </a:schemeClr>
            </a:solidFill>
            <a:ln>
              <a:noFill/>
            </a:ln>
            <a:effectLst/>
          </c:spPr>
          <c:invertIfNegative val="0"/>
          <c:cat>
            <c:strRef>
              <c:f>Scratch!$Z$152:$Z$160</c:f>
              <c:strCache>
                <c:ptCount val="9"/>
                <c:pt idx="0">
                  <c:v>World </c:v>
                </c:pt>
                <c:pt idx="1">
                  <c:v>Advanced Economies </c:v>
                </c:pt>
                <c:pt idx="2">
                  <c:v>Emerging Markets </c:v>
                </c:pt>
                <c:pt idx="3">
                  <c:v>United States</c:v>
                </c:pt>
                <c:pt idx="4">
                  <c:v>Euro Area</c:v>
                </c:pt>
                <c:pt idx="5">
                  <c:v>United Kingdom</c:v>
                </c:pt>
                <c:pt idx="6">
                  <c:v>Japan</c:v>
                </c:pt>
                <c:pt idx="7">
                  <c:v>China</c:v>
                </c:pt>
                <c:pt idx="8">
                  <c:v>India</c:v>
                </c:pt>
              </c:strCache>
            </c:strRef>
          </c:cat>
          <c:val>
            <c:numRef>
              <c:f>Scratch!$AC$152:$AC$160</c:f>
              <c:numCache>
                <c:formatCode>0.00%</c:formatCode>
                <c:ptCount val="9"/>
                <c:pt idx="0">
                  <c:v>0.03</c:v>
                </c:pt>
                <c:pt idx="1">
                  <c:v>2.3E-2</c:v>
                </c:pt>
                <c:pt idx="2">
                  <c:v>3.7999999999999999E-2</c:v>
                </c:pt>
                <c:pt idx="3">
                  <c:v>2.1999999999999999E-2</c:v>
                </c:pt>
                <c:pt idx="4">
                  <c:v>0.02</c:v>
                </c:pt>
                <c:pt idx="5">
                  <c:v>1.7999999999999999E-2</c:v>
                </c:pt>
                <c:pt idx="6">
                  <c:v>6.0000000000000001E-3</c:v>
                </c:pt>
                <c:pt idx="7">
                  <c:v>3.6999999999999998E-2</c:v>
                </c:pt>
                <c:pt idx="8">
                  <c:v>0.06</c:v>
                </c:pt>
              </c:numCache>
            </c:numRef>
          </c:val>
          <c:extLst>
            <c:ext xmlns:c16="http://schemas.microsoft.com/office/drawing/2014/chart" uri="{C3380CC4-5D6E-409C-BE32-E72D297353CC}">
              <c16:uniqueId val="{00000002-8F5B-4A7D-B337-283CE74EEBD2}"/>
            </c:ext>
          </c:extLst>
        </c:ser>
        <c:dLbls>
          <c:showLegendKey val="0"/>
          <c:showVal val="0"/>
          <c:showCatName val="0"/>
          <c:showSerName val="0"/>
          <c:showPercent val="0"/>
          <c:showBubbleSize val="0"/>
        </c:dLbls>
        <c:gapWidth val="182"/>
        <c:axId val="478427520"/>
        <c:axId val="478436160"/>
      </c:barChart>
      <c:catAx>
        <c:axId val="4784275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436160"/>
        <c:crosses val="autoZero"/>
        <c:auto val="1"/>
        <c:lblAlgn val="ctr"/>
        <c:lblOffset val="100"/>
        <c:noMultiLvlLbl val="0"/>
      </c:catAx>
      <c:valAx>
        <c:axId val="478436160"/>
        <c:scaling>
          <c:orientation val="minMax"/>
        </c:scaling>
        <c:delete val="0"/>
        <c:axPos val="t"/>
        <c:numFmt formatCode="0.0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427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Indian FMCG Market Size (USD billion)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Scratch!$AB$170</c:f>
              <c:strCache>
                <c:ptCount val="1"/>
                <c:pt idx="0">
                  <c:v>Market size (USD billion)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Scratch!$AA$171:$AA$180</c:f>
              <c:numCache>
                <c:formatCode>General</c:formatCode>
                <c:ptCount val="10"/>
                <c:pt idx="0">
                  <c:v>2024</c:v>
                </c:pt>
                <c:pt idx="1">
                  <c:v>2025</c:v>
                </c:pt>
                <c:pt idx="2">
                  <c:v>2026</c:v>
                </c:pt>
                <c:pt idx="3">
                  <c:v>2027</c:v>
                </c:pt>
                <c:pt idx="4">
                  <c:v>2028</c:v>
                </c:pt>
                <c:pt idx="5">
                  <c:v>2029</c:v>
                </c:pt>
                <c:pt idx="6">
                  <c:v>2030</c:v>
                </c:pt>
                <c:pt idx="7">
                  <c:v>2031</c:v>
                </c:pt>
                <c:pt idx="8">
                  <c:v>2032</c:v>
                </c:pt>
                <c:pt idx="9">
                  <c:v>2033</c:v>
                </c:pt>
              </c:numCache>
            </c:numRef>
          </c:cat>
          <c:val>
            <c:numRef>
              <c:f>Scratch!$AB$171:$AB$180</c:f>
              <c:numCache>
                <c:formatCode>0\ "B"</c:formatCode>
                <c:ptCount val="10"/>
                <c:pt idx="0" formatCode="General">
                  <c:v>245.39</c:v>
                </c:pt>
                <c:pt idx="1">
                  <c:v>287.92</c:v>
                </c:pt>
                <c:pt idx="2">
                  <c:v>337.81</c:v>
                </c:pt>
                <c:pt idx="3">
                  <c:v>396.35</c:v>
                </c:pt>
                <c:pt idx="4">
                  <c:v>465.04</c:v>
                </c:pt>
                <c:pt idx="5">
                  <c:v>545.63</c:v>
                </c:pt>
                <c:pt idx="6">
                  <c:v>640.19000000000005</c:v>
                </c:pt>
                <c:pt idx="7">
                  <c:v>751.14</c:v>
                </c:pt>
                <c:pt idx="8">
                  <c:v>881.31</c:v>
                </c:pt>
                <c:pt idx="9">
                  <c:v>1034.04</c:v>
                </c:pt>
              </c:numCache>
            </c:numRef>
          </c:val>
          <c:extLst>
            <c:ext xmlns:c16="http://schemas.microsoft.com/office/drawing/2014/chart" uri="{C3380CC4-5D6E-409C-BE32-E72D297353CC}">
              <c16:uniqueId val="{00000000-BD0F-45E3-8328-15AA0020F045}"/>
            </c:ext>
          </c:extLst>
        </c:ser>
        <c:dLbls>
          <c:dLblPos val="outEnd"/>
          <c:showLegendKey val="0"/>
          <c:showVal val="1"/>
          <c:showCatName val="0"/>
          <c:showSerName val="0"/>
          <c:showPercent val="0"/>
          <c:showBubbleSize val="0"/>
        </c:dLbls>
        <c:gapWidth val="219"/>
        <c:overlap val="-27"/>
        <c:axId val="1121331247"/>
        <c:axId val="1121334127"/>
      </c:barChart>
      <c:catAx>
        <c:axId val="112133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334127"/>
        <c:crosses val="autoZero"/>
        <c:auto val="1"/>
        <c:lblAlgn val="ctr"/>
        <c:lblOffset val="100"/>
        <c:noMultiLvlLbl val="0"/>
      </c:catAx>
      <c:valAx>
        <c:axId val="1121334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33124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9ACA3C"/>
                </a:solidFill>
              </a:rPr>
              <a:t>Urban vs Rural FMCG Share in India</a:t>
            </a:r>
            <a:endParaRPr lang="en-US" b="1">
              <a:solidFill>
                <a:srgbClr val="9ACA3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Scratch!$AB$188</c:f>
              <c:strCache>
                <c:ptCount val="1"/>
                <c:pt idx="0">
                  <c:v>FMCG Share</c:v>
                </c:pt>
              </c:strCache>
            </c:strRef>
          </c:tx>
          <c:dPt>
            <c:idx val="0"/>
            <c:bubble3D val="0"/>
            <c:spPr>
              <a:solidFill>
                <a:srgbClr val="0055A4"/>
              </a:solidFill>
              <a:ln w="19050">
                <a:solidFill>
                  <a:schemeClr val="lt1"/>
                </a:solidFill>
              </a:ln>
              <a:effectLst/>
            </c:spPr>
            <c:extLst>
              <c:ext xmlns:c16="http://schemas.microsoft.com/office/drawing/2014/chart" uri="{C3380CC4-5D6E-409C-BE32-E72D297353CC}">
                <c16:uniqueId val="{00000001-78A6-4275-97C0-754A6CC0E0BC}"/>
              </c:ext>
            </c:extLst>
          </c:dPt>
          <c:dPt>
            <c:idx val="1"/>
            <c:bubble3D val="0"/>
            <c:spPr>
              <a:solidFill>
                <a:srgbClr val="9ACA3C"/>
              </a:solidFill>
              <a:ln w="19050">
                <a:solidFill>
                  <a:schemeClr val="lt1"/>
                </a:solidFill>
              </a:ln>
              <a:effectLst/>
            </c:spPr>
            <c:extLst>
              <c:ext xmlns:c16="http://schemas.microsoft.com/office/drawing/2014/chart" uri="{C3380CC4-5D6E-409C-BE32-E72D297353CC}">
                <c16:uniqueId val="{00000002-78A6-4275-97C0-754A6CC0E0BC}"/>
              </c:ext>
            </c:extLst>
          </c:dPt>
          <c:dLbls>
            <c:dLbl>
              <c:idx val="0"/>
              <c:layout>
                <c:manualLayout>
                  <c:x val="6.1111111111111109E-2"/>
                  <c:y val="4.629629629629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A6-4275-97C0-754A6CC0E0BC}"/>
                </c:ext>
              </c:extLst>
            </c:dLbl>
            <c:dLbl>
              <c:idx val="1"/>
              <c:layout>
                <c:manualLayout>
                  <c:x val="-6.3888888888888884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A6-4275-97C0-754A6CC0E0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Scratch!$AA$189:$AA$190</c:f>
              <c:strCache>
                <c:ptCount val="2"/>
                <c:pt idx="0">
                  <c:v>Urban</c:v>
                </c:pt>
                <c:pt idx="1">
                  <c:v>Rural</c:v>
                </c:pt>
              </c:strCache>
            </c:strRef>
          </c:cat>
          <c:val>
            <c:numRef>
              <c:f>Scratch!$AB$189:$AB$190</c:f>
              <c:numCache>
                <c:formatCode>0%</c:formatCode>
                <c:ptCount val="2"/>
                <c:pt idx="0">
                  <c:v>0.55000000000000004</c:v>
                </c:pt>
                <c:pt idx="1">
                  <c:v>0.45</c:v>
                </c:pt>
              </c:numCache>
            </c:numRef>
          </c:val>
          <c:extLst>
            <c:ext xmlns:c16="http://schemas.microsoft.com/office/drawing/2014/chart" uri="{C3380CC4-5D6E-409C-BE32-E72D297353CC}">
              <c16:uniqueId val="{00000000-78A6-4275-97C0-754A6CC0E0B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9ACA3C"/>
                </a:solidFill>
              </a:rPr>
              <a:t>FMCG Sector Breakdown (India)</a:t>
            </a:r>
            <a:endParaRPr lang="en-US" b="1">
              <a:solidFill>
                <a:srgbClr val="9ACA3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0954823406795423"/>
          <c:y val="0.21893228753683766"/>
          <c:w val="0.3642327413092612"/>
          <c:h val="0.58542357254650579"/>
        </c:manualLayout>
      </c:layout>
      <c:doughnutChart>
        <c:varyColors val="1"/>
        <c:ser>
          <c:idx val="0"/>
          <c:order val="0"/>
          <c:tx>
            <c:strRef>
              <c:f>Scratch!$AB$205</c:f>
              <c:strCache>
                <c:ptCount val="1"/>
                <c:pt idx="0">
                  <c:v>Market Share</c:v>
                </c:pt>
              </c:strCache>
            </c:strRef>
          </c:tx>
          <c:dPt>
            <c:idx val="0"/>
            <c:bubble3D val="0"/>
            <c:spPr>
              <a:solidFill>
                <a:srgbClr val="0055A4"/>
              </a:solidFill>
              <a:ln w="19050">
                <a:solidFill>
                  <a:schemeClr val="lt1"/>
                </a:solidFill>
              </a:ln>
              <a:effectLst/>
            </c:spPr>
            <c:extLst>
              <c:ext xmlns:c16="http://schemas.microsoft.com/office/drawing/2014/chart" uri="{C3380CC4-5D6E-409C-BE32-E72D297353CC}">
                <c16:uniqueId val="{00000001-A002-4888-A85E-D8A6E81FD148}"/>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A002-4888-A85E-D8A6E81FD148}"/>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5-A002-4888-A85E-D8A6E81FD148}"/>
              </c:ext>
            </c:extLst>
          </c:dPt>
          <c:dPt>
            <c:idx val="3"/>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7-A002-4888-A85E-D8A6E81FD148}"/>
              </c:ext>
            </c:extLst>
          </c:dPt>
          <c:dLbls>
            <c:dLbl>
              <c:idx val="0"/>
              <c:layout>
                <c:manualLayout>
                  <c:x val="9.1688144795073381E-2"/>
                  <c:y val="9.82456090999202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02-4888-A85E-D8A6E81FD148}"/>
                </c:ext>
              </c:extLst>
            </c:dLbl>
            <c:dLbl>
              <c:idx val="1"/>
              <c:layout>
                <c:manualLayout>
                  <c:x val="-7.5017573014150948E-2"/>
                  <c:y val="8.93141900908367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02-4888-A85E-D8A6E81FD148}"/>
                </c:ext>
              </c:extLst>
            </c:dLbl>
            <c:dLbl>
              <c:idx val="2"/>
              <c:layout>
                <c:manualLayout>
                  <c:x val="-8.335285890461222E-2"/>
                  <c:y val="-6.69856425681275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02-4888-A85E-D8A6E81FD148}"/>
                </c:ext>
              </c:extLst>
            </c:dLbl>
            <c:dLbl>
              <c:idx val="3"/>
              <c:layout>
                <c:manualLayout>
                  <c:x val="7.5017573014150948E-2"/>
                  <c:y val="-7.14513520726693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02-4888-A85E-D8A6E81FD14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Scratch!$AA$206:$AA$209</c:f>
              <c:strCache>
                <c:ptCount val="4"/>
                <c:pt idx="0">
                  <c:v>Food &amp; Beverages</c:v>
                </c:pt>
                <c:pt idx="1">
                  <c:v>Personal Care </c:v>
                </c:pt>
                <c:pt idx="2">
                  <c:v>Home Care</c:v>
                </c:pt>
                <c:pt idx="3">
                  <c:v>Health care</c:v>
                </c:pt>
              </c:strCache>
            </c:strRef>
          </c:cat>
          <c:val>
            <c:numRef>
              <c:f>Scratch!$AB$206:$AB$209</c:f>
              <c:numCache>
                <c:formatCode>0%</c:formatCode>
                <c:ptCount val="4"/>
                <c:pt idx="0">
                  <c:v>0.55000000000000004</c:v>
                </c:pt>
                <c:pt idx="1">
                  <c:v>0.25</c:v>
                </c:pt>
                <c:pt idx="2">
                  <c:v>0.15</c:v>
                </c:pt>
                <c:pt idx="3">
                  <c:v>0.05</c:v>
                </c:pt>
              </c:numCache>
            </c:numRef>
          </c:val>
          <c:extLst>
            <c:ext xmlns:c16="http://schemas.microsoft.com/office/drawing/2014/chart" uri="{C3380CC4-5D6E-409C-BE32-E72D297353CC}">
              <c16:uniqueId val="{00000008-A002-4888-A85E-D8A6E81FD148}"/>
            </c:ext>
          </c:extLst>
        </c:ser>
        <c:dLbls>
          <c:showLegendKey val="0"/>
          <c:showVal val="1"/>
          <c:showCatName val="0"/>
          <c:showSerName val="0"/>
          <c:showPercent val="0"/>
          <c:showBubbleSize val="0"/>
          <c:showLeaderLines val="1"/>
        </c:dLbls>
        <c:firstSliceAng val="30"/>
        <c:holeSize val="75"/>
      </c:doughnutChart>
      <c:spPr>
        <a:noFill/>
        <a:ln>
          <a:noFill/>
        </a:ln>
        <a:effectLst/>
      </c:spPr>
    </c:plotArea>
    <c:legend>
      <c:legendPos val="b"/>
      <c:layout>
        <c:manualLayout>
          <c:xMode val="edge"/>
          <c:yMode val="edge"/>
          <c:x val="9.8377594576507313E-2"/>
          <c:y val="0.87551782011489176"/>
          <c:w val="0.80880144933338483"/>
          <c:h val="9.768792285785714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0" baseline="0">
              <a:solidFill>
                <a:srgbClr val="9ACA3C"/>
              </a:solidFill>
              <a:latin typeface="+mn-lt"/>
              <a:ea typeface="+mn-ea"/>
              <a:cs typeface="+mn-cs"/>
            </a:defRPr>
          </a:pPr>
          <a:endParaRPr lang="en-US"/>
        </a:p>
      </c:txPr>
    </c:title>
    <c:autoTitleDeleted val="0"/>
    <c:plotArea>
      <c:layout/>
      <c:barChart>
        <c:barDir val="col"/>
        <c:grouping val="clustered"/>
        <c:varyColors val="0"/>
        <c:ser>
          <c:idx val="0"/>
          <c:order val="0"/>
          <c:tx>
            <c:strRef>
              <c:f>Scratch!$AF$252:$AF$253</c:f>
              <c:strCache>
                <c:ptCount val="2"/>
              </c:strCache>
            </c:strRef>
          </c:tx>
          <c:spPr>
            <a:solidFill>
              <a:srgbClr val="66B2FF"/>
            </a:solidFill>
            <a:ln>
              <a:noFill/>
            </a:ln>
            <a:effectLst/>
          </c:spPr>
          <c:invertIfNegative val="0"/>
          <c:dPt>
            <c:idx val="0"/>
            <c:invertIfNegative val="0"/>
            <c:bubble3D val="0"/>
            <c:spPr>
              <a:solidFill>
                <a:srgbClr val="4D8FD4"/>
              </a:solidFill>
              <a:ln>
                <a:noFill/>
              </a:ln>
              <a:effectLst/>
            </c:spPr>
            <c:extLst>
              <c:ext xmlns:c16="http://schemas.microsoft.com/office/drawing/2014/chart" uri="{C3380CC4-5D6E-409C-BE32-E72D297353CC}">
                <c16:uniqueId val="{00000003-1586-48D8-90A5-0839229DC693}"/>
              </c:ext>
            </c:extLst>
          </c:dPt>
          <c:dPt>
            <c:idx val="1"/>
            <c:invertIfNegative val="0"/>
            <c:bubble3D val="0"/>
            <c:spPr>
              <a:solidFill>
                <a:srgbClr val="4D8FD4"/>
              </a:solidFill>
              <a:ln>
                <a:noFill/>
              </a:ln>
              <a:effectLst/>
            </c:spPr>
            <c:extLst>
              <c:ext xmlns:c16="http://schemas.microsoft.com/office/drawing/2014/chart" uri="{C3380CC4-5D6E-409C-BE32-E72D297353CC}">
                <c16:uniqueId val="{0000000C-1586-48D8-90A5-0839229DC693}"/>
              </c:ext>
            </c:extLst>
          </c:dPt>
          <c:dPt>
            <c:idx val="2"/>
            <c:invertIfNegative val="0"/>
            <c:bubble3D val="0"/>
            <c:spPr>
              <a:solidFill>
                <a:srgbClr val="4D8FD4"/>
              </a:solidFill>
              <a:ln>
                <a:noFill/>
              </a:ln>
              <a:effectLst/>
            </c:spPr>
            <c:extLst>
              <c:ext xmlns:c16="http://schemas.microsoft.com/office/drawing/2014/chart" uri="{C3380CC4-5D6E-409C-BE32-E72D297353CC}">
                <c16:uniqueId val="{0000000B-1586-48D8-90A5-0839229DC693}"/>
              </c:ext>
            </c:extLst>
          </c:dPt>
          <c:dPt>
            <c:idx val="3"/>
            <c:invertIfNegative val="0"/>
            <c:bubble3D val="0"/>
            <c:spPr>
              <a:solidFill>
                <a:srgbClr val="4D8FD4"/>
              </a:solidFill>
              <a:ln>
                <a:noFill/>
              </a:ln>
              <a:effectLst/>
            </c:spPr>
            <c:extLst>
              <c:ext xmlns:c16="http://schemas.microsoft.com/office/drawing/2014/chart" uri="{C3380CC4-5D6E-409C-BE32-E72D297353CC}">
                <c16:uniqueId val="{0000000A-1586-48D8-90A5-0839229DC693}"/>
              </c:ext>
            </c:extLst>
          </c:dPt>
          <c:dPt>
            <c:idx val="4"/>
            <c:invertIfNegative val="0"/>
            <c:bubble3D val="0"/>
            <c:spPr>
              <a:solidFill>
                <a:srgbClr val="4D8FD4"/>
              </a:solidFill>
              <a:ln>
                <a:noFill/>
              </a:ln>
              <a:effectLst/>
            </c:spPr>
            <c:extLst>
              <c:ext xmlns:c16="http://schemas.microsoft.com/office/drawing/2014/chart" uri="{C3380CC4-5D6E-409C-BE32-E72D297353CC}">
                <c16:uniqueId val="{00000009-1586-48D8-90A5-0839229DC693}"/>
              </c:ext>
            </c:extLst>
          </c:dPt>
          <c:dPt>
            <c:idx val="5"/>
            <c:invertIfNegative val="0"/>
            <c:bubble3D val="0"/>
            <c:spPr>
              <a:solidFill>
                <a:srgbClr val="4D8FD4"/>
              </a:solidFill>
              <a:ln>
                <a:noFill/>
              </a:ln>
              <a:effectLst/>
            </c:spPr>
            <c:extLst>
              <c:ext xmlns:c16="http://schemas.microsoft.com/office/drawing/2014/chart" uri="{C3380CC4-5D6E-409C-BE32-E72D297353CC}">
                <c16:uniqueId val="{00000008-1586-48D8-90A5-0839229DC693}"/>
              </c:ext>
            </c:extLst>
          </c:dPt>
          <c:dPt>
            <c:idx val="6"/>
            <c:invertIfNegative val="0"/>
            <c:bubble3D val="0"/>
            <c:spPr>
              <a:solidFill>
                <a:srgbClr val="0055A4">
                  <a:alpha val="68000"/>
                </a:srgbClr>
              </a:solidFill>
              <a:ln>
                <a:noFill/>
              </a:ln>
              <a:effectLst/>
            </c:spPr>
            <c:extLst>
              <c:ext xmlns:c16="http://schemas.microsoft.com/office/drawing/2014/chart" uri="{C3380CC4-5D6E-409C-BE32-E72D297353CC}">
                <c16:uniqueId val="{00000004-1586-48D8-90A5-0839229DC693}"/>
              </c:ext>
            </c:extLst>
          </c:dPt>
          <c:dPt>
            <c:idx val="7"/>
            <c:invertIfNegative val="0"/>
            <c:bubble3D val="0"/>
            <c:spPr>
              <a:solidFill>
                <a:srgbClr val="0055A4"/>
              </a:solidFill>
              <a:ln>
                <a:noFill/>
              </a:ln>
              <a:effectLst/>
            </c:spPr>
            <c:extLst>
              <c:ext xmlns:c16="http://schemas.microsoft.com/office/drawing/2014/chart" uri="{C3380CC4-5D6E-409C-BE32-E72D297353CC}">
                <c16:uniqueId val="{00000005-1586-48D8-90A5-0839229DC693}"/>
              </c:ext>
            </c:extLst>
          </c:dPt>
          <c:dPt>
            <c:idx val="8"/>
            <c:invertIfNegative val="0"/>
            <c:bubble3D val="0"/>
            <c:spPr>
              <a:solidFill>
                <a:srgbClr val="0055A4"/>
              </a:solidFill>
              <a:ln>
                <a:noFill/>
              </a:ln>
              <a:effectLst/>
            </c:spPr>
            <c:extLst>
              <c:ext xmlns:c16="http://schemas.microsoft.com/office/drawing/2014/chart" uri="{C3380CC4-5D6E-409C-BE32-E72D297353CC}">
                <c16:uniqueId val="{00000006-1586-48D8-90A5-0839229DC693}"/>
              </c:ext>
            </c:extLst>
          </c:dPt>
          <c:dPt>
            <c:idx val="9"/>
            <c:invertIfNegative val="0"/>
            <c:bubble3D val="0"/>
            <c:spPr>
              <a:solidFill>
                <a:srgbClr val="0055A4"/>
              </a:solidFill>
              <a:ln>
                <a:noFill/>
              </a:ln>
              <a:effectLst/>
            </c:spPr>
            <c:extLst>
              <c:ext xmlns:c16="http://schemas.microsoft.com/office/drawing/2014/chart" uri="{C3380CC4-5D6E-409C-BE32-E72D297353CC}">
                <c16:uniqueId val="{00000007-1586-48D8-90A5-0839229DC693}"/>
              </c:ext>
            </c:extLst>
          </c:dPt>
          <c:dPt>
            <c:idx val="10"/>
            <c:invertIfNegative val="0"/>
            <c:bubble3D val="0"/>
            <c:spPr>
              <a:solidFill>
                <a:srgbClr val="0055A4"/>
              </a:solidFill>
              <a:ln>
                <a:noFill/>
              </a:ln>
              <a:effectLst/>
            </c:spPr>
            <c:extLst>
              <c:ext xmlns:c16="http://schemas.microsoft.com/office/drawing/2014/chart" uri="{C3380CC4-5D6E-409C-BE32-E72D297353CC}">
                <c16:uniqueId val="{00000002-1586-48D8-90A5-0839229DC69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Scratch!$AA$218:$AA$228</c:f>
              <c:numCache>
                <c:formatCode>General</c:formatCode>
                <c:ptCount val="11"/>
                <c:pt idx="0">
                  <c:v>2019</c:v>
                </c:pt>
                <c:pt idx="1">
                  <c:v>2020</c:v>
                </c:pt>
                <c:pt idx="2">
                  <c:v>2021</c:v>
                </c:pt>
                <c:pt idx="3">
                  <c:v>2022</c:v>
                </c:pt>
                <c:pt idx="4">
                  <c:v>2023</c:v>
                </c:pt>
                <c:pt idx="5">
                  <c:v>2024</c:v>
                </c:pt>
                <c:pt idx="6" formatCode="0&quot;F&quot;">
                  <c:v>2025</c:v>
                </c:pt>
                <c:pt idx="7" formatCode="0&quot;F&quot;">
                  <c:v>2026</c:v>
                </c:pt>
                <c:pt idx="8" formatCode="0&quot;F&quot;">
                  <c:v>2027</c:v>
                </c:pt>
                <c:pt idx="9" formatCode="0&quot;F&quot;">
                  <c:v>2028</c:v>
                </c:pt>
                <c:pt idx="10" formatCode="0&quot;F&quot;">
                  <c:v>2029</c:v>
                </c:pt>
              </c:numCache>
            </c:numRef>
          </c:cat>
          <c:val>
            <c:numRef>
              <c:f>Scratch!$AB$218:$AB$228</c:f>
              <c:numCache>
                <c:formatCode>General</c:formatCode>
                <c:ptCount val="11"/>
                <c:pt idx="0">
                  <c:v>2.11</c:v>
                </c:pt>
                <c:pt idx="1">
                  <c:v>1.93</c:v>
                </c:pt>
                <c:pt idx="2">
                  <c:v>2.2799999999999998</c:v>
                </c:pt>
                <c:pt idx="3">
                  <c:v>2.41</c:v>
                </c:pt>
                <c:pt idx="4">
                  <c:v>2.54</c:v>
                </c:pt>
                <c:pt idx="5">
                  <c:v>2.77</c:v>
                </c:pt>
                <c:pt idx="6">
                  <c:v>3.03</c:v>
                </c:pt>
                <c:pt idx="7">
                  <c:v>3.32</c:v>
                </c:pt>
                <c:pt idx="8">
                  <c:v>3.64</c:v>
                </c:pt>
                <c:pt idx="9">
                  <c:v>4.08</c:v>
                </c:pt>
                <c:pt idx="10">
                  <c:v>4.3899999999999997</c:v>
                </c:pt>
              </c:numCache>
            </c:numRef>
          </c:val>
          <c:extLst>
            <c:ext xmlns:c16="http://schemas.microsoft.com/office/drawing/2014/chart" uri="{C3380CC4-5D6E-409C-BE32-E72D297353CC}">
              <c16:uniqueId val="{00000000-1586-48D8-90A5-0839229DC693}"/>
            </c:ext>
          </c:extLst>
        </c:ser>
        <c:dLbls>
          <c:dLblPos val="outEnd"/>
          <c:showLegendKey val="0"/>
          <c:showVal val="1"/>
          <c:showCatName val="0"/>
          <c:showSerName val="0"/>
          <c:showPercent val="0"/>
          <c:showBubbleSize val="0"/>
        </c:dLbls>
        <c:gapWidth val="219"/>
        <c:overlap val="-27"/>
        <c:axId val="1652599423"/>
        <c:axId val="1652605663"/>
        <c:extLst>
          <c:ext xmlns:c15="http://schemas.microsoft.com/office/drawing/2012/chart" uri="{02D57815-91ED-43cb-92C2-25804820EDAC}">
            <c15:filteredBarSeries>
              <c15:ser>
                <c:idx val="1"/>
                <c:order val="1"/>
                <c:tx>
                  <c:strRef>
                    <c:extLst>
                      <c:ext uri="{02D57815-91ED-43cb-92C2-25804820EDAC}">
                        <c15:formulaRef>
                          <c15:sqref>Scratch!$AG$252:$AG$253</c15:sqref>
                        </c15:formulaRef>
                      </c:ext>
                    </c:extLst>
                    <c:strCache>
                      <c:ptCount val="2"/>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Scratch!$AA$218:$AA$228</c15:sqref>
                        </c15:formulaRef>
                      </c:ext>
                    </c:extLst>
                    <c:numCache>
                      <c:formatCode>General</c:formatCode>
                      <c:ptCount val="11"/>
                      <c:pt idx="0">
                        <c:v>2019</c:v>
                      </c:pt>
                      <c:pt idx="1">
                        <c:v>2020</c:v>
                      </c:pt>
                      <c:pt idx="2">
                        <c:v>2021</c:v>
                      </c:pt>
                      <c:pt idx="3">
                        <c:v>2022</c:v>
                      </c:pt>
                      <c:pt idx="4">
                        <c:v>2023</c:v>
                      </c:pt>
                      <c:pt idx="5">
                        <c:v>2024</c:v>
                      </c:pt>
                      <c:pt idx="6" formatCode="0&quot;F&quot;">
                        <c:v>2025</c:v>
                      </c:pt>
                      <c:pt idx="7" formatCode="0&quot;F&quot;">
                        <c:v>2026</c:v>
                      </c:pt>
                      <c:pt idx="8" formatCode="0&quot;F&quot;">
                        <c:v>2027</c:v>
                      </c:pt>
                      <c:pt idx="9" formatCode="0&quot;F&quot;">
                        <c:v>2028</c:v>
                      </c:pt>
                      <c:pt idx="10" formatCode="0&quot;F&quot;">
                        <c:v>2029</c:v>
                      </c:pt>
                    </c:numCache>
                  </c:numRef>
                </c:cat>
                <c:val>
                  <c:numRef>
                    <c:extLst>
                      <c:ext uri="{02D57815-91ED-43cb-92C2-25804820EDAC}">
                        <c15:formulaRef>
                          <c15:sqref>Scratch!$AG$254:$AG$264</c15:sqref>
                        </c15:formulaRef>
                      </c:ext>
                    </c:extLst>
                    <c:numCache>
                      <c:formatCode>General</c:formatCode>
                      <c:ptCount val="11"/>
                    </c:numCache>
                  </c:numRef>
                </c:val>
                <c:extLst>
                  <c:ext xmlns:c16="http://schemas.microsoft.com/office/drawing/2014/chart" uri="{C3380CC4-5D6E-409C-BE32-E72D297353CC}">
                    <c16:uniqueId val="{00000001-1586-48D8-90A5-0839229DC693}"/>
                  </c:ext>
                </c:extLst>
              </c15:ser>
            </c15:filteredBarSeries>
          </c:ext>
        </c:extLst>
      </c:barChart>
      <c:catAx>
        <c:axId val="165259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52605663"/>
        <c:crosses val="autoZero"/>
        <c:auto val="1"/>
        <c:lblAlgn val="ctr"/>
        <c:lblOffset val="100"/>
        <c:noMultiLvlLbl val="0"/>
      </c:catAx>
      <c:valAx>
        <c:axId val="1652605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52599423"/>
        <c:crosses val="autoZero"/>
        <c:crossBetween val="between"/>
        <c:majorUnit val="1"/>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331172353455818"/>
          <c:y val="0.22004447360746568"/>
          <c:w val="0.34487685914260718"/>
          <c:h val="0.57479476523767858"/>
        </c:manualLayout>
      </c:layout>
      <c:doughnutChart>
        <c:varyColors val="1"/>
        <c:ser>
          <c:idx val="0"/>
          <c:order val="0"/>
          <c:tx>
            <c:strRef>
              <c:f>Scratch!$AA$110</c:f>
              <c:strCache>
                <c:ptCount val="1"/>
                <c:pt idx="0">
                  <c:v>Revenue Contribution</c:v>
                </c:pt>
              </c:strCache>
            </c:strRef>
          </c:tx>
          <c:dPt>
            <c:idx val="0"/>
            <c:bubble3D val="0"/>
            <c:spPr>
              <a:solidFill>
                <a:srgbClr val="005EB8"/>
              </a:solidFill>
              <a:ln w="19050">
                <a:solidFill>
                  <a:schemeClr val="lt1"/>
                </a:solidFill>
              </a:ln>
              <a:effectLst/>
            </c:spPr>
            <c:extLst>
              <c:ext xmlns:c16="http://schemas.microsoft.com/office/drawing/2014/chart" uri="{C3380CC4-5D6E-409C-BE32-E72D297353CC}">
                <c16:uniqueId val="{00000001-BC4D-4C38-9C20-19D95CE9EFA6}"/>
              </c:ext>
            </c:extLst>
          </c:dPt>
          <c:dPt>
            <c:idx val="1"/>
            <c:bubble3D val="0"/>
            <c:spPr>
              <a:solidFill>
                <a:srgbClr val="9ACA3C">
                  <a:alpha val="50000"/>
                </a:srgbClr>
              </a:solidFill>
              <a:ln w="19050">
                <a:solidFill>
                  <a:schemeClr val="lt1"/>
                </a:solidFill>
              </a:ln>
              <a:effectLst/>
            </c:spPr>
            <c:extLst>
              <c:ext xmlns:c16="http://schemas.microsoft.com/office/drawing/2014/chart" uri="{C3380CC4-5D6E-409C-BE32-E72D297353CC}">
                <c16:uniqueId val="{00000006-BC4D-4C38-9C20-19D95CE9EFA6}"/>
              </c:ext>
            </c:extLst>
          </c:dPt>
          <c:dPt>
            <c:idx val="2"/>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5-BC4D-4C38-9C20-19D95CE9EFA6}"/>
              </c:ext>
            </c:extLst>
          </c:dPt>
          <c:dPt>
            <c:idx val="3"/>
            <c:bubble3D val="0"/>
            <c:spPr>
              <a:solidFill>
                <a:srgbClr val="9ACA3C"/>
              </a:solidFill>
              <a:ln w="19050">
                <a:solidFill>
                  <a:schemeClr val="lt1"/>
                </a:solidFill>
              </a:ln>
              <a:effectLst/>
            </c:spPr>
            <c:extLst>
              <c:ext xmlns:c16="http://schemas.microsoft.com/office/drawing/2014/chart" uri="{C3380CC4-5D6E-409C-BE32-E72D297353CC}">
                <c16:uniqueId val="{00000004-BC4D-4C38-9C20-19D95CE9EFA6}"/>
              </c:ext>
            </c:extLst>
          </c:dPt>
          <c:dPt>
            <c:idx val="4"/>
            <c:bubble3D val="0"/>
            <c:spPr>
              <a:solidFill>
                <a:srgbClr val="66B2FF"/>
              </a:solidFill>
              <a:ln w="19050">
                <a:solidFill>
                  <a:schemeClr val="lt1"/>
                </a:solidFill>
              </a:ln>
              <a:effectLst/>
            </c:spPr>
            <c:extLst>
              <c:ext xmlns:c16="http://schemas.microsoft.com/office/drawing/2014/chart" uri="{C3380CC4-5D6E-409C-BE32-E72D297353CC}">
                <c16:uniqueId val="{00000002-BC4D-4C38-9C20-19D95CE9EFA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3-BC4D-4C38-9C20-19D95CE9EFA6}"/>
              </c:ext>
            </c:extLst>
          </c:dPt>
          <c:dLbls>
            <c:dLbl>
              <c:idx val="0"/>
              <c:layout>
                <c:manualLayout>
                  <c:x val="8.8888888888888781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4D-4C38-9C20-19D95CE9EFA6}"/>
                </c:ext>
              </c:extLst>
            </c:dLbl>
            <c:dLbl>
              <c:idx val="1"/>
              <c:layout>
                <c:manualLayout>
                  <c:x val="8.3333333333333329E-2"/>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C4D-4C38-9C20-19D95CE9EFA6}"/>
                </c:ext>
              </c:extLst>
            </c:dLbl>
            <c:dLbl>
              <c:idx val="2"/>
              <c:layout>
                <c:manualLayout>
                  <c:x val="-6.6666666666666666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4D-4C38-9C20-19D95CE9EFA6}"/>
                </c:ext>
              </c:extLst>
            </c:dLbl>
            <c:dLbl>
              <c:idx val="3"/>
              <c:layout>
                <c:manualLayout>
                  <c:x val="-9.4444444444444414E-2"/>
                  <c:y val="5.55555555555554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C4D-4C38-9C20-19D95CE9EFA6}"/>
                </c:ext>
              </c:extLst>
            </c:dLbl>
            <c:dLbl>
              <c:idx val="4"/>
              <c:layout>
                <c:manualLayout>
                  <c:x val="-5.2777777777777778E-2"/>
                  <c:y val="-7.870370370370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4D-4C38-9C20-19D95CE9EFA6}"/>
                </c:ext>
              </c:extLst>
            </c:dLbl>
            <c:dLbl>
              <c:idx val="5"/>
              <c:layout>
                <c:manualLayout>
                  <c:x val="-5.5555555555555558E-3"/>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4D-4C38-9C20-19D95CE9EF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Scratch!$Z$111:$Z$116</c:f>
              <c:strCache>
                <c:ptCount val="6"/>
                <c:pt idx="0">
                  <c:v>Coconut oil</c:v>
                </c:pt>
                <c:pt idx="1">
                  <c:v>Edible oils</c:v>
                </c:pt>
                <c:pt idx="2">
                  <c:v>Food</c:v>
                </c:pt>
                <c:pt idx="3">
                  <c:v>Hair oils</c:v>
                </c:pt>
                <c:pt idx="4">
                  <c:v>Personal care</c:v>
                </c:pt>
                <c:pt idx="5">
                  <c:v>Other</c:v>
                </c:pt>
              </c:strCache>
            </c:strRef>
          </c:cat>
          <c:val>
            <c:numRef>
              <c:f>Scratch!$AA$111:$AA$116</c:f>
              <c:numCache>
                <c:formatCode>0.00%</c:formatCode>
                <c:ptCount val="6"/>
                <c:pt idx="0">
                  <c:v>0.38</c:v>
                </c:pt>
                <c:pt idx="1">
                  <c:v>0.2</c:v>
                </c:pt>
                <c:pt idx="2">
                  <c:v>0.12</c:v>
                </c:pt>
                <c:pt idx="3">
                  <c:v>0.17</c:v>
                </c:pt>
                <c:pt idx="4">
                  <c:v>0.11</c:v>
                </c:pt>
                <c:pt idx="5">
                  <c:v>0.02</c:v>
                </c:pt>
              </c:numCache>
            </c:numRef>
          </c:val>
          <c:extLst>
            <c:ext xmlns:c16="http://schemas.microsoft.com/office/drawing/2014/chart" uri="{C3380CC4-5D6E-409C-BE32-E72D297353CC}">
              <c16:uniqueId val="{00000000-BC4D-4C38-9C20-19D95CE9EFA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9ACA3C"/>
                </a:solidFill>
              </a:rPr>
              <a:t>Revenue</a:t>
            </a:r>
            <a:r>
              <a:rPr lang="en-IN" sz="1600" b="1" baseline="0">
                <a:solidFill>
                  <a:srgbClr val="9ACA3C"/>
                </a:solidFill>
              </a:rPr>
              <a:t> Growth</a:t>
            </a:r>
            <a:endParaRPr lang="en-IN" sz="1600" b="1">
              <a:solidFill>
                <a:srgbClr val="9ACA3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v>Revenue</c:v>
          </c:tx>
          <c:spPr>
            <a:solidFill>
              <a:srgbClr val="0055A4"/>
            </a:solidFill>
            <a:ln>
              <a:noFill/>
            </a:ln>
            <a:effectLst/>
          </c:spPr>
          <c:invertIfNegative val="0"/>
          <c:dPt>
            <c:idx val="1"/>
            <c:invertIfNegative val="0"/>
            <c:bubble3D val="0"/>
            <c:spPr>
              <a:solidFill>
                <a:srgbClr val="0055A4">
                  <a:alpha val="55000"/>
                </a:srgbClr>
              </a:solidFill>
              <a:ln>
                <a:noFill/>
              </a:ln>
              <a:effectLst/>
            </c:spPr>
            <c:extLst>
              <c:ext xmlns:c16="http://schemas.microsoft.com/office/drawing/2014/chart" uri="{C3380CC4-5D6E-409C-BE32-E72D297353CC}">
                <c16:uniqueId val="{00000004-00C3-409C-A6FA-8D4B4AF85932}"/>
              </c:ext>
            </c:extLst>
          </c:dPt>
          <c:dPt>
            <c:idx val="2"/>
            <c:invertIfNegative val="0"/>
            <c:bubble3D val="0"/>
            <c:spPr>
              <a:solidFill>
                <a:srgbClr val="0055A4">
                  <a:alpha val="55000"/>
                </a:srgbClr>
              </a:solidFill>
              <a:ln>
                <a:noFill/>
              </a:ln>
              <a:effectLst/>
            </c:spPr>
            <c:extLst>
              <c:ext xmlns:c16="http://schemas.microsoft.com/office/drawing/2014/chart" uri="{C3380CC4-5D6E-409C-BE32-E72D297353CC}">
                <c16:uniqueId val="{00000003-00C3-409C-A6FA-8D4B4AF85932}"/>
              </c:ext>
            </c:extLst>
          </c:dPt>
          <c:dPt>
            <c:idx val="3"/>
            <c:invertIfNegative val="0"/>
            <c:bubble3D val="0"/>
            <c:spPr>
              <a:solidFill>
                <a:srgbClr val="0055A4">
                  <a:alpha val="55000"/>
                </a:srgbClr>
              </a:solidFill>
              <a:ln>
                <a:noFill/>
              </a:ln>
              <a:effectLst/>
            </c:spPr>
            <c:extLst>
              <c:ext xmlns:c16="http://schemas.microsoft.com/office/drawing/2014/chart" uri="{C3380CC4-5D6E-409C-BE32-E72D297353CC}">
                <c16:uniqueId val="{00000002-00C3-409C-A6FA-8D4B4AF85932}"/>
              </c:ext>
            </c:extLst>
          </c:dPt>
          <c:dPt>
            <c:idx val="4"/>
            <c:invertIfNegative val="0"/>
            <c:bubble3D val="0"/>
            <c:spPr>
              <a:solidFill>
                <a:srgbClr val="0055A4">
                  <a:alpha val="55000"/>
                </a:srgbClr>
              </a:solidFill>
              <a:ln>
                <a:noFill/>
              </a:ln>
              <a:effectLst/>
            </c:spPr>
            <c:extLst>
              <c:ext xmlns:c16="http://schemas.microsoft.com/office/drawing/2014/chart" uri="{C3380CC4-5D6E-409C-BE32-E72D297353CC}">
                <c16:uniqueId val="{00000001-00C3-409C-A6FA-8D4B4AF85932}"/>
              </c:ext>
            </c:extLst>
          </c:dPt>
          <c:dPt>
            <c:idx val="5"/>
            <c:invertIfNegative val="0"/>
            <c:bubble3D val="0"/>
            <c:spPr>
              <a:solidFill>
                <a:srgbClr val="0055A4">
                  <a:alpha val="55000"/>
                </a:srgbClr>
              </a:solidFill>
              <a:ln>
                <a:noFill/>
              </a:ln>
              <a:effectLst/>
            </c:spPr>
            <c:extLst>
              <c:ext xmlns:c16="http://schemas.microsoft.com/office/drawing/2014/chart" uri="{C3380CC4-5D6E-409C-BE32-E72D297353CC}">
                <c16:uniqueId val="{00000000-00C3-409C-A6FA-8D4B4AF85932}"/>
              </c:ext>
            </c:extLst>
          </c:dPt>
          <c:dPt>
            <c:idx val="6"/>
            <c:invertIfNegative val="0"/>
            <c:bubble3D val="0"/>
            <c:spPr>
              <a:solidFill>
                <a:srgbClr val="0055A4">
                  <a:alpha val="55000"/>
                </a:srgbClr>
              </a:solidFill>
              <a:ln>
                <a:noFill/>
              </a:ln>
              <a:effectLst/>
            </c:spPr>
            <c:extLst>
              <c:ext xmlns:c16="http://schemas.microsoft.com/office/drawing/2014/chart" uri="{C3380CC4-5D6E-409C-BE32-E72D297353CC}">
                <c16:uniqueId val="{0000000B-7E2B-4860-A384-1AF92C9F019B}"/>
              </c:ext>
            </c:extLst>
          </c:dPt>
          <c:cat>
            <c:numRef>
              <c:f>Scratch!$AD$272:$AO$272</c:f>
              <c:numCache>
                <c:formatCode>0"A"</c:formatCode>
                <c:ptCount val="12"/>
                <c:pt idx="1">
                  <c:v>2020</c:v>
                </c:pt>
                <c:pt idx="2">
                  <c:v>2021</c:v>
                </c:pt>
                <c:pt idx="3">
                  <c:v>2022</c:v>
                </c:pt>
                <c:pt idx="4">
                  <c:v>2023</c:v>
                </c:pt>
                <c:pt idx="5">
                  <c:v>2024</c:v>
                </c:pt>
                <c:pt idx="6">
                  <c:v>2025</c:v>
                </c:pt>
                <c:pt idx="7" formatCode="0&quot;F&quot;">
                  <c:v>2026</c:v>
                </c:pt>
                <c:pt idx="8" formatCode="0&quot;F&quot;">
                  <c:v>2027</c:v>
                </c:pt>
                <c:pt idx="9" formatCode="0&quot;F&quot;">
                  <c:v>2028</c:v>
                </c:pt>
                <c:pt idx="10" formatCode="0&quot;F&quot;">
                  <c:v>2029</c:v>
                </c:pt>
                <c:pt idx="11" formatCode="0&quot;F&quot;">
                  <c:v>2030</c:v>
                </c:pt>
              </c:numCache>
            </c:numRef>
          </c:cat>
          <c:val>
            <c:numRef>
              <c:f>Scratch!$AD$273:$AO$273</c:f>
              <c:numCache>
                <c:formatCode>0</c:formatCode>
                <c:ptCount val="12"/>
                <c:pt idx="0" formatCode="General">
                  <c:v>0</c:v>
                </c:pt>
                <c:pt idx="1">
                  <c:v>7315</c:v>
                </c:pt>
                <c:pt idx="2">
                  <c:v>8048</c:v>
                </c:pt>
                <c:pt idx="3">
                  <c:v>9512</c:v>
                </c:pt>
                <c:pt idx="4">
                  <c:v>9764</c:v>
                </c:pt>
                <c:pt idx="5">
                  <c:v>9653</c:v>
                </c:pt>
                <c:pt idx="6">
                  <c:v>10831</c:v>
                </c:pt>
                <c:pt idx="7">
                  <c:v>12347.340000000002</c:v>
                </c:pt>
                <c:pt idx="8">
                  <c:v>14014.230900000002</c:v>
                </c:pt>
                <c:pt idx="9">
                  <c:v>15836.080917000001</c:v>
                </c:pt>
                <c:pt idx="10">
                  <c:v>17815.591031625001</c:v>
                </c:pt>
                <c:pt idx="11">
                  <c:v>19953.461955420004</c:v>
                </c:pt>
              </c:numCache>
            </c:numRef>
          </c:val>
          <c:extLst>
            <c:ext xmlns:c16="http://schemas.microsoft.com/office/drawing/2014/chart" uri="{C3380CC4-5D6E-409C-BE32-E72D297353CC}">
              <c16:uniqueId val="{00000000-C753-418B-B8F5-7A22CB819367}"/>
            </c:ext>
          </c:extLst>
        </c:ser>
        <c:dLbls>
          <c:showLegendKey val="0"/>
          <c:showVal val="0"/>
          <c:showCatName val="0"/>
          <c:showSerName val="0"/>
          <c:showPercent val="0"/>
          <c:showBubbleSize val="0"/>
        </c:dLbls>
        <c:gapWidth val="219"/>
        <c:overlap val="-27"/>
        <c:axId val="316257663"/>
        <c:axId val="316256223"/>
      </c:barChart>
      <c:lineChart>
        <c:grouping val="standard"/>
        <c:varyColors val="0"/>
        <c:ser>
          <c:idx val="1"/>
          <c:order val="1"/>
          <c:tx>
            <c:v>Growth YoY%</c:v>
          </c:tx>
          <c:spPr>
            <a:ln w="31750" cap="rnd">
              <a:solidFill>
                <a:srgbClr val="9ACA3C"/>
              </a:solidFill>
              <a:round/>
            </a:ln>
            <a:effectLst/>
          </c:spPr>
          <c:marker>
            <c:symbol val="none"/>
          </c:marker>
          <c:cat>
            <c:numRef>
              <c:f>Scratch!$AD$272:$AO$272</c:f>
              <c:numCache>
                <c:formatCode>0"A"</c:formatCode>
                <c:ptCount val="12"/>
                <c:pt idx="1">
                  <c:v>2020</c:v>
                </c:pt>
                <c:pt idx="2">
                  <c:v>2021</c:v>
                </c:pt>
                <c:pt idx="3">
                  <c:v>2022</c:v>
                </c:pt>
                <c:pt idx="4">
                  <c:v>2023</c:v>
                </c:pt>
                <c:pt idx="5">
                  <c:v>2024</c:v>
                </c:pt>
                <c:pt idx="6">
                  <c:v>2025</c:v>
                </c:pt>
                <c:pt idx="7" formatCode="0&quot;F&quot;">
                  <c:v>2026</c:v>
                </c:pt>
                <c:pt idx="8" formatCode="0&quot;F&quot;">
                  <c:v>2027</c:v>
                </c:pt>
                <c:pt idx="9" formatCode="0&quot;F&quot;">
                  <c:v>2028</c:v>
                </c:pt>
                <c:pt idx="10" formatCode="0&quot;F&quot;">
                  <c:v>2029</c:v>
                </c:pt>
                <c:pt idx="11" formatCode="0&quot;F&quot;">
                  <c:v>2030</c:v>
                </c:pt>
              </c:numCache>
            </c:numRef>
          </c:cat>
          <c:val>
            <c:numRef>
              <c:f>Scratch!$AD$274:$AO$274</c:f>
              <c:numCache>
                <c:formatCode>0%</c:formatCode>
                <c:ptCount val="12"/>
                <c:pt idx="0" formatCode="General">
                  <c:v>0</c:v>
                </c:pt>
                <c:pt idx="1">
                  <c:v>-2.5906735751295429E-3</c:v>
                </c:pt>
                <c:pt idx="2">
                  <c:v>0.10020505809979485</c:v>
                </c:pt>
                <c:pt idx="3">
                  <c:v>0.18190854870775341</c:v>
                </c:pt>
                <c:pt idx="4">
                  <c:v>2.6492851135407891E-2</c:v>
                </c:pt>
                <c:pt idx="5">
                  <c:v>-1.1368291683736209E-2</c:v>
                </c:pt>
                <c:pt idx="6">
                  <c:v>0.12203460064228744</c:v>
                </c:pt>
                <c:pt idx="7">
                  <c:v>0.14000000000000012</c:v>
                </c:pt>
                <c:pt idx="8">
                  <c:v>0.13500000000000001</c:v>
                </c:pt>
                <c:pt idx="9">
                  <c:v>0.12999999999999989</c:v>
                </c:pt>
                <c:pt idx="10">
                  <c:v>0.125</c:v>
                </c:pt>
                <c:pt idx="11">
                  <c:v>0.12000000000000011</c:v>
                </c:pt>
              </c:numCache>
            </c:numRef>
          </c:val>
          <c:smooth val="0"/>
          <c:extLst>
            <c:ext xmlns:c16="http://schemas.microsoft.com/office/drawing/2014/chart" uri="{C3380CC4-5D6E-409C-BE32-E72D297353CC}">
              <c16:uniqueId val="{00000001-C753-418B-B8F5-7A22CB819367}"/>
            </c:ext>
          </c:extLst>
        </c:ser>
        <c:dLbls>
          <c:showLegendKey val="0"/>
          <c:showVal val="0"/>
          <c:showCatName val="0"/>
          <c:showSerName val="0"/>
          <c:showPercent val="0"/>
          <c:showBubbleSize val="0"/>
        </c:dLbls>
        <c:marker val="1"/>
        <c:smooth val="0"/>
        <c:axId val="316245183"/>
        <c:axId val="316247103"/>
      </c:lineChart>
      <c:catAx>
        <c:axId val="31625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316256223"/>
        <c:crosses val="autoZero"/>
        <c:auto val="1"/>
        <c:lblAlgn val="ctr"/>
        <c:lblOffset val="100"/>
        <c:noMultiLvlLbl val="0"/>
      </c:catAx>
      <c:valAx>
        <c:axId val="316256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6257663"/>
        <c:crosses val="autoZero"/>
        <c:crossBetween val="between"/>
      </c:valAx>
      <c:valAx>
        <c:axId val="316247103"/>
        <c:scaling>
          <c:orientation val="minMax"/>
          <c:min val="-2.0000000000000004E-2"/>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245183"/>
        <c:crosses val="max"/>
        <c:crossBetween val="between"/>
        <c:majorUnit val="4.0000000000000008E-2"/>
      </c:valAx>
      <c:catAx>
        <c:axId val="316245183"/>
        <c:scaling>
          <c:orientation val="minMax"/>
        </c:scaling>
        <c:delete val="1"/>
        <c:axPos val="b"/>
        <c:numFmt formatCode="General" sourceLinked="1"/>
        <c:majorTickMark val="none"/>
        <c:minorTickMark val="none"/>
        <c:tickLblPos val="nextTo"/>
        <c:crossAx val="3162471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Marico – International Revenue Mix </a:t>
            </a:r>
            <a:endParaRPr lang="en-US" sz="1400" b="0" i="0" u="none" strike="noStrike" kern="1200" spc="0" baseline="0">
              <a:solidFill>
                <a:sysClr val="windowText" lastClr="000000">
                  <a:lumMod val="65000"/>
                  <a:lumOff val="35000"/>
                </a:sys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bar"/>
        <c:grouping val="clustered"/>
        <c:varyColors val="0"/>
        <c:ser>
          <c:idx val="0"/>
          <c:order val="0"/>
          <c:tx>
            <c:strRef>
              <c:f>Scratch!$AA$134</c:f>
              <c:strCache>
                <c:ptCount val="1"/>
                <c:pt idx="0">
                  <c:v>Revenue Contribution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Scratch!$Z$135:$Z$139</c:f>
              <c:strCache>
                <c:ptCount val="5"/>
                <c:pt idx="0">
                  <c:v>Bangladesh</c:v>
                </c:pt>
                <c:pt idx="1">
                  <c:v>Vietnam</c:v>
                </c:pt>
                <c:pt idx="2">
                  <c:v>MENA</c:v>
                </c:pt>
                <c:pt idx="3">
                  <c:v>South Africa</c:v>
                </c:pt>
                <c:pt idx="4">
                  <c:v>Other</c:v>
                </c:pt>
              </c:strCache>
            </c:strRef>
          </c:cat>
          <c:val>
            <c:numRef>
              <c:f>Scratch!$AA$135:$AA$139</c:f>
              <c:numCache>
                <c:formatCode>0%</c:formatCode>
                <c:ptCount val="5"/>
                <c:pt idx="0">
                  <c:v>0.42</c:v>
                </c:pt>
                <c:pt idx="1">
                  <c:v>0.2</c:v>
                </c:pt>
                <c:pt idx="2">
                  <c:v>0.18</c:v>
                </c:pt>
                <c:pt idx="3">
                  <c:v>0.11</c:v>
                </c:pt>
                <c:pt idx="4">
                  <c:v>0.09</c:v>
                </c:pt>
              </c:numCache>
            </c:numRef>
          </c:val>
          <c:extLst>
            <c:ext xmlns:c16="http://schemas.microsoft.com/office/drawing/2014/chart" uri="{C3380CC4-5D6E-409C-BE32-E72D297353CC}">
              <c16:uniqueId val="{00000000-D910-4B42-811C-3C82B3926342}"/>
            </c:ext>
          </c:extLst>
        </c:ser>
        <c:dLbls>
          <c:dLblPos val="outEnd"/>
          <c:showLegendKey val="0"/>
          <c:showVal val="1"/>
          <c:showCatName val="0"/>
          <c:showSerName val="0"/>
          <c:showPercent val="0"/>
          <c:showBubbleSize val="0"/>
        </c:dLbls>
        <c:gapWidth val="182"/>
        <c:axId val="1320076848"/>
        <c:axId val="1320080208"/>
      </c:barChart>
      <c:catAx>
        <c:axId val="13200768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080208"/>
        <c:crosses val="autoZero"/>
        <c:auto val="1"/>
        <c:lblAlgn val="ctr"/>
        <c:lblOffset val="100"/>
        <c:noMultiLvlLbl val="0"/>
      </c:catAx>
      <c:valAx>
        <c:axId val="1320080208"/>
        <c:scaling>
          <c:orientation val="minMax"/>
        </c:scaling>
        <c:delete val="0"/>
        <c:axPos val="t"/>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076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9ACA3C"/>
                </a:solidFill>
              </a:rPr>
              <a:t>Gross</a:t>
            </a:r>
            <a:r>
              <a:rPr lang="en-IN" sz="1600" b="1" baseline="0">
                <a:solidFill>
                  <a:srgbClr val="9ACA3C"/>
                </a:solidFill>
              </a:rPr>
              <a:t> Margin</a:t>
            </a:r>
            <a:endParaRPr lang="en-IN" sz="1600" b="1">
              <a:solidFill>
                <a:srgbClr val="9ACA3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rgbClr val="0055A4"/>
            </a:solidFill>
            <a:ln>
              <a:noFill/>
            </a:ln>
            <a:effectLst/>
          </c:spPr>
          <c:invertIfNegative val="0"/>
          <c:dPt>
            <c:idx val="0"/>
            <c:invertIfNegative val="0"/>
            <c:bubble3D val="0"/>
            <c:spPr>
              <a:solidFill>
                <a:srgbClr val="0055A4">
                  <a:alpha val="55000"/>
                </a:srgbClr>
              </a:solidFill>
              <a:ln>
                <a:noFill/>
              </a:ln>
              <a:effectLst/>
            </c:spPr>
            <c:extLst>
              <c:ext xmlns:c16="http://schemas.microsoft.com/office/drawing/2014/chart" uri="{C3380CC4-5D6E-409C-BE32-E72D297353CC}">
                <c16:uniqueId val="{00000003-B8F7-4ED1-8619-B2A821E11E80}"/>
              </c:ext>
            </c:extLst>
          </c:dPt>
          <c:dPt>
            <c:idx val="1"/>
            <c:invertIfNegative val="0"/>
            <c:bubble3D val="0"/>
            <c:spPr>
              <a:solidFill>
                <a:srgbClr val="0055A4">
                  <a:alpha val="55000"/>
                </a:srgbClr>
              </a:solidFill>
              <a:ln>
                <a:noFill/>
              </a:ln>
              <a:effectLst/>
            </c:spPr>
            <c:extLst>
              <c:ext xmlns:c16="http://schemas.microsoft.com/office/drawing/2014/chart" uri="{C3380CC4-5D6E-409C-BE32-E72D297353CC}">
                <c16:uniqueId val="{00000004-B8F7-4ED1-8619-B2A821E11E80}"/>
              </c:ext>
            </c:extLst>
          </c:dPt>
          <c:dPt>
            <c:idx val="2"/>
            <c:invertIfNegative val="0"/>
            <c:bubble3D val="0"/>
            <c:spPr>
              <a:solidFill>
                <a:srgbClr val="0055A4">
                  <a:alpha val="55000"/>
                </a:srgbClr>
              </a:solidFill>
              <a:ln>
                <a:noFill/>
              </a:ln>
              <a:effectLst/>
            </c:spPr>
            <c:extLst>
              <c:ext xmlns:c16="http://schemas.microsoft.com/office/drawing/2014/chart" uri="{C3380CC4-5D6E-409C-BE32-E72D297353CC}">
                <c16:uniqueId val="{00000005-B8F7-4ED1-8619-B2A821E11E80}"/>
              </c:ext>
            </c:extLst>
          </c:dPt>
          <c:dPt>
            <c:idx val="3"/>
            <c:invertIfNegative val="0"/>
            <c:bubble3D val="0"/>
            <c:spPr>
              <a:solidFill>
                <a:srgbClr val="0055A4">
                  <a:alpha val="55000"/>
                </a:srgbClr>
              </a:solidFill>
              <a:ln>
                <a:noFill/>
              </a:ln>
              <a:effectLst/>
            </c:spPr>
            <c:extLst>
              <c:ext xmlns:c16="http://schemas.microsoft.com/office/drawing/2014/chart" uri="{C3380CC4-5D6E-409C-BE32-E72D297353CC}">
                <c16:uniqueId val="{00000006-B8F7-4ED1-8619-B2A821E11E80}"/>
              </c:ext>
            </c:extLst>
          </c:dPt>
          <c:dPt>
            <c:idx val="4"/>
            <c:invertIfNegative val="0"/>
            <c:bubble3D val="0"/>
            <c:spPr>
              <a:solidFill>
                <a:srgbClr val="0055A4">
                  <a:alpha val="55000"/>
                </a:srgbClr>
              </a:solidFill>
              <a:ln>
                <a:noFill/>
              </a:ln>
              <a:effectLst/>
            </c:spPr>
            <c:extLst>
              <c:ext xmlns:c16="http://schemas.microsoft.com/office/drawing/2014/chart" uri="{C3380CC4-5D6E-409C-BE32-E72D297353CC}">
                <c16:uniqueId val="{00000007-B8F7-4ED1-8619-B2A821E11E80}"/>
              </c:ext>
            </c:extLst>
          </c:dPt>
          <c:dPt>
            <c:idx val="5"/>
            <c:invertIfNegative val="0"/>
            <c:bubble3D val="0"/>
            <c:spPr>
              <a:solidFill>
                <a:srgbClr val="0055A4">
                  <a:alpha val="55000"/>
                </a:srgbClr>
              </a:solidFill>
              <a:ln>
                <a:noFill/>
              </a:ln>
              <a:effectLst/>
            </c:spPr>
            <c:extLst>
              <c:ext xmlns:c16="http://schemas.microsoft.com/office/drawing/2014/chart" uri="{C3380CC4-5D6E-409C-BE32-E72D297353CC}">
                <c16:uniqueId val="{00000008-B8F7-4ED1-8619-B2A821E11E80}"/>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Scratch!$AE$276:$AO$276</c:f>
              <c:numCache>
                <c:formatCode>0"A"</c:formatCode>
                <c:ptCount val="11"/>
                <c:pt idx="0">
                  <c:v>2020</c:v>
                </c:pt>
                <c:pt idx="1">
                  <c:v>2021</c:v>
                </c:pt>
                <c:pt idx="2">
                  <c:v>2022</c:v>
                </c:pt>
                <c:pt idx="3">
                  <c:v>2023</c:v>
                </c:pt>
                <c:pt idx="4">
                  <c:v>2024</c:v>
                </c:pt>
                <c:pt idx="5">
                  <c:v>2025</c:v>
                </c:pt>
                <c:pt idx="6" formatCode="0&quot;F&quot;">
                  <c:v>2026</c:v>
                </c:pt>
                <c:pt idx="7" formatCode="0&quot;F&quot;">
                  <c:v>2027</c:v>
                </c:pt>
                <c:pt idx="8" formatCode="0&quot;F&quot;">
                  <c:v>2028</c:v>
                </c:pt>
                <c:pt idx="9" formatCode="0&quot;F&quot;">
                  <c:v>2029</c:v>
                </c:pt>
                <c:pt idx="10" formatCode="0&quot;F&quot;">
                  <c:v>2030</c:v>
                </c:pt>
              </c:numCache>
            </c:numRef>
          </c:cat>
          <c:val>
            <c:numRef>
              <c:f>Scratch!$AE$277:$AO$277</c:f>
              <c:numCache>
                <c:formatCode>0%</c:formatCode>
                <c:ptCount val="11"/>
                <c:pt idx="0">
                  <c:v>0.48803827751196172</c:v>
                </c:pt>
                <c:pt idx="1">
                  <c:v>0.46943339960238567</c:v>
                </c:pt>
                <c:pt idx="2">
                  <c:v>0.42851135407905805</c:v>
                </c:pt>
                <c:pt idx="3">
                  <c:v>0.45196640721015979</c:v>
                </c:pt>
                <c:pt idx="4">
                  <c:v>0.50813218688490625</c:v>
                </c:pt>
                <c:pt idx="5">
                  <c:v>0.50253900840180965</c:v>
                </c:pt>
                <c:pt idx="6">
                  <c:v>0.47999999999999993</c:v>
                </c:pt>
                <c:pt idx="7">
                  <c:v>0.48</c:v>
                </c:pt>
                <c:pt idx="8">
                  <c:v>0.48</c:v>
                </c:pt>
                <c:pt idx="9">
                  <c:v>0.5</c:v>
                </c:pt>
                <c:pt idx="10">
                  <c:v>0.5</c:v>
                </c:pt>
              </c:numCache>
            </c:numRef>
          </c:val>
          <c:extLst>
            <c:ext xmlns:c16="http://schemas.microsoft.com/office/drawing/2014/chart" uri="{C3380CC4-5D6E-409C-BE32-E72D297353CC}">
              <c16:uniqueId val="{00000000-B8F7-4ED1-8619-B2A821E11E80}"/>
            </c:ext>
          </c:extLst>
        </c:ser>
        <c:dLbls>
          <c:dLblPos val="outEnd"/>
          <c:showLegendKey val="0"/>
          <c:showVal val="1"/>
          <c:showCatName val="0"/>
          <c:showSerName val="0"/>
          <c:showPercent val="0"/>
          <c:showBubbleSize val="0"/>
        </c:dLbls>
        <c:gapWidth val="125"/>
        <c:overlap val="-27"/>
        <c:axId val="1987642992"/>
        <c:axId val="1987655472"/>
      </c:barChart>
      <c:catAx>
        <c:axId val="1987642992"/>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655472"/>
        <c:crosses val="autoZero"/>
        <c:auto val="1"/>
        <c:lblAlgn val="ctr"/>
        <c:lblOffset val="100"/>
        <c:noMultiLvlLbl val="0"/>
      </c:catAx>
      <c:valAx>
        <c:axId val="19876554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6429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9ACA3C"/>
                </a:solidFill>
              </a:rPr>
              <a:t>SG&amp;G</a:t>
            </a:r>
            <a:r>
              <a:rPr lang="en-IN" sz="1600" b="1" baseline="0">
                <a:solidFill>
                  <a:srgbClr val="9ACA3C"/>
                </a:solidFill>
              </a:rPr>
              <a:t> % Revenue</a:t>
            </a:r>
            <a:endParaRPr lang="en-IN" sz="1600" b="1">
              <a:solidFill>
                <a:srgbClr val="9ACA3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v>Revenue</c:v>
          </c:tx>
          <c:spPr>
            <a:solidFill>
              <a:srgbClr val="0055A4"/>
            </a:solidFill>
            <a:ln>
              <a:noFill/>
            </a:ln>
            <a:effectLst/>
          </c:spPr>
          <c:invertIfNegative val="0"/>
          <c:cat>
            <c:numRef>
              <c:f>Scratch!$AE$285:$AK$285</c:f>
              <c:numCache>
                <c:formatCode>0"A"</c:formatCode>
                <c:ptCount val="7"/>
                <c:pt idx="0">
                  <c:v>2019</c:v>
                </c:pt>
                <c:pt idx="1">
                  <c:v>2020</c:v>
                </c:pt>
                <c:pt idx="2">
                  <c:v>2021</c:v>
                </c:pt>
                <c:pt idx="3">
                  <c:v>2022</c:v>
                </c:pt>
                <c:pt idx="4">
                  <c:v>2023</c:v>
                </c:pt>
                <c:pt idx="5">
                  <c:v>2024</c:v>
                </c:pt>
                <c:pt idx="6">
                  <c:v>2025</c:v>
                </c:pt>
              </c:numCache>
            </c:numRef>
          </c:cat>
          <c:val>
            <c:numRef>
              <c:f>Scratch!$AE$286:$AK$286</c:f>
              <c:numCache>
                <c:formatCode>General</c:formatCode>
                <c:ptCount val="7"/>
                <c:pt idx="0">
                  <c:v>1992</c:v>
                </c:pt>
                <c:pt idx="1">
                  <c:v>2129.9999999999991</c:v>
                </c:pt>
                <c:pt idx="2">
                  <c:v>2176</c:v>
                </c:pt>
                <c:pt idx="3">
                  <c:v>2395</c:v>
                </c:pt>
                <c:pt idx="4">
                  <c:v>2603</c:v>
                </c:pt>
                <c:pt idx="5">
                  <c:v>2879</c:v>
                </c:pt>
                <c:pt idx="6">
                  <c:v>3304</c:v>
                </c:pt>
              </c:numCache>
            </c:numRef>
          </c:val>
          <c:extLst>
            <c:ext xmlns:c16="http://schemas.microsoft.com/office/drawing/2014/chart" uri="{C3380CC4-5D6E-409C-BE32-E72D297353CC}">
              <c16:uniqueId val="{00000000-4448-4995-9610-5F28F690D75F}"/>
            </c:ext>
          </c:extLst>
        </c:ser>
        <c:dLbls>
          <c:showLegendKey val="0"/>
          <c:showVal val="0"/>
          <c:showCatName val="0"/>
          <c:showSerName val="0"/>
          <c:showPercent val="0"/>
          <c:showBubbleSize val="0"/>
        </c:dLbls>
        <c:gapWidth val="219"/>
        <c:overlap val="-27"/>
        <c:axId val="1320085968"/>
        <c:axId val="1320086448"/>
        <c:extLst>
          <c:ext xmlns:c15="http://schemas.microsoft.com/office/drawing/2012/chart" uri="{02D57815-91ED-43cb-92C2-25804820EDAC}">
            <c15:filteredBarSeries>
              <c15:ser>
                <c:idx val="1"/>
                <c:order val="1"/>
                <c:tx>
                  <c:strRef>
                    <c:extLst>
                      <c:ext uri="{02D57815-91ED-43cb-92C2-25804820EDAC}">
                        <c15:formulaRef>
                          <c15:sqref>Scratch!$AD$287</c15:sqref>
                        </c15:formulaRef>
                      </c:ext>
                    </c:extLst>
                    <c:strCache>
                      <c:ptCount val="1"/>
                    </c:strCache>
                  </c:strRef>
                </c:tx>
                <c:spPr>
                  <a:solidFill>
                    <a:schemeClr val="accent2"/>
                  </a:solidFill>
                  <a:ln>
                    <a:noFill/>
                  </a:ln>
                  <a:effectLst/>
                </c:spPr>
                <c:invertIfNegative val="0"/>
                <c:cat>
                  <c:numRef>
                    <c:extLst>
                      <c:ext uri="{02D57815-91ED-43cb-92C2-25804820EDAC}">
                        <c15:formulaRef>
                          <c15:sqref>Scratch!$AE$285:$AK$285</c15:sqref>
                        </c15:formulaRef>
                      </c:ext>
                    </c:extLst>
                    <c:numCache>
                      <c:formatCode>0"A"</c:formatCode>
                      <c:ptCount val="7"/>
                      <c:pt idx="0">
                        <c:v>2019</c:v>
                      </c:pt>
                      <c:pt idx="1">
                        <c:v>2020</c:v>
                      </c:pt>
                      <c:pt idx="2">
                        <c:v>2021</c:v>
                      </c:pt>
                      <c:pt idx="3">
                        <c:v>2022</c:v>
                      </c:pt>
                      <c:pt idx="4">
                        <c:v>2023</c:v>
                      </c:pt>
                      <c:pt idx="5">
                        <c:v>2024</c:v>
                      </c:pt>
                      <c:pt idx="6">
                        <c:v>2025</c:v>
                      </c:pt>
                    </c:numCache>
                  </c:numRef>
                </c:cat>
                <c:val>
                  <c:numRef>
                    <c:extLst>
                      <c:ext uri="{02D57815-91ED-43cb-92C2-25804820EDAC}">
                        <c15:formulaRef>
                          <c15:sqref>Scratch!$AE$287:$AK$287</c15:sqref>
                        </c15:formulaRef>
                      </c:ext>
                    </c:extLst>
                    <c:numCache>
                      <c:formatCode>General</c:formatCode>
                      <c:ptCount val="7"/>
                    </c:numCache>
                  </c:numRef>
                </c:val>
                <c:extLst>
                  <c:ext xmlns:c16="http://schemas.microsoft.com/office/drawing/2014/chart" uri="{C3380CC4-5D6E-409C-BE32-E72D297353CC}">
                    <c16:uniqueId val="{00000001-4448-4995-9610-5F28F690D75F}"/>
                  </c:ext>
                </c:extLst>
              </c15:ser>
            </c15:filteredBarSeries>
          </c:ext>
        </c:extLst>
      </c:barChart>
      <c:lineChart>
        <c:grouping val="standard"/>
        <c:varyColors val="0"/>
        <c:ser>
          <c:idx val="2"/>
          <c:order val="2"/>
          <c:tx>
            <c:strRef>
              <c:f>Scratch!$AD$288</c:f>
              <c:strCache>
                <c:ptCount val="1"/>
                <c:pt idx="0">
                  <c:v>SG&amp;A % Revenue</c:v>
                </c:pt>
              </c:strCache>
            </c:strRef>
          </c:tx>
          <c:spPr>
            <a:ln w="34925" cap="rnd">
              <a:solidFill>
                <a:srgbClr val="9ACA3C"/>
              </a:solidFill>
              <a:round/>
            </a:ln>
            <a:effectLst/>
          </c:spPr>
          <c:marker>
            <c:symbol val="none"/>
          </c:marker>
          <c:dPt>
            <c:idx val="3"/>
            <c:marker>
              <c:symbol val="none"/>
            </c:marker>
            <c:bubble3D val="0"/>
            <c:spPr>
              <a:ln w="28575" cap="rnd">
                <a:solidFill>
                  <a:srgbClr val="9ACA3C"/>
                </a:solidFill>
                <a:round/>
              </a:ln>
              <a:effectLst/>
            </c:spPr>
            <c:extLst>
              <c:ext xmlns:c16="http://schemas.microsoft.com/office/drawing/2014/chart" uri="{C3380CC4-5D6E-409C-BE32-E72D297353CC}">
                <c16:uniqueId val="{00000000-0204-4D61-B721-F81A87C72C1E}"/>
              </c:ext>
            </c:extLst>
          </c:dPt>
          <c:cat>
            <c:numRef>
              <c:f>Scratch!$AE$285:$AK$285</c:f>
              <c:numCache>
                <c:formatCode>0"A"</c:formatCode>
                <c:ptCount val="7"/>
                <c:pt idx="0">
                  <c:v>2019</c:v>
                </c:pt>
                <c:pt idx="1">
                  <c:v>2020</c:v>
                </c:pt>
                <c:pt idx="2">
                  <c:v>2021</c:v>
                </c:pt>
                <c:pt idx="3">
                  <c:v>2022</c:v>
                </c:pt>
                <c:pt idx="4">
                  <c:v>2023</c:v>
                </c:pt>
                <c:pt idx="5">
                  <c:v>2024</c:v>
                </c:pt>
                <c:pt idx="6">
                  <c:v>2025</c:v>
                </c:pt>
              </c:numCache>
            </c:numRef>
          </c:cat>
          <c:val>
            <c:numRef>
              <c:f>Scratch!$AE$288:$AK$288</c:f>
              <c:numCache>
                <c:formatCode>0%</c:formatCode>
                <c:ptCount val="7"/>
                <c:pt idx="0">
                  <c:v>0.27161167166621214</c:v>
                </c:pt>
                <c:pt idx="1">
                  <c:v>0.29118250170881738</c:v>
                </c:pt>
                <c:pt idx="2">
                  <c:v>0.27037773359840955</c:v>
                </c:pt>
                <c:pt idx="3">
                  <c:v>0.25178721614802357</c:v>
                </c:pt>
                <c:pt idx="4">
                  <c:v>0.26659156083572305</c:v>
                </c:pt>
                <c:pt idx="5">
                  <c:v>0.29824924893815397</c:v>
                </c:pt>
                <c:pt idx="6">
                  <c:v>0.30505031853014497</c:v>
                </c:pt>
              </c:numCache>
            </c:numRef>
          </c:val>
          <c:smooth val="0"/>
          <c:extLst>
            <c:ext xmlns:c16="http://schemas.microsoft.com/office/drawing/2014/chart" uri="{C3380CC4-5D6E-409C-BE32-E72D297353CC}">
              <c16:uniqueId val="{00000002-4448-4995-9610-5F28F690D75F}"/>
            </c:ext>
          </c:extLst>
        </c:ser>
        <c:dLbls>
          <c:showLegendKey val="0"/>
          <c:showVal val="0"/>
          <c:showCatName val="0"/>
          <c:showSerName val="0"/>
          <c:showPercent val="0"/>
          <c:showBubbleSize val="0"/>
        </c:dLbls>
        <c:marker val="1"/>
        <c:smooth val="0"/>
        <c:axId val="1320094608"/>
        <c:axId val="1320088368"/>
      </c:lineChart>
      <c:catAx>
        <c:axId val="13200859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086448"/>
        <c:crosses val="autoZero"/>
        <c:auto val="1"/>
        <c:lblAlgn val="ctr"/>
        <c:lblOffset val="100"/>
        <c:noMultiLvlLbl val="0"/>
      </c:catAx>
      <c:valAx>
        <c:axId val="1320086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085968"/>
        <c:crosses val="autoZero"/>
        <c:crossBetween val="between"/>
      </c:valAx>
      <c:valAx>
        <c:axId val="1320088368"/>
        <c:scaling>
          <c:orientation val="minMax"/>
          <c:max val="0.35000000000000003"/>
          <c:min val="0.2"/>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094608"/>
        <c:crosses val="max"/>
        <c:crossBetween val="between"/>
        <c:majorUnit val="2.0000000000000004E-2"/>
      </c:valAx>
      <c:catAx>
        <c:axId val="1320094608"/>
        <c:scaling>
          <c:orientation val="minMax"/>
        </c:scaling>
        <c:delete val="1"/>
        <c:axPos val="b"/>
        <c:numFmt formatCode="0&quot;A&quot;" sourceLinked="1"/>
        <c:majorTickMark val="none"/>
        <c:minorTickMark val="none"/>
        <c:tickLblPos val="nextTo"/>
        <c:crossAx val="13200883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latin typeface="Arial Black" panose="020B0A04020102020204" pitchFamily="34" charset="0"/>
              </a:rPr>
              <a:t>FMCG</a:t>
            </a:r>
            <a:r>
              <a:rPr lang="en-IN" sz="1400" b="1" baseline="0">
                <a:latin typeface="Arial Black" panose="020B0A04020102020204" pitchFamily="34" charset="0"/>
              </a:rPr>
              <a:t> Market</a:t>
            </a:r>
            <a:endParaRPr lang="en-IN" sz="1400" b="1">
              <a:latin typeface="Arial Black" panose="020B0A04020102020204" pitchFamily="34" charset="0"/>
            </a:endParaRPr>
          </a:p>
        </c:rich>
      </c:tx>
      <c:layout>
        <c:manualLayout>
          <c:xMode val="edge"/>
          <c:yMode val="edge"/>
          <c:x val="6.6768604916728662E-3"/>
          <c:y val="1.752502475130994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Scratch!$BI$40</c:f>
              <c:strCache>
                <c:ptCount val="1"/>
                <c:pt idx="0">
                  <c:v>Total (USD Bn)</c:v>
                </c:pt>
              </c:strCache>
            </c:strRef>
          </c:tx>
          <c:spPr>
            <a:solidFill>
              <a:schemeClr val="accent1"/>
            </a:solidFill>
            <a:ln>
              <a:noFill/>
            </a:ln>
            <a:effectLst/>
          </c:spPr>
          <c:invertIfNegative val="0"/>
          <c:dLbls>
            <c:dLbl>
              <c:idx val="0"/>
              <c:layout>
                <c:manualLayout>
                  <c:x val="-1.2745783532264902E-17"/>
                  <c:y val="-0.143072909301953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00-4665-9D1E-82EF273237FD}"/>
                </c:ext>
              </c:extLst>
            </c:dLbl>
            <c:dLbl>
              <c:idx val="1"/>
              <c:layout>
                <c:manualLayout>
                  <c:x val="0"/>
                  <c:y val="-0.152940006495191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00-4665-9D1E-82EF273237FD}"/>
                </c:ext>
              </c:extLst>
            </c:dLbl>
            <c:dLbl>
              <c:idx val="2"/>
              <c:layout>
                <c:manualLayout>
                  <c:x val="0"/>
                  <c:y val="-0.1726742008816679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00-4665-9D1E-82EF273237FD}"/>
                </c:ext>
              </c:extLst>
            </c:dLbl>
            <c:dLbl>
              <c:idx val="3"/>
              <c:layout>
                <c:manualLayout>
                  <c:x val="0"/>
                  <c:y val="-0.197341943864763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00-4665-9D1E-82EF273237FD}"/>
                </c:ext>
              </c:extLst>
            </c:dLbl>
            <c:dLbl>
              <c:idx val="4"/>
              <c:layout>
                <c:manualLayout>
                  <c:x val="-2.7809303503950854E-3"/>
                  <c:y val="-0.2318767840410969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00-4665-9D1E-82EF273237FD}"/>
                </c:ext>
              </c:extLst>
            </c:dLbl>
            <c:dLbl>
              <c:idx val="5"/>
              <c:layout>
                <c:manualLayout>
                  <c:x val="0"/>
                  <c:y val="-0.24667742983095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00-4665-9D1E-82EF273237FD}"/>
                </c:ext>
              </c:extLst>
            </c:dLbl>
            <c:dLbl>
              <c:idx val="6"/>
              <c:layout>
                <c:manualLayout>
                  <c:x val="-2.7809303503951366E-3"/>
                  <c:y val="-0.261478075620811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D00-4665-9D1E-82EF273237FD}"/>
                </c:ext>
              </c:extLst>
            </c:dLbl>
            <c:dLbl>
              <c:idx val="7"/>
              <c:layout>
                <c:manualLayout>
                  <c:x val="0"/>
                  <c:y val="-0.2910793672005259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D00-4665-9D1E-82EF273237FD}"/>
                </c:ext>
              </c:extLst>
            </c:dLbl>
            <c:dLbl>
              <c:idx val="8"/>
              <c:layout>
                <c:manualLayout>
                  <c:x val="-5.5618607007901708E-3"/>
                  <c:y val="-0.3157471101836212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D00-4665-9D1E-82EF273237FD}"/>
                </c:ext>
              </c:extLst>
            </c:dLbl>
            <c:dLbl>
              <c:idx val="9"/>
              <c:layout>
                <c:manualLayout>
                  <c:x val="-5.5618607007899669E-3"/>
                  <c:y val="-0.355215498956573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D00-4665-9D1E-82EF273237FD}"/>
                </c:ext>
              </c:extLst>
            </c:dLbl>
            <c:dLbl>
              <c:idx val="10"/>
              <c:layout>
                <c:manualLayout>
                  <c:x val="-2.7809303503951366E-3"/>
                  <c:y val="-0.424285179309241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D00-4665-9D1E-82EF273237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Scratch!$BH$41:$BH$51</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f>Scratch!$BI$41:$BI$51</c:f>
              <c:numCache>
                <c:formatCode>0</c:formatCode>
                <c:ptCount val="11"/>
                <c:pt idx="0">
                  <c:v>171.9</c:v>
                </c:pt>
                <c:pt idx="1">
                  <c:v>197.7</c:v>
                </c:pt>
                <c:pt idx="2">
                  <c:v>223.5</c:v>
                </c:pt>
                <c:pt idx="3">
                  <c:v>265.8</c:v>
                </c:pt>
                <c:pt idx="4">
                  <c:v>310.89999999999998</c:v>
                </c:pt>
                <c:pt idx="5">
                  <c:v>351.5</c:v>
                </c:pt>
                <c:pt idx="6">
                  <c:v>384</c:v>
                </c:pt>
                <c:pt idx="7">
                  <c:v>441.6</c:v>
                </c:pt>
                <c:pt idx="8">
                  <c:v>499.2</c:v>
                </c:pt>
                <c:pt idx="9">
                  <c:v>574.1</c:v>
                </c:pt>
                <c:pt idx="10">
                  <c:v>671.5</c:v>
                </c:pt>
              </c:numCache>
            </c:numRef>
          </c:val>
          <c:extLst>
            <c:ext xmlns:c16="http://schemas.microsoft.com/office/drawing/2014/chart" uri="{C3380CC4-5D6E-409C-BE32-E72D297353CC}">
              <c16:uniqueId val="{0000000B-1D00-4665-9D1E-82EF273237FD}"/>
            </c:ext>
          </c:extLst>
        </c:ser>
        <c:ser>
          <c:idx val="1"/>
          <c:order val="1"/>
          <c:tx>
            <c:strRef>
              <c:f>Scratch!$BJ$40</c:f>
              <c:strCache>
                <c:ptCount val="1"/>
                <c:pt idx="0">
                  <c:v>Food &amp; Beverage</c:v>
                </c:pt>
              </c:strCache>
            </c:strRef>
          </c:tx>
          <c:spPr>
            <a:solidFill>
              <a:schemeClr val="accent2"/>
            </a:solidFill>
            <a:ln>
              <a:noFill/>
            </a:ln>
            <a:effectLst/>
          </c:spPr>
          <c:invertIfNegative val="0"/>
          <c:dLbls>
            <c:delete val="1"/>
          </c:dLbls>
          <c:cat>
            <c:numRef>
              <c:f>Scratch!$BH$41:$BH$51</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f>Scratch!$BJ$41:$BJ$51</c:f>
              <c:numCache>
                <c:formatCode>General</c:formatCode>
                <c:ptCount val="11"/>
                <c:pt idx="0">
                  <c:v>94.55</c:v>
                </c:pt>
                <c:pt idx="1">
                  <c:v>108.74</c:v>
                </c:pt>
                <c:pt idx="2">
                  <c:v>122.93</c:v>
                </c:pt>
                <c:pt idx="3">
                  <c:v>146.19</c:v>
                </c:pt>
                <c:pt idx="4">
                  <c:v>171</c:v>
                </c:pt>
                <c:pt idx="5">
                  <c:v>193.33</c:v>
                </c:pt>
                <c:pt idx="6">
                  <c:v>211.2</c:v>
                </c:pt>
                <c:pt idx="7">
                  <c:v>242.88</c:v>
                </c:pt>
                <c:pt idx="8">
                  <c:v>274.56</c:v>
                </c:pt>
                <c:pt idx="9">
                  <c:v>315.76</c:v>
                </c:pt>
                <c:pt idx="10">
                  <c:v>369.33</c:v>
                </c:pt>
              </c:numCache>
            </c:numRef>
          </c:val>
          <c:extLst>
            <c:ext xmlns:c16="http://schemas.microsoft.com/office/drawing/2014/chart" uri="{C3380CC4-5D6E-409C-BE32-E72D297353CC}">
              <c16:uniqueId val="{0000000C-1D00-4665-9D1E-82EF273237FD}"/>
            </c:ext>
          </c:extLst>
        </c:ser>
        <c:ser>
          <c:idx val="2"/>
          <c:order val="2"/>
          <c:tx>
            <c:strRef>
              <c:f>Scratch!$BK$40</c:f>
              <c:strCache>
                <c:ptCount val="1"/>
                <c:pt idx="0">
                  <c:v>Health Care</c:v>
                </c:pt>
              </c:strCache>
            </c:strRef>
          </c:tx>
          <c:spPr>
            <a:solidFill>
              <a:schemeClr val="accent3"/>
            </a:solidFill>
            <a:ln>
              <a:noFill/>
            </a:ln>
            <a:effectLst/>
          </c:spPr>
          <c:invertIfNegative val="0"/>
          <c:dLbls>
            <c:delete val="1"/>
          </c:dLbls>
          <c:cat>
            <c:numRef>
              <c:f>Scratch!$BH$41:$BH$51</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f>Scratch!$BK$41:$BK$51</c:f>
              <c:numCache>
                <c:formatCode>General</c:formatCode>
                <c:ptCount val="11"/>
                <c:pt idx="0">
                  <c:v>25.79</c:v>
                </c:pt>
                <c:pt idx="1">
                  <c:v>29.66</c:v>
                </c:pt>
                <c:pt idx="2">
                  <c:v>33.53</c:v>
                </c:pt>
                <c:pt idx="3">
                  <c:v>39.869999999999997</c:v>
                </c:pt>
                <c:pt idx="4">
                  <c:v>46.64</c:v>
                </c:pt>
                <c:pt idx="5">
                  <c:v>52.73</c:v>
                </c:pt>
                <c:pt idx="6">
                  <c:v>57.6</c:v>
                </c:pt>
                <c:pt idx="7">
                  <c:v>66.239999999999995</c:v>
                </c:pt>
                <c:pt idx="8">
                  <c:v>74.88</c:v>
                </c:pt>
                <c:pt idx="9">
                  <c:v>86.12</c:v>
                </c:pt>
                <c:pt idx="10">
                  <c:v>100.73</c:v>
                </c:pt>
              </c:numCache>
            </c:numRef>
          </c:val>
          <c:extLst>
            <c:ext xmlns:c16="http://schemas.microsoft.com/office/drawing/2014/chart" uri="{C3380CC4-5D6E-409C-BE32-E72D297353CC}">
              <c16:uniqueId val="{0000000D-1D00-4665-9D1E-82EF273237FD}"/>
            </c:ext>
          </c:extLst>
        </c:ser>
        <c:ser>
          <c:idx val="3"/>
          <c:order val="3"/>
          <c:tx>
            <c:strRef>
              <c:f>Scratch!$BL$40</c:f>
              <c:strCache>
                <c:ptCount val="1"/>
                <c:pt idx="0">
                  <c:v>Personal Care</c:v>
                </c:pt>
              </c:strCache>
            </c:strRef>
          </c:tx>
          <c:spPr>
            <a:solidFill>
              <a:schemeClr val="accent4"/>
            </a:solidFill>
            <a:ln>
              <a:noFill/>
            </a:ln>
            <a:effectLst/>
          </c:spPr>
          <c:invertIfNegative val="0"/>
          <c:dLbls>
            <c:delete val="1"/>
          </c:dLbls>
          <c:cat>
            <c:numRef>
              <c:f>Scratch!$BH$41:$BH$51</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f>Scratch!$BL$41:$BL$51</c:f>
              <c:numCache>
                <c:formatCode>General</c:formatCode>
                <c:ptCount val="11"/>
                <c:pt idx="0">
                  <c:v>25.79</c:v>
                </c:pt>
                <c:pt idx="1">
                  <c:v>29.66</c:v>
                </c:pt>
                <c:pt idx="2">
                  <c:v>33.53</c:v>
                </c:pt>
                <c:pt idx="3">
                  <c:v>39.869999999999997</c:v>
                </c:pt>
                <c:pt idx="4">
                  <c:v>46.64</c:v>
                </c:pt>
                <c:pt idx="5">
                  <c:v>52.73</c:v>
                </c:pt>
                <c:pt idx="6">
                  <c:v>57.6</c:v>
                </c:pt>
                <c:pt idx="7">
                  <c:v>66.239999999999995</c:v>
                </c:pt>
                <c:pt idx="8">
                  <c:v>74.88</c:v>
                </c:pt>
                <c:pt idx="9">
                  <c:v>86.12</c:v>
                </c:pt>
                <c:pt idx="10">
                  <c:v>100.73</c:v>
                </c:pt>
              </c:numCache>
            </c:numRef>
          </c:val>
          <c:extLst>
            <c:ext xmlns:c16="http://schemas.microsoft.com/office/drawing/2014/chart" uri="{C3380CC4-5D6E-409C-BE32-E72D297353CC}">
              <c16:uniqueId val="{0000000E-1D00-4665-9D1E-82EF273237FD}"/>
            </c:ext>
          </c:extLst>
        </c:ser>
        <c:ser>
          <c:idx val="4"/>
          <c:order val="4"/>
          <c:tx>
            <c:strRef>
              <c:f>Scratch!$BM$40</c:f>
              <c:strCache>
                <c:ptCount val="1"/>
                <c:pt idx="0">
                  <c:v>Home Care</c:v>
                </c:pt>
              </c:strCache>
            </c:strRef>
          </c:tx>
          <c:spPr>
            <a:solidFill>
              <a:schemeClr val="accent5"/>
            </a:solidFill>
            <a:ln>
              <a:noFill/>
            </a:ln>
            <a:effectLst/>
          </c:spPr>
          <c:invertIfNegative val="0"/>
          <c:dLbls>
            <c:delete val="1"/>
          </c:dLbls>
          <c:cat>
            <c:numRef>
              <c:f>Scratch!$BH$41:$BH$51</c:f>
              <c:numCache>
                <c:formatCode>General</c:formatCode>
                <c:ptCount val="11"/>
                <c:pt idx="0">
                  <c:v>2023</c:v>
                </c:pt>
                <c:pt idx="1">
                  <c:v>2024</c:v>
                </c:pt>
                <c:pt idx="2">
                  <c:v>2025</c:v>
                </c:pt>
                <c:pt idx="3">
                  <c:v>2026</c:v>
                </c:pt>
                <c:pt idx="4">
                  <c:v>2027</c:v>
                </c:pt>
                <c:pt idx="5">
                  <c:v>2028</c:v>
                </c:pt>
                <c:pt idx="6">
                  <c:v>2029</c:v>
                </c:pt>
                <c:pt idx="7">
                  <c:v>2030</c:v>
                </c:pt>
                <c:pt idx="8">
                  <c:v>2031</c:v>
                </c:pt>
                <c:pt idx="9">
                  <c:v>2032</c:v>
                </c:pt>
                <c:pt idx="10">
                  <c:v>2033</c:v>
                </c:pt>
              </c:numCache>
            </c:numRef>
          </c:cat>
          <c:val>
            <c:numRef>
              <c:f>Scratch!$BM$41:$BM$51</c:f>
              <c:numCache>
                <c:formatCode>General</c:formatCode>
                <c:ptCount val="11"/>
                <c:pt idx="0">
                  <c:v>25.79</c:v>
                </c:pt>
                <c:pt idx="1">
                  <c:v>29.66</c:v>
                </c:pt>
                <c:pt idx="2">
                  <c:v>33.53</c:v>
                </c:pt>
                <c:pt idx="3">
                  <c:v>39.869999999999997</c:v>
                </c:pt>
                <c:pt idx="4">
                  <c:v>46.64</c:v>
                </c:pt>
                <c:pt idx="5">
                  <c:v>52.73</c:v>
                </c:pt>
                <c:pt idx="6">
                  <c:v>57.6</c:v>
                </c:pt>
                <c:pt idx="7">
                  <c:v>66.239999999999995</c:v>
                </c:pt>
                <c:pt idx="8">
                  <c:v>74.88</c:v>
                </c:pt>
                <c:pt idx="9">
                  <c:v>86.12</c:v>
                </c:pt>
                <c:pt idx="10">
                  <c:v>100.73</c:v>
                </c:pt>
              </c:numCache>
            </c:numRef>
          </c:val>
          <c:extLst>
            <c:ext xmlns:c16="http://schemas.microsoft.com/office/drawing/2014/chart" uri="{C3380CC4-5D6E-409C-BE32-E72D297353CC}">
              <c16:uniqueId val="{0000000F-1D00-4665-9D1E-82EF273237FD}"/>
            </c:ext>
          </c:extLst>
        </c:ser>
        <c:dLbls>
          <c:dLblPos val="ctr"/>
          <c:showLegendKey val="0"/>
          <c:showVal val="1"/>
          <c:showCatName val="0"/>
          <c:showSerName val="0"/>
          <c:showPercent val="0"/>
          <c:showBubbleSize val="0"/>
        </c:dLbls>
        <c:gapWidth val="150"/>
        <c:overlap val="100"/>
        <c:axId val="734436768"/>
        <c:axId val="734433408"/>
      </c:barChart>
      <c:catAx>
        <c:axId val="73443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433408"/>
        <c:crosses val="autoZero"/>
        <c:auto val="1"/>
        <c:lblAlgn val="ctr"/>
        <c:lblOffset val="100"/>
        <c:noMultiLvlLbl val="0"/>
      </c:catAx>
      <c:valAx>
        <c:axId val="7344334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436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9ACA3C"/>
                </a:solidFill>
              </a:rPr>
              <a:t>EBITDA &amp; Margin</a:t>
            </a:r>
            <a:endParaRPr lang="en-IN" sz="1600" b="1">
              <a:solidFill>
                <a:srgbClr val="9ACA3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v>EBITDA</c:v>
          </c:tx>
          <c:spPr>
            <a:solidFill>
              <a:srgbClr val="0055A4"/>
            </a:solidFill>
            <a:ln>
              <a:noFill/>
            </a:ln>
            <a:effectLst/>
          </c:spPr>
          <c:invertIfNegative val="0"/>
          <c:dPt>
            <c:idx val="0"/>
            <c:invertIfNegative val="0"/>
            <c:bubble3D val="0"/>
            <c:spPr>
              <a:solidFill>
                <a:srgbClr val="0055A4">
                  <a:alpha val="55000"/>
                </a:srgbClr>
              </a:solidFill>
              <a:ln>
                <a:noFill/>
              </a:ln>
              <a:effectLst/>
            </c:spPr>
            <c:extLst>
              <c:ext xmlns:c16="http://schemas.microsoft.com/office/drawing/2014/chart" uri="{C3380CC4-5D6E-409C-BE32-E72D297353CC}">
                <c16:uniqueId val="{00000008-9990-4080-853D-7D3056E10223}"/>
              </c:ext>
            </c:extLst>
          </c:dPt>
          <c:dPt>
            <c:idx val="1"/>
            <c:invertIfNegative val="0"/>
            <c:bubble3D val="0"/>
            <c:spPr>
              <a:solidFill>
                <a:srgbClr val="0055A4">
                  <a:alpha val="55000"/>
                </a:srgbClr>
              </a:solidFill>
              <a:ln>
                <a:noFill/>
              </a:ln>
              <a:effectLst/>
            </c:spPr>
            <c:extLst>
              <c:ext xmlns:c16="http://schemas.microsoft.com/office/drawing/2014/chart" uri="{C3380CC4-5D6E-409C-BE32-E72D297353CC}">
                <c16:uniqueId val="{00000007-9990-4080-853D-7D3056E10223}"/>
              </c:ext>
            </c:extLst>
          </c:dPt>
          <c:dPt>
            <c:idx val="2"/>
            <c:invertIfNegative val="0"/>
            <c:bubble3D val="0"/>
            <c:spPr>
              <a:solidFill>
                <a:srgbClr val="0055A4">
                  <a:alpha val="55000"/>
                </a:srgbClr>
              </a:solidFill>
              <a:ln>
                <a:noFill/>
              </a:ln>
              <a:effectLst/>
            </c:spPr>
            <c:extLst>
              <c:ext xmlns:c16="http://schemas.microsoft.com/office/drawing/2014/chart" uri="{C3380CC4-5D6E-409C-BE32-E72D297353CC}">
                <c16:uniqueId val="{00000006-9990-4080-853D-7D3056E10223}"/>
              </c:ext>
            </c:extLst>
          </c:dPt>
          <c:dPt>
            <c:idx val="3"/>
            <c:invertIfNegative val="0"/>
            <c:bubble3D val="0"/>
            <c:spPr>
              <a:solidFill>
                <a:srgbClr val="0055A4">
                  <a:alpha val="55000"/>
                </a:srgbClr>
              </a:solidFill>
              <a:ln>
                <a:noFill/>
              </a:ln>
              <a:effectLst/>
            </c:spPr>
            <c:extLst>
              <c:ext xmlns:c16="http://schemas.microsoft.com/office/drawing/2014/chart" uri="{C3380CC4-5D6E-409C-BE32-E72D297353CC}">
                <c16:uniqueId val="{00000005-9990-4080-853D-7D3056E10223}"/>
              </c:ext>
            </c:extLst>
          </c:dPt>
          <c:dPt>
            <c:idx val="4"/>
            <c:invertIfNegative val="0"/>
            <c:bubble3D val="0"/>
            <c:spPr>
              <a:solidFill>
                <a:srgbClr val="0055A4">
                  <a:alpha val="55000"/>
                </a:srgbClr>
              </a:solidFill>
              <a:ln>
                <a:noFill/>
              </a:ln>
              <a:effectLst/>
            </c:spPr>
            <c:extLst>
              <c:ext xmlns:c16="http://schemas.microsoft.com/office/drawing/2014/chart" uri="{C3380CC4-5D6E-409C-BE32-E72D297353CC}">
                <c16:uniqueId val="{00000004-9990-4080-853D-7D3056E10223}"/>
              </c:ext>
            </c:extLst>
          </c:dPt>
          <c:dPt>
            <c:idx val="5"/>
            <c:invertIfNegative val="0"/>
            <c:bubble3D val="0"/>
            <c:spPr>
              <a:solidFill>
                <a:srgbClr val="0055A4">
                  <a:alpha val="55000"/>
                </a:srgbClr>
              </a:solidFill>
              <a:ln>
                <a:noFill/>
              </a:ln>
              <a:effectLst/>
            </c:spPr>
            <c:extLst>
              <c:ext xmlns:c16="http://schemas.microsoft.com/office/drawing/2014/chart" uri="{C3380CC4-5D6E-409C-BE32-E72D297353CC}">
                <c16:uniqueId val="{00000003-9990-4080-853D-7D3056E10223}"/>
              </c:ext>
            </c:extLst>
          </c:dPt>
          <c:cat>
            <c:numRef>
              <c:f>Scratch!$AE$292:$AO$292</c:f>
              <c:numCache>
                <c:formatCode>0"A"</c:formatCode>
                <c:ptCount val="11"/>
                <c:pt idx="0">
                  <c:v>2020</c:v>
                </c:pt>
                <c:pt idx="1">
                  <c:v>2021</c:v>
                </c:pt>
                <c:pt idx="2">
                  <c:v>2022</c:v>
                </c:pt>
                <c:pt idx="3">
                  <c:v>2023</c:v>
                </c:pt>
                <c:pt idx="4">
                  <c:v>2024</c:v>
                </c:pt>
                <c:pt idx="5">
                  <c:v>2025</c:v>
                </c:pt>
                <c:pt idx="6" formatCode="0&quot;F&quot;">
                  <c:v>2026</c:v>
                </c:pt>
                <c:pt idx="7" formatCode="0&quot;F&quot;">
                  <c:v>2027</c:v>
                </c:pt>
                <c:pt idx="8" formatCode="0&quot;F&quot;">
                  <c:v>2028</c:v>
                </c:pt>
                <c:pt idx="9" formatCode="0&quot;F&quot;">
                  <c:v>2029</c:v>
                </c:pt>
                <c:pt idx="10" formatCode="0&quot;F&quot;">
                  <c:v>2030</c:v>
                </c:pt>
              </c:numCache>
            </c:numRef>
          </c:cat>
          <c:val>
            <c:numRef>
              <c:f>Scratch!$AE$293:$AO$293</c:f>
              <c:numCache>
                <c:formatCode>0</c:formatCode>
                <c:ptCount val="11"/>
                <c:pt idx="0" formatCode="General">
                  <c:v>1440.0000000000009</c:v>
                </c:pt>
                <c:pt idx="1">
                  <c:v>1602</c:v>
                </c:pt>
                <c:pt idx="2">
                  <c:v>1681</c:v>
                </c:pt>
                <c:pt idx="3">
                  <c:v>1810</c:v>
                </c:pt>
                <c:pt idx="4">
                  <c:v>2026</c:v>
                </c:pt>
                <c:pt idx="5">
                  <c:v>2139</c:v>
                </c:pt>
                <c:pt idx="6">
                  <c:v>2086.7004599999996</c:v>
                </c:pt>
                <c:pt idx="7">
                  <c:v>2368.4050220999989</c:v>
                </c:pt>
                <c:pt idx="8">
                  <c:v>2676.2976749729996</c:v>
                </c:pt>
                <c:pt idx="9">
                  <c:v>3367.1467049771245</c:v>
                </c:pt>
                <c:pt idx="10">
                  <c:v>3771.2043095743802</c:v>
                </c:pt>
              </c:numCache>
            </c:numRef>
          </c:val>
          <c:extLst>
            <c:ext xmlns:c16="http://schemas.microsoft.com/office/drawing/2014/chart" uri="{C3380CC4-5D6E-409C-BE32-E72D297353CC}">
              <c16:uniqueId val="{00000000-9990-4080-853D-7D3056E10223}"/>
            </c:ext>
          </c:extLst>
        </c:ser>
        <c:dLbls>
          <c:showLegendKey val="0"/>
          <c:showVal val="0"/>
          <c:showCatName val="0"/>
          <c:showSerName val="0"/>
          <c:showPercent val="0"/>
          <c:showBubbleSize val="0"/>
        </c:dLbls>
        <c:gapWidth val="219"/>
        <c:overlap val="-27"/>
        <c:axId val="18315983"/>
        <c:axId val="18304943"/>
      </c:barChart>
      <c:lineChart>
        <c:grouping val="standard"/>
        <c:varyColors val="0"/>
        <c:ser>
          <c:idx val="1"/>
          <c:order val="1"/>
          <c:tx>
            <c:v>EBITDA Margin</c:v>
          </c:tx>
          <c:spPr>
            <a:ln w="31750" cap="rnd">
              <a:solidFill>
                <a:srgbClr val="9ACA3C"/>
              </a:solidFill>
              <a:round/>
            </a:ln>
            <a:effectLst/>
          </c:spPr>
          <c:marker>
            <c:symbol val="none"/>
          </c:marker>
          <c:cat>
            <c:numRef>
              <c:f>Scratch!$AE$292:$AO$292</c:f>
              <c:numCache>
                <c:formatCode>0"A"</c:formatCode>
                <c:ptCount val="11"/>
                <c:pt idx="0">
                  <c:v>2020</c:v>
                </c:pt>
                <c:pt idx="1">
                  <c:v>2021</c:v>
                </c:pt>
                <c:pt idx="2">
                  <c:v>2022</c:v>
                </c:pt>
                <c:pt idx="3">
                  <c:v>2023</c:v>
                </c:pt>
                <c:pt idx="4">
                  <c:v>2024</c:v>
                </c:pt>
                <c:pt idx="5">
                  <c:v>2025</c:v>
                </c:pt>
                <c:pt idx="6" formatCode="0&quot;F&quot;">
                  <c:v>2026</c:v>
                </c:pt>
                <c:pt idx="7" formatCode="0&quot;F&quot;">
                  <c:v>2027</c:v>
                </c:pt>
                <c:pt idx="8" formatCode="0&quot;F&quot;">
                  <c:v>2028</c:v>
                </c:pt>
                <c:pt idx="9" formatCode="0&quot;F&quot;">
                  <c:v>2029</c:v>
                </c:pt>
                <c:pt idx="10" formatCode="0&quot;F&quot;">
                  <c:v>2030</c:v>
                </c:pt>
              </c:numCache>
            </c:numRef>
          </c:cat>
          <c:val>
            <c:numRef>
              <c:f>Scratch!$AE$294:$AO$294</c:f>
              <c:numCache>
                <c:formatCode>0%</c:formatCode>
                <c:ptCount val="11"/>
                <c:pt idx="0">
                  <c:v>0.19685577580314434</c:v>
                </c:pt>
                <c:pt idx="1">
                  <c:v>0.19905566600397614</c:v>
                </c:pt>
                <c:pt idx="2">
                  <c:v>0.17672413793103448</c:v>
                </c:pt>
                <c:pt idx="3">
                  <c:v>0.18537484637443671</c:v>
                </c:pt>
                <c:pt idx="4">
                  <c:v>0.20988293794675231</c:v>
                </c:pt>
                <c:pt idx="5">
                  <c:v>0.19748868987166468</c:v>
                </c:pt>
                <c:pt idx="6">
                  <c:v>0.16899999999999993</c:v>
                </c:pt>
                <c:pt idx="7">
                  <c:v>0.1689999999999999</c:v>
                </c:pt>
                <c:pt idx="8">
                  <c:v>0.16899999999999996</c:v>
                </c:pt>
                <c:pt idx="9">
                  <c:v>0.18899999999999997</c:v>
                </c:pt>
                <c:pt idx="10">
                  <c:v>0.18899999999999997</c:v>
                </c:pt>
              </c:numCache>
            </c:numRef>
          </c:val>
          <c:smooth val="0"/>
          <c:extLst>
            <c:ext xmlns:c16="http://schemas.microsoft.com/office/drawing/2014/chart" uri="{C3380CC4-5D6E-409C-BE32-E72D297353CC}">
              <c16:uniqueId val="{00000001-9990-4080-853D-7D3056E10223}"/>
            </c:ext>
          </c:extLst>
        </c:ser>
        <c:dLbls>
          <c:showLegendKey val="0"/>
          <c:showVal val="0"/>
          <c:showCatName val="0"/>
          <c:showSerName val="0"/>
          <c:showPercent val="0"/>
          <c:showBubbleSize val="0"/>
        </c:dLbls>
        <c:marker val="1"/>
        <c:smooth val="0"/>
        <c:axId val="18316463"/>
        <c:axId val="18305423"/>
      </c:lineChart>
      <c:catAx>
        <c:axId val="18315983"/>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4943"/>
        <c:crosses val="autoZero"/>
        <c:auto val="1"/>
        <c:lblAlgn val="ctr"/>
        <c:lblOffset val="100"/>
        <c:noMultiLvlLbl val="0"/>
      </c:catAx>
      <c:valAx>
        <c:axId val="18304943"/>
        <c:scaling>
          <c:orientation val="minMax"/>
          <c:min val="5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5983"/>
        <c:crosses val="autoZero"/>
        <c:crossBetween val="between"/>
      </c:valAx>
      <c:valAx>
        <c:axId val="18305423"/>
        <c:scaling>
          <c:orientation val="minMax"/>
          <c:max val="0.25"/>
          <c:min val="5.000000000000001E-2"/>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6463"/>
        <c:crosses val="max"/>
        <c:crossBetween val="between"/>
        <c:majorUnit val="5.000000000000001E-2"/>
      </c:valAx>
      <c:catAx>
        <c:axId val="18316463"/>
        <c:scaling>
          <c:orientation val="minMax"/>
        </c:scaling>
        <c:delete val="1"/>
        <c:axPos val="b"/>
        <c:numFmt formatCode="0&quot;A&quot;" sourceLinked="1"/>
        <c:majorTickMark val="none"/>
        <c:minorTickMark val="none"/>
        <c:tickLblPos val="nextTo"/>
        <c:crossAx val="183054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9ACA3C"/>
                </a:solidFill>
              </a:rPr>
              <a:t>COGS Expenses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2003936107382214E-2"/>
          <c:y val="0.19226851851851851"/>
          <c:w val="0.88832765980852946"/>
          <c:h val="0.70959135316418775"/>
        </c:manualLayout>
      </c:layout>
      <c:barChart>
        <c:barDir val="col"/>
        <c:grouping val="clustered"/>
        <c:varyColors val="0"/>
        <c:ser>
          <c:idx val="0"/>
          <c:order val="0"/>
          <c:tx>
            <c:strRef>
              <c:f>Scratch!$AD$276</c:f>
              <c:strCache>
                <c:ptCount val="1"/>
              </c:strCache>
            </c:strRef>
          </c:tx>
          <c:spPr>
            <a:solidFill>
              <a:srgbClr val="0055A4"/>
            </a:solidFill>
            <a:ln>
              <a:noFill/>
            </a:ln>
            <a:effectLst/>
          </c:spPr>
          <c:invertIfNegative val="0"/>
          <c:dPt>
            <c:idx val="0"/>
            <c:invertIfNegative val="0"/>
            <c:bubble3D val="0"/>
            <c:spPr>
              <a:solidFill>
                <a:srgbClr val="0055A4">
                  <a:alpha val="55000"/>
                </a:srgbClr>
              </a:solidFill>
              <a:ln>
                <a:noFill/>
              </a:ln>
              <a:effectLst/>
            </c:spPr>
            <c:extLst>
              <c:ext xmlns:c16="http://schemas.microsoft.com/office/drawing/2014/chart" uri="{C3380CC4-5D6E-409C-BE32-E72D297353CC}">
                <c16:uniqueId val="{0000000C-7917-4BB6-926D-5664771F02F6}"/>
              </c:ext>
            </c:extLst>
          </c:dPt>
          <c:dPt>
            <c:idx val="1"/>
            <c:invertIfNegative val="0"/>
            <c:bubble3D val="0"/>
            <c:spPr>
              <a:solidFill>
                <a:srgbClr val="0055A4">
                  <a:alpha val="55000"/>
                </a:srgbClr>
              </a:solidFill>
              <a:ln>
                <a:noFill/>
              </a:ln>
              <a:effectLst/>
            </c:spPr>
            <c:extLst>
              <c:ext xmlns:c16="http://schemas.microsoft.com/office/drawing/2014/chart" uri="{C3380CC4-5D6E-409C-BE32-E72D297353CC}">
                <c16:uniqueId val="{00000003-C157-4F1C-9BBE-E48CF2BAE1E6}"/>
              </c:ext>
            </c:extLst>
          </c:dPt>
          <c:dPt>
            <c:idx val="2"/>
            <c:invertIfNegative val="0"/>
            <c:bubble3D val="0"/>
            <c:spPr>
              <a:solidFill>
                <a:srgbClr val="0055A4">
                  <a:alpha val="55000"/>
                </a:srgbClr>
              </a:solidFill>
              <a:ln>
                <a:noFill/>
              </a:ln>
              <a:effectLst/>
            </c:spPr>
            <c:extLst>
              <c:ext xmlns:c16="http://schemas.microsoft.com/office/drawing/2014/chart" uri="{C3380CC4-5D6E-409C-BE32-E72D297353CC}">
                <c16:uniqueId val="{00000005-C157-4F1C-9BBE-E48CF2BAE1E6}"/>
              </c:ext>
            </c:extLst>
          </c:dPt>
          <c:dPt>
            <c:idx val="3"/>
            <c:invertIfNegative val="0"/>
            <c:bubble3D val="0"/>
            <c:spPr>
              <a:solidFill>
                <a:srgbClr val="0055A4">
                  <a:alpha val="55000"/>
                </a:srgbClr>
              </a:solidFill>
              <a:ln>
                <a:noFill/>
              </a:ln>
              <a:effectLst/>
            </c:spPr>
            <c:extLst>
              <c:ext xmlns:c16="http://schemas.microsoft.com/office/drawing/2014/chart" uri="{C3380CC4-5D6E-409C-BE32-E72D297353CC}">
                <c16:uniqueId val="{00000007-C157-4F1C-9BBE-E48CF2BAE1E6}"/>
              </c:ext>
            </c:extLst>
          </c:dPt>
          <c:dPt>
            <c:idx val="4"/>
            <c:invertIfNegative val="0"/>
            <c:bubble3D val="0"/>
            <c:spPr>
              <a:solidFill>
                <a:srgbClr val="0055A4">
                  <a:alpha val="55000"/>
                </a:srgbClr>
              </a:solidFill>
              <a:ln>
                <a:noFill/>
              </a:ln>
              <a:effectLst/>
            </c:spPr>
            <c:extLst>
              <c:ext xmlns:c16="http://schemas.microsoft.com/office/drawing/2014/chart" uri="{C3380CC4-5D6E-409C-BE32-E72D297353CC}">
                <c16:uniqueId val="{00000009-C157-4F1C-9BBE-E48CF2BAE1E6}"/>
              </c:ext>
            </c:extLst>
          </c:dPt>
          <c:dPt>
            <c:idx val="5"/>
            <c:invertIfNegative val="0"/>
            <c:bubble3D val="0"/>
            <c:spPr>
              <a:solidFill>
                <a:srgbClr val="0055A4">
                  <a:alpha val="55000"/>
                </a:srgbClr>
              </a:solidFill>
              <a:ln>
                <a:noFill/>
              </a:ln>
              <a:effectLst/>
            </c:spPr>
            <c:extLst>
              <c:ext xmlns:c16="http://schemas.microsoft.com/office/drawing/2014/chart" uri="{C3380CC4-5D6E-409C-BE32-E72D297353CC}">
                <c16:uniqueId val="{0000000B-C157-4F1C-9BBE-E48CF2BAE1E6}"/>
              </c:ext>
            </c:extLst>
          </c:dPt>
          <c:dPt>
            <c:idx val="6"/>
            <c:invertIfNegative val="0"/>
            <c:bubble3D val="0"/>
            <c:spPr>
              <a:solidFill>
                <a:srgbClr val="0055A4"/>
              </a:solidFill>
              <a:ln>
                <a:noFill/>
              </a:ln>
              <a:effectLst/>
            </c:spPr>
            <c:extLst>
              <c:ext xmlns:c16="http://schemas.microsoft.com/office/drawing/2014/chart" uri="{C3380CC4-5D6E-409C-BE32-E72D297353CC}">
                <c16:uniqueId val="{0000000B-7917-4BB6-926D-5664771F02F6}"/>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Scratch!$AE$276:$AO$276</c:f>
              <c:numCache>
                <c:formatCode>0"A"</c:formatCode>
                <c:ptCount val="11"/>
                <c:pt idx="0">
                  <c:v>2020</c:v>
                </c:pt>
                <c:pt idx="1">
                  <c:v>2021</c:v>
                </c:pt>
                <c:pt idx="2">
                  <c:v>2022</c:v>
                </c:pt>
                <c:pt idx="3">
                  <c:v>2023</c:v>
                </c:pt>
                <c:pt idx="4">
                  <c:v>2024</c:v>
                </c:pt>
                <c:pt idx="5">
                  <c:v>2025</c:v>
                </c:pt>
                <c:pt idx="6" formatCode="0&quot;F&quot;">
                  <c:v>2026</c:v>
                </c:pt>
                <c:pt idx="7" formatCode="0&quot;F&quot;">
                  <c:v>2027</c:v>
                </c:pt>
                <c:pt idx="8" formatCode="0&quot;F&quot;">
                  <c:v>2028</c:v>
                </c:pt>
                <c:pt idx="9" formatCode="0&quot;F&quot;">
                  <c:v>2029</c:v>
                </c:pt>
                <c:pt idx="10" formatCode="0&quot;F&quot;">
                  <c:v>2030</c:v>
                </c:pt>
              </c:numCache>
            </c:numRef>
          </c:cat>
          <c:val>
            <c:numRef>
              <c:f>Scratch!$AE$277:$AO$277</c:f>
              <c:numCache>
                <c:formatCode>0%</c:formatCode>
                <c:ptCount val="11"/>
                <c:pt idx="0">
                  <c:v>0.48803827751196172</c:v>
                </c:pt>
                <c:pt idx="1">
                  <c:v>0.46943339960238567</c:v>
                </c:pt>
                <c:pt idx="2">
                  <c:v>0.42851135407905805</c:v>
                </c:pt>
                <c:pt idx="3">
                  <c:v>0.45196640721015979</c:v>
                </c:pt>
                <c:pt idx="4">
                  <c:v>0.50813218688490625</c:v>
                </c:pt>
                <c:pt idx="5">
                  <c:v>0.50253900840180965</c:v>
                </c:pt>
                <c:pt idx="6">
                  <c:v>0.47999999999999993</c:v>
                </c:pt>
                <c:pt idx="7">
                  <c:v>0.48</c:v>
                </c:pt>
                <c:pt idx="8">
                  <c:v>0.48</c:v>
                </c:pt>
                <c:pt idx="9">
                  <c:v>0.5</c:v>
                </c:pt>
                <c:pt idx="10">
                  <c:v>0.5</c:v>
                </c:pt>
              </c:numCache>
            </c:numRef>
          </c:val>
          <c:extLst>
            <c:ext xmlns:c16="http://schemas.microsoft.com/office/drawing/2014/chart" uri="{C3380CC4-5D6E-409C-BE32-E72D297353CC}">
              <c16:uniqueId val="{0000000C-C157-4F1C-9BBE-E48CF2BAE1E6}"/>
            </c:ext>
          </c:extLst>
        </c:ser>
        <c:dLbls>
          <c:dLblPos val="outEnd"/>
          <c:showLegendKey val="0"/>
          <c:showVal val="1"/>
          <c:showCatName val="0"/>
          <c:showSerName val="0"/>
          <c:showPercent val="0"/>
          <c:showBubbleSize val="0"/>
        </c:dLbls>
        <c:gapWidth val="125"/>
        <c:overlap val="-27"/>
        <c:axId val="1582606912"/>
        <c:axId val="1582597792"/>
      </c:barChart>
      <c:catAx>
        <c:axId val="1582606912"/>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597792"/>
        <c:crosses val="autoZero"/>
        <c:auto val="1"/>
        <c:lblAlgn val="ctr"/>
        <c:lblOffset val="100"/>
        <c:noMultiLvlLbl val="0"/>
      </c:catAx>
      <c:valAx>
        <c:axId val="15825977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6069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Inventory</a:t>
            </a:r>
            <a:r>
              <a:rPr lang="en-IN" baseline="0"/>
              <a:t> Days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Scratch!$AE$298</c:f>
              <c:strCache>
                <c:ptCount val="1"/>
                <c:pt idx="0">
                  <c:v>Inventory </c:v>
                </c:pt>
              </c:strCache>
            </c:strRef>
          </c:tx>
          <c:spPr>
            <a:solidFill>
              <a:srgbClr val="0055A4"/>
            </a:solidFill>
            <a:ln>
              <a:noFill/>
            </a:ln>
            <a:effectLst/>
          </c:spPr>
          <c:invertIfNegative val="0"/>
          <c:cat>
            <c:numRef>
              <c:f>Scratch!$AF$297:$AL$297</c:f>
              <c:numCache>
                <c:formatCode>0"A"</c:formatCode>
                <c:ptCount val="7"/>
                <c:pt idx="0">
                  <c:v>2019</c:v>
                </c:pt>
                <c:pt idx="1">
                  <c:v>2020</c:v>
                </c:pt>
                <c:pt idx="2">
                  <c:v>2021</c:v>
                </c:pt>
                <c:pt idx="3">
                  <c:v>2022</c:v>
                </c:pt>
                <c:pt idx="4">
                  <c:v>2023</c:v>
                </c:pt>
                <c:pt idx="5">
                  <c:v>2024</c:v>
                </c:pt>
                <c:pt idx="6">
                  <c:v>2025</c:v>
                </c:pt>
              </c:numCache>
            </c:numRef>
          </c:cat>
          <c:val>
            <c:numRef>
              <c:f>Scratch!$AF$298:$AL$298</c:f>
              <c:numCache>
                <c:formatCode>#,##0;\(#,##0\);\-</c:formatCode>
                <c:ptCount val="7"/>
                <c:pt idx="0">
                  <c:v>1411</c:v>
                </c:pt>
                <c:pt idx="1">
                  <c:v>1380</c:v>
                </c:pt>
                <c:pt idx="2">
                  <c:v>1126</c:v>
                </c:pt>
                <c:pt idx="3">
                  <c:v>1412</c:v>
                </c:pt>
                <c:pt idx="4">
                  <c:v>1225</c:v>
                </c:pt>
                <c:pt idx="5">
                  <c:v>1336</c:v>
                </c:pt>
                <c:pt idx="6">
                  <c:v>1235</c:v>
                </c:pt>
              </c:numCache>
            </c:numRef>
          </c:val>
          <c:extLst>
            <c:ext xmlns:c16="http://schemas.microsoft.com/office/drawing/2014/chart" uri="{C3380CC4-5D6E-409C-BE32-E72D297353CC}">
              <c16:uniqueId val="{00000000-F9D0-41B8-8CCE-7D3F8E3FA498}"/>
            </c:ext>
          </c:extLst>
        </c:ser>
        <c:dLbls>
          <c:showLegendKey val="0"/>
          <c:showVal val="0"/>
          <c:showCatName val="0"/>
          <c:showSerName val="0"/>
          <c:showPercent val="0"/>
          <c:showBubbleSize val="0"/>
        </c:dLbls>
        <c:gapWidth val="219"/>
        <c:overlap val="-27"/>
        <c:axId val="24592896"/>
        <c:axId val="24591456"/>
      </c:barChart>
      <c:lineChart>
        <c:grouping val="standard"/>
        <c:varyColors val="0"/>
        <c:ser>
          <c:idx val="1"/>
          <c:order val="1"/>
          <c:tx>
            <c:strRef>
              <c:f>Scratch!$AE$299</c:f>
              <c:strCache>
                <c:ptCount val="1"/>
                <c:pt idx="0">
                  <c:v>Inventory Days </c:v>
                </c:pt>
              </c:strCache>
            </c:strRef>
          </c:tx>
          <c:spPr>
            <a:ln w="31750" cap="rnd">
              <a:solidFill>
                <a:srgbClr val="9ACA3C"/>
              </a:solidFill>
              <a:round/>
            </a:ln>
            <a:effectLst/>
          </c:spPr>
          <c:marker>
            <c:symbol val="none"/>
          </c:marker>
          <c:cat>
            <c:numRef>
              <c:f>Scratch!$AF$297:$AL$297</c:f>
              <c:numCache>
                <c:formatCode>0"A"</c:formatCode>
                <c:ptCount val="7"/>
                <c:pt idx="0">
                  <c:v>2019</c:v>
                </c:pt>
                <c:pt idx="1">
                  <c:v>2020</c:v>
                </c:pt>
                <c:pt idx="2">
                  <c:v>2021</c:v>
                </c:pt>
                <c:pt idx="3">
                  <c:v>2022</c:v>
                </c:pt>
                <c:pt idx="4">
                  <c:v>2023</c:v>
                </c:pt>
                <c:pt idx="5">
                  <c:v>2024</c:v>
                </c:pt>
                <c:pt idx="6">
                  <c:v>2025</c:v>
                </c:pt>
              </c:numCache>
            </c:numRef>
          </c:cat>
          <c:val>
            <c:numRef>
              <c:f>Scratch!$AF$299:$AL$299</c:f>
              <c:numCache>
                <c:formatCode>0</c:formatCode>
                <c:ptCount val="7"/>
                <c:pt idx="0">
                  <c:v>70.222934278701928</c:v>
                </c:pt>
                <c:pt idx="1">
                  <c:v>69.631920710868087</c:v>
                </c:pt>
                <c:pt idx="2">
                  <c:v>56.827162027832998</c:v>
                </c:pt>
                <c:pt idx="3">
                  <c:v>48.694806560134566</c:v>
                </c:pt>
                <c:pt idx="4">
                  <c:v>49.288457599344532</c:v>
                </c:pt>
                <c:pt idx="5">
                  <c:v>48.41836734693878</c:v>
                </c:pt>
                <c:pt idx="6">
                  <c:v>43.320792170621367</c:v>
                </c:pt>
              </c:numCache>
            </c:numRef>
          </c:val>
          <c:smooth val="0"/>
          <c:extLst>
            <c:ext xmlns:c16="http://schemas.microsoft.com/office/drawing/2014/chart" uri="{C3380CC4-5D6E-409C-BE32-E72D297353CC}">
              <c16:uniqueId val="{00000001-F9D0-41B8-8CCE-7D3F8E3FA498}"/>
            </c:ext>
          </c:extLst>
        </c:ser>
        <c:dLbls>
          <c:showLegendKey val="0"/>
          <c:showVal val="0"/>
          <c:showCatName val="0"/>
          <c:showSerName val="0"/>
          <c:showPercent val="0"/>
          <c:showBubbleSize val="0"/>
        </c:dLbls>
        <c:marker val="1"/>
        <c:smooth val="0"/>
        <c:axId val="24604416"/>
        <c:axId val="24595296"/>
      </c:lineChart>
      <c:catAx>
        <c:axId val="24592896"/>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91456"/>
        <c:crosses val="autoZero"/>
        <c:auto val="1"/>
        <c:lblAlgn val="ctr"/>
        <c:lblOffset val="100"/>
        <c:noMultiLvlLbl val="0"/>
      </c:catAx>
      <c:valAx>
        <c:axId val="2459145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92896"/>
        <c:crosses val="autoZero"/>
        <c:crossBetween val="between"/>
      </c:valAx>
      <c:valAx>
        <c:axId val="24595296"/>
        <c:scaling>
          <c:orientation val="minMax"/>
          <c:min val="5"/>
        </c:scaling>
        <c:delete val="0"/>
        <c:axPos val="r"/>
        <c:numFmt formatCode="0&quot; Days&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04416"/>
        <c:crosses val="max"/>
        <c:crossBetween val="between"/>
      </c:valAx>
      <c:catAx>
        <c:axId val="24604416"/>
        <c:scaling>
          <c:orientation val="minMax"/>
        </c:scaling>
        <c:delete val="1"/>
        <c:axPos val="b"/>
        <c:numFmt formatCode="0&quot;A&quot;" sourceLinked="1"/>
        <c:majorTickMark val="out"/>
        <c:minorTickMark val="none"/>
        <c:tickLblPos val="nextTo"/>
        <c:crossAx val="245952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9ACA3C"/>
                </a:solidFill>
              </a:rPr>
              <a:t>Trade</a:t>
            </a:r>
            <a:r>
              <a:rPr lang="en-IN" sz="1600" b="1" baseline="0">
                <a:solidFill>
                  <a:srgbClr val="9ACA3C"/>
                </a:solidFill>
              </a:rPr>
              <a:t> Receivable Days</a:t>
            </a:r>
            <a:endParaRPr lang="en-IN" sz="1600" b="1">
              <a:solidFill>
                <a:srgbClr val="9ACA3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Scratch!$AE$304</c:f>
              <c:strCache>
                <c:ptCount val="1"/>
                <c:pt idx="0">
                  <c:v>Trade receivables</c:v>
                </c:pt>
              </c:strCache>
            </c:strRef>
          </c:tx>
          <c:spPr>
            <a:solidFill>
              <a:srgbClr val="0055A4"/>
            </a:solidFill>
            <a:ln>
              <a:noFill/>
            </a:ln>
            <a:effectLst/>
          </c:spPr>
          <c:invertIfNegative val="0"/>
          <c:cat>
            <c:numRef>
              <c:f>Scratch!$AF$303:$AL$303</c:f>
              <c:numCache>
                <c:formatCode>0"A"</c:formatCode>
                <c:ptCount val="7"/>
                <c:pt idx="0">
                  <c:v>2019</c:v>
                </c:pt>
                <c:pt idx="1">
                  <c:v>2020</c:v>
                </c:pt>
                <c:pt idx="2">
                  <c:v>2021</c:v>
                </c:pt>
                <c:pt idx="3">
                  <c:v>2022</c:v>
                </c:pt>
                <c:pt idx="4">
                  <c:v>2023</c:v>
                </c:pt>
                <c:pt idx="5">
                  <c:v>2024</c:v>
                </c:pt>
                <c:pt idx="6">
                  <c:v>2025</c:v>
                </c:pt>
              </c:numCache>
            </c:numRef>
          </c:cat>
          <c:val>
            <c:numRef>
              <c:f>Scratch!$AF$304:$AL$304</c:f>
              <c:numCache>
                <c:formatCode>#,##0;\(#,##0\);\-</c:formatCode>
                <c:ptCount val="7"/>
                <c:pt idx="0">
                  <c:v>517</c:v>
                </c:pt>
                <c:pt idx="1">
                  <c:v>539</c:v>
                </c:pt>
                <c:pt idx="2">
                  <c:v>388</c:v>
                </c:pt>
                <c:pt idx="3">
                  <c:v>652</c:v>
                </c:pt>
                <c:pt idx="4">
                  <c:v>1015</c:v>
                </c:pt>
                <c:pt idx="5">
                  <c:v>1069</c:v>
                </c:pt>
                <c:pt idx="6">
                  <c:v>1271</c:v>
                </c:pt>
              </c:numCache>
            </c:numRef>
          </c:val>
          <c:extLst>
            <c:ext xmlns:c16="http://schemas.microsoft.com/office/drawing/2014/chart" uri="{C3380CC4-5D6E-409C-BE32-E72D297353CC}">
              <c16:uniqueId val="{00000000-77A5-41F1-A18F-1C45771D5305}"/>
            </c:ext>
          </c:extLst>
        </c:ser>
        <c:dLbls>
          <c:showLegendKey val="0"/>
          <c:showVal val="0"/>
          <c:showCatName val="0"/>
          <c:showSerName val="0"/>
          <c:showPercent val="0"/>
          <c:showBubbleSize val="0"/>
        </c:dLbls>
        <c:gapWidth val="219"/>
        <c:overlap val="-27"/>
        <c:axId val="1242804672"/>
        <c:axId val="1242796032"/>
      </c:barChart>
      <c:lineChart>
        <c:grouping val="standard"/>
        <c:varyColors val="0"/>
        <c:ser>
          <c:idx val="1"/>
          <c:order val="1"/>
          <c:tx>
            <c:strRef>
              <c:f>Scratch!$AE$305</c:f>
              <c:strCache>
                <c:ptCount val="1"/>
                <c:pt idx="0">
                  <c:v>Recevable Days </c:v>
                </c:pt>
              </c:strCache>
            </c:strRef>
          </c:tx>
          <c:spPr>
            <a:ln w="31750" cap="rnd">
              <a:solidFill>
                <a:srgbClr val="9ACA3C"/>
              </a:solidFill>
              <a:round/>
            </a:ln>
            <a:effectLst/>
          </c:spPr>
          <c:marker>
            <c:symbol val="none"/>
          </c:marker>
          <c:cat>
            <c:numRef>
              <c:f>Scratch!$AF$303:$AL$303</c:f>
              <c:numCache>
                <c:formatCode>0"A"</c:formatCode>
                <c:ptCount val="7"/>
                <c:pt idx="0">
                  <c:v>2019</c:v>
                </c:pt>
                <c:pt idx="1">
                  <c:v>2020</c:v>
                </c:pt>
                <c:pt idx="2">
                  <c:v>2021</c:v>
                </c:pt>
                <c:pt idx="3">
                  <c:v>2022</c:v>
                </c:pt>
                <c:pt idx="4">
                  <c:v>2023</c:v>
                </c:pt>
                <c:pt idx="5">
                  <c:v>2024</c:v>
                </c:pt>
                <c:pt idx="6">
                  <c:v>2025</c:v>
                </c:pt>
              </c:numCache>
            </c:numRef>
          </c:cat>
          <c:val>
            <c:numRef>
              <c:f>Scratch!$AF$305:$AL$305</c:f>
              <c:numCache>
                <c:formatCode>0" days"</c:formatCode>
                <c:ptCount val="7"/>
                <c:pt idx="0">
                  <c:v>25.730160894464138</c:v>
                </c:pt>
                <c:pt idx="1">
                  <c:v>26.345864661654137</c:v>
                </c:pt>
                <c:pt idx="2">
                  <c:v>21.021061133200796</c:v>
                </c:pt>
                <c:pt idx="3">
                  <c:v>19.953742640874687</c:v>
                </c:pt>
                <c:pt idx="4">
                  <c:v>31.158080704629253</c:v>
                </c:pt>
                <c:pt idx="5">
                  <c:v>39.400186470527295</c:v>
                </c:pt>
                <c:pt idx="6">
                  <c:v>39.428492290647213</c:v>
                </c:pt>
              </c:numCache>
            </c:numRef>
          </c:val>
          <c:smooth val="0"/>
          <c:extLst>
            <c:ext xmlns:c16="http://schemas.microsoft.com/office/drawing/2014/chart" uri="{C3380CC4-5D6E-409C-BE32-E72D297353CC}">
              <c16:uniqueId val="{00000001-77A5-41F1-A18F-1C45771D5305}"/>
            </c:ext>
          </c:extLst>
        </c:ser>
        <c:dLbls>
          <c:showLegendKey val="0"/>
          <c:showVal val="0"/>
          <c:showCatName val="0"/>
          <c:showSerName val="0"/>
          <c:showPercent val="0"/>
          <c:showBubbleSize val="0"/>
        </c:dLbls>
        <c:marker val="1"/>
        <c:smooth val="0"/>
        <c:axId val="1242808512"/>
        <c:axId val="1242818592"/>
      </c:lineChart>
      <c:catAx>
        <c:axId val="1242804672"/>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796032"/>
        <c:crosses val="autoZero"/>
        <c:auto val="1"/>
        <c:lblAlgn val="ctr"/>
        <c:lblOffset val="100"/>
        <c:noMultiLvlLbl val="0"/>
      </c:catAx>
      <c:valAx>
        <c:axId val="124279603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804672"/>
        <c:crosses val="autoZero"/>
        <c:crossBetween val="between"/>
      </c:valAx>
      <c:valAx>
        <c:axId val="1242818592"/>
        <c:scaling>
          <c:orientation val="minMax"/>
          <c:min val="5"/>
        </c:scaling>
        <c:delete val="0"/>
        <c:axPos val="r"/>
        <c:numFmt formatCode="0&quot; days&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808512"/>
        <c:crosses val="max"/>
        <c:crossBetween val="between"/>
      </c:valAx>
      <c:catAx>
        <c:axId val="1242808512"/>
        <c:scaling>
          <c:orientation val="minMax"/>
        </c:scaling>
        <c:delete val="1"/>
        <c:axPos val="b"/>
        <c:numFmt formatCode="0&quot;A&quot;" sourceLinked="1"/>
        <c:majorTickMark val="out"/>
        <c:minorTickMark val="none"/>
        <c:tickLblPos val="nextTo"/>
        <c:crossAx val="12428185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9ACA3C"/>
                </a:solidFill>
              </a:rPr>
              <a:t>Trade</a:t>
            </a:r>
            <a:r>
              <a:rPr lang="en-IN" sz="1600" b="1" baseline="0">
                <a:solidFill>
                  <a:srgbClr val="9ACA3C"/>
                </a:solidFill>
              </a:rPr>
              <a:t> Payables Days</a:t>
            </a:r>
            <a:endParaRPr lang="en-IN" sz="1600" b="1">
              <a:solidFill>
                <a:srgbClr val="9ACA3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Scratch!$AE$310</c:f>
              <c:strCache>
                <c:ptCount val="1"/>
                <c:pt idx="0">
                  <c:v>Trade Payables</c:v>
                </c:pt>
              </c:strCache>
            </c:strRef>
          </c:tx>
          <c:spPr>
            <a:solidFill>
              <a:srgbClr val="0055A4"/>
            </a:solidFill>
            <a:ln>
              <a:noFill/>
            </a:ln>
            <a:effectLst/>
          </c:spPr>
          <c:invertIfNegative val="0"/>
          <c:cat>
            <c:numRef>
              <c:f>Scratch!$AF$309:$AL$309</c:f>
              <c:numCache>
                <c:formatCode>0"A"</c:formatCode>
                <c:ptCount val="7"/>
                <c:pt idx="0">
                  <c:v>2019</c:v>
                </c:pt>
                <c:pt idx="1">
                  <c:v>2020</c:v>
                </c:pt>
                <c:pt idx="2">
                  <c:v>2021</c:v>
                </c:pt>
                <c:pt idx="3">
                  <c:v>2022</c:v>
                </c:pt>
                <c:pt idx="4">
                  <c:v>2023</c:v>
                </c:pt>
                <c:pt idx="5">
                  <c:v>2024</c:v>
                </c:pt>
                <c:pt idx="6">
                  <c:v>2025</c:v>
                </c:pt>
              </c:numCache>
            </c:numRef>
          </c:cat>
          <c:val>
            <c:numRef>
              <c:f>Scratch!$AF$310:$AL$310</c:f>
              <c:numCache>
                <c:formatCode>General</c:formatCode>
                <c:ptCount val="7"/>
                <c:pt idx="0">
                  <c:v>944</c:v>
                </c:pt>
                <c:pt idx="1">
                  <c:v>978</c:v>
                </c:pt>
                <c:pt idx="2">
                  <c:v>1134</c:v>
                </c:pt>
                <c:pt idx="3">
                  <c:v>1344</c:v>
                </c:pt>
                <c:pt idx="4">
                  <c:v>1452</c:v>
                </c:pt>
                <c:pt idx="5">
                  <c:v>1581</c:v>
                </c:pt>
                <c:pt idx="6">
                  <c:v>1363</c:v>
                </c:pt>
              </c:numCache>
            </c:numRef>
          </c:val>
          <c:extLst>
            <c:ext xmlns:c16="http://schemas.microsoft.com/office/drawing/2014/chart" uri="{C3380CC4-5D6E-409C-BE32-E72D297353CC}">
              <c16:uniqueId val="{00000000-9AA4-4017-BADC-0F834C38CCAD}"/>
            </c:ext>
          </c:extLst>
        </c:ser>
        <c:dLbls>
          <c:showLegendKey val="0"/>
          <c:showVal val="0"/>
          <c:showCatName val="0"/>
          <c:showSerName val="0"/>
          <c:showPercent val="0"/>
          <c:showBubbleSize val="0"/>
        </c:dLbls>
        <c:gapWidth val="219"/>
        <c:overlap val="-27"/>
        <c:axId val="24590496"/>
        <c:axId val="24593376"/>
      </c:barChart>
      <c:lineChart>
        <c:grouping val="standard"/>
        <c:varyColors val="0"/>
        <c:ser>
          <c:idx val="1"/>
          <c:order val="1"/>
          <c:tx>
            <c:strRef>
              <c:f>Scratch!$AE$311</c:f>
              <c:strCache>
                <c:ptCount val="1"/>
                <c:pt idx="0">
                  <c:v>Trade Payables (Days)</c:v>
                </c:pt>
              </c:strCache>
            </c:strRef>
          </c:tx>
          <c:spPr>
            <a:ln w="31750" cap="rnd">
              <a:solidFill>
                <a:srgbClr val="9ACA3C"/>
              </a:solidFill>
              <a:round/>
            </a:ln>
            <a:effectLst/>
          </c:spPr>
          <c:marker>
            <c:symbol val="none"/>
          </c:marker>
          <c:cat>
            <c:numRef>
              <c:f>Scratch!$AF$309:$AL$309</c:f>
              <c:numCache>
                <c:formatCode>0"A"</c:formatCode>
                <c:ptCount val="7"/>
                <c:pt idx="0">
                  <c:v>2019</c:v>
                </c:pt>
                <c:pt idx="1">
                  <c:v>2020</c:v>
                </c:pt>
                <c:pt idx="2">
                  <c:v>2021</c:v>
                </c:pt>
                <c:pt idx="3">
                  <c:v>2022</c:v>
                </c:pt>
                <c:pt idx="4">
                  <c:v>2023</c:v>
                </c:pt>
                <c:pt idx="5">
                  <c:v>2024</c:v>
                </c:pt>
                <c:pt idx="6">
                  <c:v>2025</c:v>
                </c:pt>
              </c:numCache>
            </c:numRef>
          </c:cat>
          <c:val>
            <c:numRef>
              <c:f>Scratch!$AF$311:$AL$311</c:f>
              <c:numCache>
                <c:formatCode>0" days"</c:formatCode>
                <c:ptCount val="7"/>
                <c:pt idx="0">
                  <c:v>85.775454319143634</c:v>
                </c:pt>
                <c:pt idx="1">
                  <c:v>93.662216288384528</c:v>
                </c:pt>
                <c:pt idx="2">
                  <c:v>90.266978922716632</c:v>
                </c:pt>
                <c:pt idx="3">
                  <c:v>83.192604856512148</c:v>
                </c:pt>
                <c:pt idx="4">
                  <c:v>95.359745841898715</c:v>
                </c:pt>
                <c:pt idx="5">
                  <c:v>116.58013900589721</c:v>
                </c:pt>
                <c:pt idx="6">
                  <c:v>99.71789161098738</c:v>
                </c:pt>
              </c:numCache>
            </c:numRef>
          </c:val>
          <c:smooth val="0"/>
          <c:extLst>
            <c:ext xmlns:c16="http://schemas.microsoft.com/office/drawing/2014/chart" uri="{C3380CC4-5D6E-409C-BE32-E72D297353CC}">
              <c16:uniqueId val="{00000001-9AA4-4017-BADC-0F834C38CCAD}"/>
            </c:ext>
          </c:extLst>
        </c:ser>
        <c:dLbls>
          <c:showLegendKey val="0"/>
          <c:showVal val="0"/>
          <c:showCatName val="0"/>
          <c:showSerName val="0"/>
          <c:showPercent val="0"/>
          <c:showBubbleSize val="0"/>
        </c:dLbls>
        <c:marker val="1"/>
        <c:smooth val="0"/>
        <c:axId val="24605376"/>
        <c:axId val="24588576"/>
      </c:lineChart>
      <c:catAx>
        <c:axId val="24590496"/>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93376"/>
        <c:crosses val="autoZero"/>
        <c:auto val="1"/>
        <c:lblAlgn val="ctr"/>
        <c:lblOffset val="100"/>
        <c:noMultiLvlLbl val="0"/>
      </c:catAx>
      <c:valAx>
        <c:axId val="24593376"/>
        <c:scaling>
          <c:orientation val="minMax"/>
          <c:min val="1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90496"/>
        <c:crosses val="autoZero"/>
        <c:crossBetween val="between"/>
      </c:valAx>
      <c:valAx>
        <c:axId val="24588576"/>
        <c:scaling>
          <c:orientation val="minMax"/>
          <c:min val="10"/>
        </c:scaling>
        <c:delete val="0"/>
        <c:axPos val="r"/>
        <c:numFmt formatCode="0&quot; days&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05376"/>
        <c:crosses val="max"/>
        <c:crossBetween val="between"/>
        <c:majorUnit val="20"/>
      </c:valAx>
      <c:catAx>
        <c:axId val="24605376"/>
        <c:scaling>
          <c:orientation val="minMax"/>
        </c:scaling>
        <c:delete val="1"/>
        <c:axPos val="b"/>
        <c:numFmt formatCode="0&quot;A&quot;" sourceLinked="1"/>
        <c:majorTickMark val="out"/>
        <c:minorTickMark val="none"/>
        <c:tickLblPos val="nextTo"/>
        <c:crossAx val="245885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Scratch!$AB$237</c:f>
              <c:strCache>
                <c:ptCount val="1"/>
                <c:pt idx="0">
                  <c:v>Share of India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20-49E6-A0F1-DD43E4234B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20-49E6-A0F1-DD43E4234B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20-49E6-A0F1-DD43E4234B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20-49E6-A0F1-DD43E4234B7F}"/>
              </c:ext>
            </c:extLst>
          </c:dPt>
          <c:dLbls>
            <c:dLbl>
              <c:idx val="0"/>
              <c:layout>
                <c:manualLayout>
                  <c:x val="-7.4999999999999997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20-49E6-A0F1-DD43E4234B7F}"/>
                </c:ext>
              </c:extLst>
            </c:dLbl>
            <c:dLbl>
              <c:idx val="1"/>
              <c:layout>
                <c:manualLayout>
                  <c:x val="6.6666666666666666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20-49E6-A0F1-DD43E4234B7F}"/>
                </c:ext>
              </c:extLst>
            </c:dLbl>
            <c:dLbl>
              <c:idx val="2"/>
              <c:layout>
                <c:manualLayout>
                  <c:x val="6.1111111111111109E-2"/>
                  <c:y val="6.9444444444444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20-49E6-A0F1-DD43E4234B7F}"/>
                </c:ext>
              </c:extLst>
            </c:dLbl>
            <c:dLbl>
              <c:idx val="3"/>
              <c:layout>
                <c:manualLayout>
                  <c:x val="4.7222222222222221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620-49E6-A0F1-DD43E4234B7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Scratch!$AA$238:$AA$241</c:f>
              <c:strCache>
                <c:ptCount val="4"/>
                <c:pt idx="0">
                  <c:v>General Trade</c:v>
                </c:pt>
                <c:pt idx="1">
                  <c:v>Modern Trade</c:v>
                </c:pt>
                <c:pt idx="2">
                  <c:v>E-commerce</c:v>
                </c:pt>
                <c:pt idx="3">
                  <c:v>Quick Commerce</c:v>
                </c:pt>
              </c:strCache>
            </c:strRef>
          </c:cat>
          <c:val>
            <c:numRef>
              <c:f>Scratch!$AB$238:$AB$241</c:f>
              <c:numCache>
                <c:formatCode>0%</c:formatCode>
                <c:ptCount val="4"/>
                <c:pt idx="0">
                  <c:v>0.72</c:v>
                </c:pt>
                <c:pt idx="1">
                  <c:v>0.14000000000000001</c:v>
                </c:pt>
                <c:pt idx="2">
                  <c:v>0.11</c:v>
                </c:pt>
                <c:pt idx="3">
                  <c:v>0.03</c:v>
                </c:pt>
              </c:numCache>
            </c:numRef>
          </c:val>
          <c:extLst>
            <c:ext xmlns:c16="http://schemas.microsoft.com/office/drawing/2014/chart" uri="{C3380CC4-5D6E-409C-BE32-E72D297353CC}">
              <c16:uniqueId val="{00000008-F620-49E6-A0F1-DD43E4234B7F}"/>
            </c:ext>
          </c:extLst>
        </c:ser>
        <c:dLbls>
          <c:showLegendKey val="0"/>
          <c:showVal val="0"/>
          <c:showCatName val="0"/>
          <c:showSerName val="0"/>
          <c:showPercent val="0"/>
          <c:showBubbleSize val="0"/>
          <c:showLeaderLines val="1"/>
        </c:dLbls>
        <c:firstSliceAng val="136"/>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9ACA3C"/>
                </a:solidFill>
              </a:rPr>
              <a:t>Borrowings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v>Short Term Borrowing % Total Borrowings</c:v>
          </c:tx>
          <c:spPr>
            <a:solidFill>
              <a:srgbClr val="0055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Scratch!$AF$314:$AL$314</c:f>
              <c:numCache>
                <c:formatCode>0"A"</c:formatCode>
                <c:ptCount val="7"/>
                <c:pt idx="0">
                  <c:v>2019</c:v>
                </c:pt>
                <c:pt idx="1">
                  <c:v>2020</c:v>
                </c:pt>
                <c:pt idx="2">
                  <c:v>2021</c:v>
                </c:pt>
                <c:pt idx="3">
                  <c:v>2022</c:v>
                </c:pt>
                <c:pt idx="4">
                  <c:v>2023</c:v>
                </c:pt>
                <c:pt idx="5">
                  <c:v>2024</c:v>
                </c:pt>
                <c:pt idx="6">
                  <c:v>2025</c:v>
                </c:pt>
              </c:numCache>
            </c:numRef>
          </c:cat>
          <c:val>
            <c:numRef>
              <c:f>Scratch!$AF$315:$AL$315</c:f>
              <c:numCache>
                <c:formatCode>0%</c:formatCode>
                <c:ptCount val="7"/>
                <c:pt idx="0">
                  <c:v>0.95988538681948421</c:v>
                </c:pt>
                <c:pt idx="1">
                  <c:v>0.97014925373134331</c:v>
                </c:pt>
                <c:pt idx="2">
                  <c:v>0.97701149425287359</c:v>
                </c:pt>
                <c:pt idx="3">
                  <c:v>1</c:v>
                </c:pt>
                <c:pt idx="4">
                  <c:v>0.99578947368421056</c:v>
                </c:pt>
                <c:pt idx="5">
                  <c:v>1</c:v>
                </c:pt>
                <c:pt idx="6">
                  <c:v>1</c:v>
                </c:pt>
              </c:numCache>
            </c:numRef>
          </c:val>
          <c:extLst>
            <c:ext xmlns:c16="http://schemas.microsoft.com/office/drawing/2014/chart" uri="{C3380CC4-5D6E-409C-BE32-E72D297353CC}">
              <c16:uniqueId val="{00000000-E55B-4254-864C-1099B428BED3}"/>
            </c:ext>
          </c:extLst>
        </c:ser>
        <c:ser>
          <c:idx val="1"/>
          <c:order val="1"/>
          <c:tx>
            <c:v>Long term Borrowing % Total Borrowings</c:v>
          </c:tx>
          <c:spPr>
            <a:solidFill>
              <a:srgbClr val="9ACA3C"/>
            </a:solidFill>
            <a:ln>
              <a:noFill/>
            </a:ln>
            <a:effectLst/>
          </c:spPr>
          <c:invertIfNegative val="0"/>
          <c:cat>
            <c:numRef>
              <c:f>Scratch!$AF$314:$AL$314</c:f>
              <c:numCache>
                <c:formatCode>0"A"</c:formatCode>
                <c:ptCount val="7"/>
                <c:pt idx="0">
                  <c:v>2019</c:v>
                </c:pt>
                <c:pt idx="1">
                  <c:v>2020</c:v>
                </c:pt>
                <c:pt idx="2">
                  <c:v>2021</c:v>
                </c:pt>
                <c:pt idx="3">
                  <c:v>2022</c:v>
                </c:pt>
                <c:pt idx="4">
                  <c:v>2023</c:v>
                </c:pt>
                <c:pt idx="5">
                  <c:v>2024</c:v>
                </c:pt>
                <c:pt idx="6">
                  <c:v>2025</c:v>
                </c:pt>
              </c:numCache>
            </c:numRef>
          </c:cat>
          <c:val>
            <c:numRef>
              <c:f>Scratch!$AF$316:$AL$316</c:f>
              <c:numCache>
                <c:formatCode>0%</c:formatCode>
                <c:ptCount val="7"/>
                <c:pt idx="0">
                  <c:v>4.0114613180515762E-2</c:v>
                </c:pt>
                <c:pt idx="1">
                  <c:v>2.9850746268656716E-2</c:v>
                </c:pt>
                <c:pt idx="2">
                  <c:v>2.2988505747126436E-2</c:v>
                </c:pt>
                <c:pt idx="3">
                  <c:v>0</c:v>
                </c:pt>
                <c:pt idx="4">
                  <c:v>4.2105263157894736E-3</c:v>
                </c:pt>
                <c:pt idx="5">
                  <c:v>0</c:v>
                </c:pt>
                <c:pt idx="6">
                  <c:v>0</c:v>
                </c:pt>
              </c:numCache>
            </c:numRef>
          </c:val>
          <c:extLst>
            <c:ext xmlns:c16="http://schemas.microsoft.com/office/drawing/2014/chart" uri="{C3380CC4-5D6E-409C-BE32-E72D297353CC}">
              <c16:uniqueId val="{00000001-E55B-4254-864C-1099B428BED3}"/>
            </c:ext>
          </c:extLst>
        </c:ser>
        <c:dLbls>
          <c:showLegendKey val="0"/>
          <c:showVal val="0"/>
          <c:showCatName val="0"/>
          <c:showSerName val="0"/>
          <c:showPercent val="0"/>
          <c:showBubbleSize val="0"/>
        </c:dLbls>
        <c:gapWidth val="100"/>
        <c:overlap val="100"/>
        <c:axId val="168834800"/>
        <c:axId val="168834320"/>
      </c:barChart>
      <c:catAx>
        <c:axId val="168834800"/>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34320"/>
        <c:crosses val="autoZero"/>
        <c:auto val="1"/>
        <c:lblAlgn val="ctr"/>
        <c:lblOffset val="100"/>
        <c:noMultiLvlLbl val="0"/>
      </c:catAx>
      <c:valAx>
        <c:axId val="168834320"/>
        <c:scaling>
          <c:orientation val="minMax"/>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34800"/>
        <c:crosses val="autoZero"/>
        <c:crossBetween val="between"/>
        <c:maj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26" fmlaLink="$K$4" fmlaRange="$B$15:$B$17" noThreeD="1" sel="1" val="0"/>
</file>

<file path=xl/ctrlProps/ctrlProp2.xml><?xml version="1.0" encoding="utf-8"?>
<formControlPr xmlns="http://schemas.microsoft.com/office/spreadsheetml/2009/9/main" objectType="Drop" dropStyle="combo" dx="26" fmlaLink="ControlSheet!$K$4" fmlaRange="ControlSheet!$B$15:$B$17" noThreeD="1" sel="1" val="0"/>
</file>

<file path=xl/ctrlProps/ctrlProp3.xml><?xml version="1.0" encoding="utf-8"?>
<formControlPr xmlns="http://schemas.microsoft.com/office/spreadsheetml/2009/9/main" objectType="Drop" dropStyle="combo" dx="26" fmlaLink="ControlSheet!$K$4" fmlaRange="ControlSheet!$B$15:$B$17" noThreeD="1" sel="1" val="0"/>
</file>

<file path=xl/ctrlProps/ctrlProp4.xml><?xml version="1.0" encoding="utf-8"?>
<formControlPr xmlns="http://schemas.microsoft.com/office/spreadsheetml/2009/9/main" objectType="Drop" dropStyle="combo" dx="26" fmlaLink="ControlSheet!$K$4" fmlaRange="ControlSheet!$B$15:$B$17" noThreeD="1" sel="1" val="0"/>
</file>

<file path=xl/ctrlProps/ctrlProp5.xml><?xml version="1.0" encoding="utf-8"?>
<formControlPr xmlns="http://schemas.microsoft.com/office/spreadsheetml/2009/9/main" objectType="Drop" dropStyle="combo" dx="26" fmlaLink="ControlSheet!$K$4" fmlaRange="ControlSheet!$B$15:$B$17" noThreeD="1" sel="1" val="0"/>
</file>

<file path=xl/ctrlProps/ctrlProp6.xml><?xml version="1.0" encoding="utf-8"?>
<formControlPr xmlns="http://schemas.microsoft.com/office/spreadsheetml/2009/9/main" objectType="Drop" dropStyle="combo" dx="26" fmlaLink="ControlSheet!$K$4" fmlaRange="ControlSheet!$B$15:$B$17" noThreeD="1" sel="1" val="0"/>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chart" Target="../charts/chart1.xm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drawing9.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17.png"/><Relationship Id="rId18" Type="http://schemas.openxmlformats.org/officeDocument/2006/relationships/chart" Target="../charts/chart17.xml"/><Relationship Id="rId26" Type="http://schemas.openxmlformats.org/officeDocument/2006/relationships/chart" Target="../charts/chart25.xml"/><Relationship Id="rId3" Type="http://schemas.openxmlformats.org/officeDocument/2006/relationships/chart" Target="../charts/chart4.xml"/><Relationship Id="rId21" Type="http://schemas.openxmlformats.org/officeDocument/2006/relationships/chart" Target="../charts/chart20.xml"/><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6.xml"/><Relationship Id="rId25" Type="http://schemas.openxmlformats.org/officeDocument/2006/relationships/chart" Target="../charts/chart24.xml"/><Relationship Id="rId2" Type="http://schemas.openxmlformats.org/officeDocument/2006/relationships/chart" Target="../charts/chart3.xml"/><Relationship Id="rId16" Type="http://schemas.openxmlformats.org/officeDocument/2006/relationships/chart" Target="../charts/chart15.xml"/><Relationship Id="rId20" Type="http://schemas.openxmlformats.org/officeDocument/2006/relationships/chart" Target="../charts/chart19.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24" Type="http://schemas.openxmlformats.org/officeDocument/2006/relationships/chart" Target="../charts/chart23.xml"/><Relationship Id="rId5" Type="http://schemas.openxmlformats.org/officeDocument/2006/relationships/chart" Target="../charts/chart6.xml"/><Relationship Id="rId15" Type="http://schemas.openxmlformats.org/officeDocument/2006/relationships/image" Target="../media/image18.png"/><Relationship Id="rId23" Type="http://schemas.openxmlformats.org/officeDocument/2006/relationships/chart" Target="../charts/chart22.xml"/><Relationship Id="rId28" Type="http://schemas.openxmlformats.org/officeDocument/2006/relationships/chart" Target="../charts/chart27.xml"/><Relationship Id="rId10" Type="http://schemas.openxmlformats.org/officeDocument/2006/relationships/chart" Target="../charts/chart11.xml"/><Relationship Id="rId19" Type="http://schemas.openxmlformats.org/officeDocument/2006/relationships/chart" Target="../charts/chart18.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4.xml"/><Relationship Id="rId22" Type="http://schemas.openxmlformats.org/officeDocument/2006/relationships/chart" Target="../charts/chart21.xml"/><Relationship Id="rId27"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editAs="oneCell">
    <xdr:from>
      <xdr:col>16</xdr:col>
      <xdr:colOff>510540</xdr:colOff>
      <xdr:row>1</xdr:row>
      <xdr:rowOff>7620</xdr:rowOff>
    </xdr:from>
    <xdr:to>
      <xdr:col>20</xdr:col>
      <xdr:colOff>22860</xdr:colOff>
      <xdr:row>13</xdr:row>
      <xdr:rowOff>53340</xdr:rowOff>
    </xdr:to>
    <xdr:pic>
      <xdr:nvPicPr>
        <xdr:cNvPr id="2" name="Picture 1">
          <a:extLst>
            <a:ext uri="{FF2B5EF4-FFF2-40B4-BE49-F238E27FC236}">
              <a16:creationId xmlns:a16="http://schemas.microsoft.com/office/drawing/2014/main" id="{52A5E420-B69F-223B-1AA9-11D86B1EF9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38020" y="190500"/>
          <a:ext cx="1950720" cy="2232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182880</xdr:colOff>
      <xdr:row>0</xdr:row>
      <xdr:rowOff>38100</xdr:rowOff>
    </xdr:from>
    <xdr:to>
      <xdr:col>31</xdr:col>
      <xdr:colOff>137160</xdr:colOff>
      <xdr:row>21</xdr:row>
      <xdr:rowOff>144040</xdr:rowOff>
    </xdr:to>
    <xdr:pic>
      <xdr:nvPicPr>
        <xdr:cNvPr id="4" name="Picture 3">
          <a:extLst>
            <a:ext uri="{FF2B5EF4-FFF2-40B4-BE49-F238E27FC236}">
              <a16:creationId xmlns:a16="http://schemas.microsoft.com/office/drawing/2014/main" id="{887E303F-7E51-F3B2-42CE-2CEB10CB08D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48760" y="38100"/>
          <a:ext cx="6659880" cy="3938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549377</xdr:colOff>
      <xdr:row>2</xdr:row>
      <xdr:rowOff>15240</xdr:rowOff>
    </xdr:from>
    <xdr:to>
      <xdr:col>16</xdr:col>
      <xdr:colOff>443649</xdr:colOff>
      <xdr:row>13</xdr:row>
      <xdr:rowOff>10560</xdr:rowOff>
    </xdr:to>
    <xdr:pic>
      <xdr:nvPicPr>
        <xdr:cNvPr id="3" name="Picture 2">
          <a:extLst>
            <a:ext uri="{FF2B5EF4-FFF2-40B4-BE49-F238E27FC236}">
              <a16:creationId xmlns:a16="http://schemas.microsoft.com/office/drawing/2014/main" id="{D9618AEE-1DF8-0525-24D2-E27F332F9AA8}"/>
            </a:ext>
          </a:extLst>
        </xdr:cNvPr>
        <xdr:cNvPicPr>
          <a:picLocks noChangeAspect="1"/>
        </xdr:cNvPicPr>
      </xdr:nvPicPr>
      <xdr:blipFill>
        <a:blip xmlns:r="http://schemas.openxmlformats.org/officeDocument/2006/relationships" r:embed="rId1"/>
        <a:stretch>
          <a:fillRect/>
        </a:stretch>
      </xdr:blipFill>
      <xdr:spPr>
        <a:xfrm>
          <a:off x="12862442" y="399801"/>
          <a:ext cx="3801857" cy="2075793"/>
        </a:xfrm>
        <a:prstGeom prst="rect">
          <a:avLst/>
        </a:prstGeom>
      </xdr:spPr>
    </xdr:pic>
    <xdr:clientData/>
  </xdr:twoCellAnchor>
  <xdr:twoCellAnchor editAs="oneCell">
    <xdr:from>
      <xdr:col>17</xdr:col>
      <xdr:colOff>413534</xdr:colOff>
      <xdr:row>2</xdr:row>
      <xdr:rowOff>59323</xdr:rowOff>
    </xdr:from>
    <xdr:to>
      <xdr:col>21</xdr:col>
      <xdr:colOff>481412</xdr:colOff>
      <xdr:row>14</xdr:row>
      <xdr:rowOff>55975</xdr:rowOff>
    </xdr:to>
    <xdr:pic>
      <xdr:nvPicPr>
        <xdr:cNvPr id="4" name="Picture 3">
          <a:extLst>
            <a:ext uri="{FF2B5EF4-FFF2-40B4-BE49-F238E27FC236}">
              <a16:creationId xmlns:a16="http://schemas.microsoft.com/office/drawing/2014/main" id="{86B34176-E445-1565-A306-9B7F1C564EAE}"/>
            </a:ext>
          </a:extLst>
        </xdr:cNvPr>
        <xdr:cNvPicPr>
          <a:picLocks noChangeAspect="1"/>
        </xdr:cNvPicPr>
      </xdr:nvPicPr>
      <xdr:blipFill>
        <a:blip xmlns:r="http://schemas.openxmlformats.org/officeDocument/2006/relationships" r:embed="rId2"/>
        <a:stretch>
          <a:fillRect/>
        </a:stretch>
      </xdr:blipFill>
      <xdr:spPr>
        <a:xfrm>
          <a:off x="17213141" y="443884"/>
          <a:ext cx="3760289" cy="2262284"/>
        </a:xfrm>
        <a:prstGeom prst="rect">
          <a:avLst/>
        </a:prstGeom>
      </xdr:spPr>
    </xdr:pic>
    <xdr:clientData/>
  </xdr:twoCellAnchor>
  <xdr:twoCellAnchor editAs="oneCell">
    <xdr:from>
      <xdr:col>25</xdr:col>
      <xdr:colOff>588065</xdr:colOff>
      <xdr:row>2</xdr:row>
      <xdr:rowOff>96013</xdr:rowOff>
    </xdr:from>
    <xdr:to>
      <xdr:col>31</xdr:col>
      <xdr:colOff>358966</xdr:colOff>
      <xdr:row>13</xdr:row>
      <xdr:rowOff>88393</xdr:rowOff>
    </xdr:to>
    <xdr:pic>
      <xdr:nvPicPr>
        <xdr:cNvPr id="5" name="Picture 4">
          <a:extLst>
            <a:ext uri="{FF2B5EF4-FFF2-40B4-BE49-F238E27FC236}">
              <a16:creationId xmlns:a16="http://schemas.microsoft.com/office/drawing/2014/main" id="{A72FE1D9-27B8-BE66-50A9-8BE8B55249F8}"/>
            </a:ext>
          </a:extLst>
        </xdr:cNvPr>
        <xdr:cNvPicPr>
          <a:picLocks noChangeAspect="1"/>
        </xdr:cNvPicPr>
      </xdr:nvPicPr>
      <xdr:blipFill>
        <a:blip xmlns:r="http://schemas.openxmlformats.org/officeDocument/2006/relationships" r:embed="rId3"/>
        <a:stretch>
          <a:fillRect/>
        </a:stretch>
      </xdr:blipFill>
      <xdr:spPr>
        <a:xfrm>
          <a:off x="22287261" y="480574"/>
          <a:ext cx="3445592" cy="2072853"/>
        </a:xfrm>
        <a:prstGeom prst="rect">
          <a:avLst/>
        </a:prstGeom>
      </xdr:spPr>
    </xdr:pic>
    <xdr:clientData/>
  </xdr:twoCellAnchor>
  <xdr:twoCellAnchor editAs="oneCell">
    <xdr:from>
      <xdr:col>25</xdr:col>
      <xdr:colOff>12035</xdr:colOff>
      <xdr:row>13</xdr:row>
      <xdr:rowOff>132148</xdr:rowOff>
    </xdr:from>
    <xdr:to>
      <xdr:col>31</xdr:col>
      <xdr:colOff>128188</xdr:colOff>
      <xdr:row>25</xdr:row>
      <xdr:rowOff>2151</xdr:rowOff>
    </xdr:to>
    <xdr:pic>
      <xdr:nvPicPr>
        <xdr:cNvPr id="6" name="Picture 5">
          <a:extLst>
            <a:ext uri="{FF2B5EF4-FFF2-40B4-BE49-F238E27FC236}">
              <a16:creationId xmlns:a16="http://schemas.microsoft.com/office/drawing/2014/main" id="{DF7D022D-0E1F-80EE-601E-45802F5AE29D}"/>
            </a:ext>
          </a:extLst>
        </xdr:cNvPr>
        <xdr:cNvPicPr>
          <a:picLocks noChangeAspect="1"/>
        </xdr:cNvPicPr>
      </xdr:nvPicPr>
      <xdr:blipFill>
        <a:blip xmlns:r="http://schemas.openxmlformats.org/officeDocument/2006/relationships" r:embed="rId4"/>
        <a:stretch>
          <a:fillRect/>
        </a:stretch>
      </xdr:blipFill>
      <xdr:spPr>
        <a:xfrm>
          <a:off x="21711231" y="2581942"/>
          <a:ext cx="3790844" cy="2091910"/>
        </a:xfrm>
        <a:prstGeom prst="rect">
          <a:avLst/>
        </a:prstGeom>
      </xdr:spPr>
    </xdr:pic>
    <xdr:clientData/>
  </xdr:twoCellAnchor>
  <xdr:twoCellAnchor editAs="oneCell">
    <xdr:from>
      <xdr:col>17</xdr:col>
      <xdr:colOff>181961</xdr:colOff>
      <xdr:row>14</xdr:row>
      <xdr:rowOff>118845</xdr:rowOff>
    </xdr:from>
    <xdr:to>
      <xdr:col>21</xdr:col>
      <xdr:colOff>368129</xdr:colOff>
      <xdr:row>24</xdr:row>
      <xdr:rowOff>170917</xdr:rowOff>
    </xdr:to>
    <xdr:pic>
      <xdr:nvPicPr>
        <xdr:cNvPr id="7" name="Picture 6">
          <a:extLst>
            <a:ext uri="{FF2B5EF4-FFF2-40B4-BE49-F238E27FC236}">
              <a16:creationId xmlns:a16="http://schemas.microsoft.com/office/drawing/2014/main" id="{96B107AD-6D47-9418-2B5A-3AD975E5EA2C}"/>
            </a:ext>
          </a:extLst>
        </xdr:cNvPr>
        <xdr:cNvPicPr>
          <a:picLocks noChangeAspect="1"/>
        </xdr:cNvPicPr>
      </xdr:nvPicPr>
      <xdr:blipFill>
        <a:blip xmlns:r="http://schemas.openxmlformats.org/officeDocument/2006/relationships" r:embed="rId5"/>
        <a:stretch>
          <a:fillRect/>
        </a:stretch>
      </xdr:blipFill>
      <xdr:spPr>
        <a:xfrm>
          <a:off x="16981568" y="2753798"/>
          <a:ext cx="3878579" cy="1903661"/>
        </a:xfrm>
        <a:prstGeom prst="rect">
          <a:avLst/>
        </a:prstGeom>
      </xdr:spPr>
    </xdr:pic>
    <xdr:clientData/>
  </xdr:twoCellAnchor>
  <xdr:twoCellAnchor editAs="oneCell">
    <xdr:from>
      <xdr:col>13</xdr:col>
      <xdr:colOff>178036</xdr:colOff>
      <xdr:row>14</xdr:row>
      <xdr:rowOff>44196</xdr:rowOff>
    </xdr:from>
    <xdr:to>
      <xdr:col>16</xdr:col>
      <xdr:colOff>101967</xdr:colOff>
      <xdr:row>25</xdr:row>
      <xdr:rowOff>13783</xdr:rowOff>
    </xdr:to>
    <xdr:pic>
      <xdr:nvPicPr>
        <xdr:cNvPr id="8" name="Picture 7">
          <a:extLst>
            <a:ext uri="{FF2B5EF4-FFF2-40B4-BE49-F238E27FC236}">
              <a16:creationId xmlns:a16="http://schemas.microsoft.com/office/drawing/2014/main" id="{4A278FF1-79CF-0BF8-DB5E-D92A804261F7}"/>
            </a:ext>
          </a:extLst>
        </xdr:cNvPr>
        <xdr:cNvPicPr>
          <a:picLocks noChangeAspect="1"/>
        </xdr:cNvPicPr>
      </xdr:nvPicPr>
      <xdr:blipFill>
        <a:blip xmlns:r="http://schemas.openxmlformats.org/officeDocument/2006/relationships" r:embed="rId6"/>
        <a:stretch>
          <a:fillRect/>
        </a:stretch>
      </xdr:blipFill>
      <xdr:spPr>
        <a:xfrm>
          <a:off x="13103550" y="2679149"/>
          <a:ext cx="2949739" cy="2006335"/>
        </a:xfrm>
        <a:prstGeom prst="rect">
          <a:avLst/>
        </a:prstGeom>
      </xdr:spPr>
    </xdr:pic>
    <xdr:clientData/>
  </xdr:twoCellAnchor>
  <xdr:twoCellAnchor editAs="oneCell">
    <xdr:from>
      <xdr:col>23</xdr:col>
      <xdr:colOff>586242</xdr:colOff>
      <xdr:row>27</xdr:row>
      <xdr:rowOff>76229</xdr:rowOff>
    </xdr:from>
    <xdr:to>
      <xdr:col>30</xdr:col>
      <xdr:colOff>94213</xdr:colOff>
      <xdr:row>39</xdr:row>
      <xdr:rowOff>36644</xdr:rowOff>
    </xdr:to>
    <xdr:pic>
      <xdr:nvPicPr>
        <xdr:cNvPr id="9" name="Picture 8">
          <a:extLst>
            <a:ext uri="{FF2B5EF4-FFF2-40B4-BE49-F238E27FC236}">
              <a16:creationId xmlns:a16="http://schemas.microsoft.com/office/drawing/2014/main" id="{50873DEA-7124-75DF-EBF8-F5931B8779AA}"/>
            </a:ext>
          </a:extLst>
        </xdr:cNvPr>
        <xdr:cNvPicPr>
          <a:picLocks noChangeAspect="1"/>
        </xdr:cNvPicPr>
      </xdr:nvPicPr>
      <xdr:blipFill>
        <a:blip xmlns:r="http://schemas.openxmlformats.org/officeDocument/2006/relationships" r:embed="rId7"/>
        <a:stretch>
          <a:fillRect/>
        </a:stretch>
      </xdr:blipFill>
      <xdr:spPr>
        <a:xfrm>
          <a:off x="21060541" y="5118248"/>
          <a:ext cx="3972322" cy="2196564"/>
        </a:xfrm>
        <a:prstGeom prst="rect">
          <a:avLst/>
        </a:prstGeom>
      </xdr:spPr>
    </xdr:pic>
    <xdr:clientData/>
  </xdr:twoCellAnchor>
  <xdr:twoCellAnchor editAs="oneCell">
    <xdr:from>
      <xdr:col>16</xdr:col>
      <xdr:colOff>106822</xdr:colOff>
      <xdr:row>27</xdr:row>
      <xdr:rowOff>155476</xdr:rowOff>
    </xdr:from>
    <xdr:to>
      <xdr:col>20</xdr:col>
      <xdr:colOff>434041</xdr:colOff>
      <xdr:row>39</xdr:row>
      <xdr:rowOff>101527</xdr:rowOff>
    </xdr:to>
    <xdr:pic>
      <xdr:nvPicPr>
        <xdr:cNvPr id="10" name="Picture 9">
          <a:extLst>
            <a:ext uri="{FF2B5EF4-FFF2-40B4-BE49-F238E27FC236}">
              <a16:creationId xmlns:a16="http://schemas.microsoft.com/office/drawing/2014/main" id="{69A6E5E5-C493-86CA-01ED-3C9B2CB56A9F}"/>
            </a:ext>
          </a:extLst>
        </xdr:cNvPr>
        <xdr:cNvPicPr>
          <a:picLocks noChangeAspect="1"/>
        </xdr:cNvPicPr>
      </xdr:nvPicPr>
      <xdr:blipFill>
        <a:blip xmlns:r="http://schemas.openxmlformats.org/officeDocument/2006/relationships" r:embed="rId8"/>
        <a:stretch>
          <a:fillRect/>
        </a:stretch>
      </xdr:blipFill>
      <xdr:spPr>
        <a:xfrm>
          <a:off x="16293981" y="5197495"/>
          <a:ext cx="4019631" cy="2182200"/>
        </a:xfrm>
        <a:prstGeom prst="rect">
          <a:avLst/>
        </a:prstGeom>
      </xdr:spPr>
    </xdr:pic>
    <xdr:clientData/>
  </xdr:twoCellAnchor>
  <xdr:twoCellAnchor editAs="oneCell">
    <xdr:from>
      <xdr:col>33</xdr:col>
      <xdr:colOff>162014</xdr:colOff>
      <xdr:row>27</xdr:row>
      <xdr:rowOff>73564</xdr:rowOff>
    </xdr:from>
    <xdr:to>
      <xdr:col>38</xdr:col>
      <xdr:colOff>549402</xdr:colOff>
      <xdr:row>37</xdr:row>
      <xdr:rowOff>64094</xdr:rowOff>
    </xdr:to>
    <xdr:pic>
      <xdr:nvPicPr>
        <xdr:cNvPr id="11" name="Picture 10">
          <a:extLst>
            <a:ext uri="{FF2B5EF4-FFF2-40B4-BE49-F238E27FC236}">
              <a16:creationId xmlns:a16="http://schemas.microsoft.com/office/drawing/2014/main" id="{C2E7859D-0CF4-929A-62B5-31E7A9FB9606}"/>
            </a:ext>
          </a:extLst>
        </xdr:cNvPr>
        <xdr:cNvPicPr>
          <a:picLocks noChangeAspect="1"/>
        </xdr:cNvPicPr>
      </xdr:nvPicPr>
      <xdr:blipFill>
        <a:blip xmlns:r="http://schemas.openxmlformats.org/officeDocument/2006/relationships" r:embed="rId9"/>
        <a:stretch>
          <a:fillRect/>
        </a:stretch>
      </xdr:blipFill>
      <xdr:spPr>
        <a:xfrm>
          <a:off x="26760799" y="5115583"/>
          <a:ext cx="3449631" cy="1856361"/>
        </a:xfrm>
        <a:prstGeom prst="rect">
          <a:avLst/>
        </a:prstGeom>
      </xdr:spPr>
    </xdr:pic>
    <xdr:clientData/>
  </xdr:twoCellAnchor>
  <xdr:twoCellAnchor editAs="oneCell">
    <xdr:from>
      <xdr:col>12</xdr:col>
      <xdr:colOff>263495</xdr:colOff>
      <xdr:row>28</xdr:row>
      <xdr:rowOff>175373</xdr:rowOff>
    </xdr:from>
    <xdr:to>
      <xdr:col>15</xdr:col>
      <xdr:colOff>790106</xdr:colOff>
      <xdr:row>39</xdr:row>
      <xdr:rowOff>86573</xdr:rowOff>
    </xdr:to>
    <xdr:pic>
      <xdr:nvPicPr>
        <xdr:cNvPr id="12" name="Picture 11">
          <a:extLst>
            <a:ext uri="{FF2B5EF4-FFF2-40B4-BE49-F238E27FC236}">
              <a16:creationId xmlns:a16="http://schemas.microsoft.com/office/drawing/2014/main" id="{0859AE72-6E30-C8D8-C874-E93AC5024B1A}"/>
            </a:ext>
          </a:extLst>
        </xdr:cNvPr>
        <xdr:cNvPicPr>
          <a:picLocks noChangeAspect="1"/>
        </xdr:cNvPicPr>
      </xdr:nvPicPr>
      <xdr:blipFill>
        <a:blip xmlns:r="http://schemas.openxmlformats.org/officeDocument/2006/relationships" r:embed="rId10"/>
        <a:stretch>
          <a:fillRect/>
        </a:stretch>
      </xdr:blipFill>
      <xdr:spPr>
        <a:xfrm>
          <a:off x="12576560" y="5402551"/>
          <a:ext cx="3491471" cy="1962190"/>
        </a:xfrm>
        <a:prstGeom prst="rect">
          <a:avLst/>
        </a:prstGeom>
      </xdr:spPr>
    </xdr:pic>
    <xdr:clientData/>
  </xdr:twoCellAnchor>
  <xdr:twoCellAnchor editAs="oneCell">
    <xdr:from>
      <xdr:col>13</xdr:col>
      <xdr:colOff>14243</xdr:colOff>
      <xdr:row>44</xdr:row>
      <xdr:rowOff>53780</xdr:rowOff>
    </xdr:from>
    <xdr:to>
      <xdr:col>16</xdr:col>
      <xdr:colOff>235186</xdr:colOff>
      <xdr:row>52</xdr:row>
      <xdr:rowOff>170271</xdr:rowOff>
    </xdr:to>
    <xdr:pic>
      <xdr:nvPicPr>
        <xdr:cNvPr id="13" name="Picture 12">
          <a:extLst>
            <a:ext uri="{FF2B5EF4-FFF2-40B4-BE49-F238E27FC236}">
              <a16:creationId xmlns:a16="http://schemas.microsoft.com/office/drawing/2014/main" id="{C42E2196-0DE2-3B3D-2F66-DDD33F3F4750}"/>
            </a:ext>
          </a:extLst>
        </xdr:cNvPr>
        <xdr:cNvPicPr>
          <a:picLocks noChangeAspect="1"/>
        </xdr:cNvPicPr>
      </xdr:nvPicPr>
      <xdr:blipFill>
        <a:blip xmlns:r="http://schemas.openxmlformats.org/officeDocument/2006/relationships" r:embed="rId11"/>
        <a:stretch>
          <a:fillRect/>
        </a:stretch>
      </xdr:blipFill>
      <xdr:spPr>
        <a:xfrm>
          <a:off x="12939757" y="8250621"/>
          <a:ext cx="3252216" cy="1612005"/>
        </a:xfrm>
        <a:prstGeom prst="rect">
          <a:avLst/>
        </a:prstGeom>
      </xdr:spPr>
    </xdr:pic>
    <xdr:clientData/>
  </xdr:twoCellAnchor>
  <xdr:twoCellAnchor editAs="oneCell">
    <xdr:from>
      <xdr:col>11</xdr:col>
      <xdr:colOff>1844467</xdr:colOff>
      <xdr:row>114</xdr:row>
      <xdr:rowOff>85459</xdr:rowOff>
    </xdr:from>
    <xdr:to>
      <xdr:col>15</xdr:col>
      <xdr:colOff>912376</xdr:colOff>
      <xdr:row>123</xdr:row>
      <xdr:rowOff>21601</xdr:rowOff>
    </xdr:to>
    <xdr:pic>
      <xdr:nvPicPr>
        <xdr:cNvPr id="2" name="Picture 1">
          <a:extLst>
            <a:ext uri="{FF2B5EF4-FFF2-40B4-BE49-F238E27FC236}">
              <a16:creationId xmlns:a16="http://schemas.microsoft.com/office/drawing/2014/main" id="{8980B966-FDB5-812F-C28B-10257283A3DD}"/>
            </a:ext>
          </a:extLst>
        </xdr:cNvPr>
        <xdr:cNvPicPr>
          <a:picLocks noChangeAspect="1"/>
        </xdr:cNvPicPr>
      </xdr:nvPicPr>
      <xdr:blipFill>
        <a:blip xmlns:r="http://schemas.openxmlformats.org/officeDocument/2006/relationships" r:embed="rId12"/>
        <a:stretch>
          <a:fillRect/>
        </a:stretch>
      </xdr:blipFill>
      <xdr:spPr>
        <a:xfrm>
          <a:off x="15482131" y="21307515"/>
          <a:ext cx="3881215" cy="1616815"/>
        </a:xfrm>
        <a:prstGeom prst="rect">
          <a:avLst/>
        </a:prstGeom>
      </xdr:spPr>
    </xdr:pic>
    <xdr:clientData/>
  </xdr:twoCellAnchor>
  <xdr:twoCellAnchor>
    <xdr:from>
      <xdr:col>0</xdr:col>
      <xdr:colOff>113944</xdr:colOff>
      <xdr:row>137</xdr:row>
      <xdr:rowOff>49850</xdr:rowOff>
    </xdr:from>
    <xdr:to>
      <xdr:col>6</xdr:col>
      <xdr:colOff>840335</xdr:colOff>
      <xdr:row>163</xdr:row>
      <xdr:rowOff>135308</xdr:rowOff>
    </xdr:to>
    <xdr:sp macro="" textlink="">
      <xdr:nvSpPr>
        <xdr:cNvPr id="14" name="TextBox 13">
          <a:extLst>
            <a:ext uri="{FF2B5EF4-FFF2-40B4-BE49-F238E27FC236}">
              <a16:creationId xmlns:a16="http://schemas.microsoft.com/office/drawing/2014/main" id="{A75874D9-A25B-5C59-9B0C-99F134BC7BBE}"/>
            </a:ext>
          </a:extLst>
        </xdr:cNvPr>
        <xdr:cNvSpPr txBox="1"/>
      </xdr:nvSpPr>
      <xdr:spPr>
        <a:xfrm>
          <a:off x="113944" y="29696635"/>
          <a:ext cx="7563027" cy="48995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During FY2025, </a:t>
          </a:r>
          <a:r>
            <a:rPr lang="en-IN" b="1"/>
            <a:t>gross margins declined by 50 bps to 50.3%</a:t>
          </a:r>
          <a:r>
            <a:rPr lang="en-IN"/>
            <a:t>, primarily due to a sharp increase in the cost of </a:t>
          </a:r>
          <a:r>
            <a:rPr lang="en-IN" b="1"/>
            <a:t>copra</a:t>
          </a:r>
          <a:r>
            <a:rPr lang="en-IN"/>
            <a:t>, which constitutes a major portion of Marico’s raw material basket. Despite elevated inflation and higher input prices, the overall impact on margins remained </a:t>
          </a:r>
          <a:r>
            <a:rPr lang="en-IN" b="1"/>
            <a:t>limited</a:t>
          </a:r>
          <a:r>
            <a:rPr lang="en-IN"/>
            <a:t>, aided by </a:t>
          </a:r>
          <a:r>
            <a:rPr lang="en-IN" b="1"/>
            <a:t>timely price hikes</a:t>
          </a:r>
          <a:r>
            <a:rPr lang="en-IN"/>
            <a:t>, a </a:t>
          </a:r>
          <a:r>
            <a:rPr lang="en-IN" b="1"/>
            <a:t>favorable product mix</a:t>
          </a:r>
          <a:r>
            <a:rPr lang="en-IN"/>
            <a:t>, and </a:t>
          </a:r>
          <a:r>
            <a:rPr lang="en-IN" b="1"/>
            <a:t>cost-optimization initiatives</a:t>
          </a:r>
          <a:r>
            <a:rPr lang="en-IN"/>
            <a:t> undertaken across manufacturing and packaging, as explained by the management.</a:t>
          </a:r>
        </a:p>
        <a:p>
          <a:br>
            <a:rPr lang="en-IN"/>
          </a:br>
          <a:r>
            <a:rPr lang="en-IN"/>
            <a:t>Raw materials account for </a:t>
          </a:r>
          <a:r>
            <a:rPr lang="en-IN" b="1"/>
            <a:t>over ~ 85% of the company’s total cost of goods sold</a:t>
          </a:r>
          <a:r>
            <a:rPr lang="en-IN"/>
            <a:t> and nearly ~ </a:t>
          </a:r>
          <a:r>
            <a:rPr lang="en-IN" b="1"/>
            <a:t>45% of its revenue</a:t>
          </a:r>
          <a:r>
            <a:rPr lang="en-IN"/>
            <a:t>. Within this, </a:t>
          </a:r>
          <a:r>
            <a:rPr lang="en-IN" b="1"/>
            <a:t>copra contributes around ~40%</a:t>
          </a:r>
          <a:r>
            <a:rPr lang="en-IN"/>
            <a:t>, </a:t>
          </a:r>
          <a:r>
            <a:rPr lang="en-IN" b="1"/>
            <a:t>rice bran oil about ~18%</a:t>
          </a:r>
          <a:r>
            <a:rPr lang="en-IN"/>
            <a:t>, and </a:t>
          </a:r>
          <a:r>
            <a:rPr lang="en-IN" b="1"/>
            <a:t>edible oils ~25%</a:t>
          </a:r>
          <a:r>
            <a:rPr lang="en-IN"/>
            <a:t>, all of which faced </a:t>
          </a:r>
          <a:r>
            <a:rPr lang="en-IN" b="1"/>
            <a:t>significant inflationary pressure during FY2025</a:t>
          </a:r>
          <a:r>
            <a:rPr lang="en-IN"/>
            <a:t>.</a:t>
          </a:r>
        </a:p>
        <a:p>
          <a:endParaRPr lang="en-IN"/>
        </a:p>
        <a:p>
          <a:pPr marL="0" marR="0" lvl="0" indent="0" defTabSz="914400" eaLnBrk="1" fontAlgn="auto" latinLnBrk="0" hangingPunct="1">
            <a:lnSpc>
              <a:spcPct val="100000"/>
            </a:lnSpc>
            <a:spcBef>
              <a:spcPts val="0"/>
            </a:spcBef>
            <a:spcAft>
              <a:spcPts val="0"/>
            </a:spcAft>
            <a:buClrTx/>
            <a:buSzTx/>
            <a:buFontTx/>
            <a:buNone/>
            <a:tabLst/>
            <a:defRPr/>
          </a:pPr>
          <a:r>
            <a:rPr lang="en-IN"/>
            <a:t>The </a:t>
          </a:r>
          <a:r>
            <a:rPr lang="en-IN" b="1"/>
            <a:t>price of copra</a:t>
          </a:r>
          <a:r>
            <a:rPr lang="en-IN"/>
            <a:t>, one of the main raw materials, depends heavily on </a:t>
          </a:r>
          <a:r>
            <a:rPr lang="en-IN" b="1"/>
            <a:t>weather conditions</a:t>
          </a:r>
          <a:r>
            <a:rPr lang="en-IN"/>
            <a:t>. In FY2025, it saw a </a:t>
          </a:r>
          <a:r>
            <a:rPr lang="en-IN" b="1"/>
            <a:t>sharp rise</a:t>
          </a:r>
          <a:r>
            <a:rPr lang="en-IN"/>
            <a:t> because of a </a:t>
          </a:r>
          <a:r>
            <a:rPr lang="en-IN" b="1"/>
            <a:t>supply–demand gap</a:t>
          </a:r>
          <a:r>
            <a:rPr lang="en-IN"/>
            <a:t> caused by </a:t>
          </a:r>
          <a:r>
            <a:rPr lang="en-IN" b="1"/>
            <a:t>low crop yield and unseasonal rains</a:t>
          </a:r>
          <a:r>
            <a:rPr lang="en-IN"/>
            <a:t> in key producing regions. This led to </a:t>
          </a:r>
          <a:r>
            <a:rPr lang="en-IN" b="1"/>
            <a:t>hyperinflation in copra prices</a:t>
          </a:r>
          <a:r>
            <a:rPr lang="en-IN"/>
            <a:t>, putting pressure on input costs. </a:t>
          </a:r>
          <a:r>
            <a:rPr lang="en-IN" b="1"/>
            <a:t>Edible and vegetable oils</a:t>
          </a:r>
          <a:r>
            <a:rPr lang="en-IN"/>
            <a:t> also remained volatile due to </a:t>
          </a:r>
          <a:r>
            <a:rPr lang="en-IN" b="1"/>
            <a:t>changes in import duties and global market fluctuations</a:t>
          </a:r>
          <a:r>
            <a:rPr lang="en-IN"/>
            <a:t>. The </a:t>
          </a:r>
          <a:r>
            <a:rPr lang="en-IN" b="1"/>
            <a:t>copra price cycle</a:t>
          </a:r>
          <a:r>
            <a:rPr lang="en-IN"/>
            <a:t> is expected to </a:t>
          </a:r>
          <a:r>
            <a:rPr lang="en-IN" b="1"/>
            <a:t>stabilize gradually</a:t>
          </a:r>
          <a:r>
            <a:rPr lang="en-IN"/>
            <a:t> as weather and supply conditions improve.</a:t>
          </a:r>
        </a:p>
        <a:p>
          <a:pPr marL="0" marR="0" lvl="0" indent="0" defTabSz="914400" eaLnBrk="1" fontAlgn="auto" latinLnBrk="0" hangingPunct="1">
            <a:lnSpc>
              <a:spcPct val="100000"/>
            </a:lnSpc>
            <a:spcBef>
              <a:spcPts val="0"/>
            </a:spcBef>
            <a:spcAft>
              <a:spcPts val="0"/>
            </a:spcAft>
            <a:buClrTx/>
            <a:buSzTx/>
            <a:buFontTx/>
            <a:buNone/>
            <a:tabLst/>
            <a:defRPr/>
          </a:pPr>
          <a:endParaRPr lang="en-IN"/>
        </a:p>
        <a:p>
          <a:pPr marL="0" marR="0" lvl="0" indent="0" defTabSz="914400" eaLnBrk="1" fontAlgn="auto" latinLnBrk="0" hangingPunct="1">
            <a:lnSpc>
              <a:spcPct val="100000"/>
            </a:lnSpc>
            <a:spcBef>
              <a:spcPts val="0"/>
            </a:spcBef>
            <a:spcAft>
              <a:spcPts val="0"/>
            </a:spcAft>
            <a:buClrTx/>
            <a:buSzTx/>
            <a:buFontTx/>
            <a:buNone/>
            <a:tabLst/>
            <a:defRPr/>
          </a:pPr>
          <a:r>
            <a:rPr lang="en-IN"/>
            <a:t>To deal with inflation, the company made </a:t>
          </a:r>
          <a:r>
            <a:rPr lang="en-IN" b="1"/>
            <a:t>planned price increases</a:t>
          </a:r>
          <a:r>
            <a:rPr lang="en-IN"/>
            <a:t> across all products and improved </a:t>
          </a:r>
          <a:r>
            <a:rPr lang="en-IN" b="1"/>
            <a:t>scale efficiency</a:t>
          </a:r>
          <a:r>
            <a:rPr lang="en-IN"/>
            <a:t> to get better </a:t>
          </a:r>
          <a:r>
            <a:rPr lang="en-IN" b="1"/>
            <a:t>deals from suppliers</a:t>
          </a:r>
          <a:r>
            <a:rPr lang="en-IN"/>
            <a:t>. It also worked on </a:t>
          </a:r>
          <a:r>
            <a:rPr lang="en-IN" b="1"/>
            <a:t>cost control and production efficiency</a:t>
          </a:r>
          <a:r>
            <a:rPr lang="en-IN"/>
            <a:t>. These steps, along with a higher share of </a:t>
          </a:r>
          <a:r>
            <a:rPr lang="en-IN" b="1"/>
            <a:t>premium products</a:t>
          </a:r>
          <a:r>
            <a:rPr lang="en-IN"/>
            <a:t>, helped keep the </a:t>
          </a:r>
          <a:r>
            <a:rPr lang="en-IN" b="1"/>
            <a:t>gross margin stable</a:t>
          </a:r>
          <a:r>
            <a:rPr lang="en-IN"/>
            <a:t> even when raw material costs were high.</a:t>
          </a:r>
        </a:p>
        <a:p>
          <a:pPr marL="0" marR="0" lvl="0" indent="0" defTabSz="914400" eaLnBrk="1" fontAlgn="auto" latinLnBrk="0" hangingPunct="1">
            <a:lnSpc>
              <a:spcPct val="100000"/>
            </a:lnSpc>
            <a:spcBef>
              <a:spcPts val="0"/>
            </a:spcBef>
            <a:spcAft>
              <a:spcPts val="0"/>
            </a:spcAft>
            <a:buClrTx/>
            <a:buSzTx/>
            <a:buFontTx/>
            <a:buNone/>
            <a:tabLst/>
            <a:defRPr/>
          </a:pPr>
          <a:endParaRPr lang="en-IN"/>
        </a:p>
        <a:p>
          <a:pPr marL="0" marR="0" lvl="0" indent="0" defTabSz="914400" eaLnBrk="1" fontAlgn="auto" latinLnBrk="0" hangingPunct="1">
            <a:lnSpc>
              <a:spcPct val="100000"/>
            </a:lnSpc>
            <a:spcBef>
              <a:spcPts val="0"/>
            </a:spcBef>
            <a:spcAft>
              <a:spcPts val="0"/>
            </a:spcAft>
            <a:buClrTx/>
            <a:buSzTx/>
            <a:buFontTx/>
            <a:buNone/>
            <a:tabLst/>
            <a:defRPr/>
          </a:pPr>
          <a:r>
            <a:rPr lang="en-IN"/>
            <a:t>In the past, the company has kept its </a:t>
          </a:r>
          <a:r>
            <a:rPr lang="en-IN" b="1"/>
            <a:t>gross margin between 45–53%</a:t>
          </a:r>
          <a:r>
            <a:rPr lang="en-IN"/>
            <a:t>, which is higher than the </a:t>
          </a:r>
          <a:r>
            <a:rPr lang="en-IN" b="1"/>
            <a:t>industry average of 47%</a:t>
          </a:r>
          <a:r>
            <a:rPr lang="en-IN"/>
            <a:t>. Based on research, the </a:t>
          </a:r>
          <a:r>
            <a:rPr lang="en-IN" b="1"/>
            <a:t>Indian FMCG sector</a:t>
          </a:r>
          <a:r>
            <a:rPr lang="en-IN"/>
            <a:t> has an average margin of </a:t>
          </a:r>
          <a:r>
            <a:rPr lang="en-IN" b="1"/>
            <a:t>52%</a:t>
          </a:r>
          <a:r>
            <a:rPr lang="en-IN"/>
            <a:t>, while </a:t>
          </a:r>
          <a:r>
            <a:rPr lang="en-IN" b="1"/>
            <a:t>emerging markets</a:t>
          </a:r>
          <a:r>
            <a:rPr lang="en-IN"/>
            <a:t> average around </a:t>
          </a:r>
          <a:r>
            <a:rPr lang="en-IN" b="1"/>
            <a:t>48%</a:t>
          </a:r>
          <a:r>
            <a:rPr lang="en-IN"/>
            <a:t>, and </a:t>
          </a:r>
          <a:r>
            <a:rPr lang="en-IN" b="1"/>
            <a:t>global peers</a:t>
          </a:r>
          <a:r>
            <a:rPr lang="en-IN"/>
            <a:t> are near </a:t>
          </a:r>
          <a:r>
            <a:rPr lang="en-IN" b="1"/>
            <a:t>51.8%</a:t>
          </a:r>
          <a:r>
            <a:rPr lang="en-IN"/>
            <a:t>. This shows the company’s </a:t>
          </a:r>
          <a:r>
            <a:rPr lang="en-IN" b="1"/>
            <a:t>strong cost control and good pricing strategy</a:t>
          </a:r>
          <a:r>
            <a:rPr lang="en-IN"/>
            <a:t> even when input prices change.</a:t>
          </a:r>
        </a:p>
        <a:p>
          <a:pPr marL="0" marR="0" lvl="0" indent="0" defTabSz="914400" eaLnBrk="1" fontAlgn="auto" latinLnBrk="0" hangingPunct="1">
            <a:lnSpc>
              <a:spcPct val="100000"/>
            </a:lnSpc>
            <a:spcBef>
              <a:spcPts val="0"/>
            </a:spcBef>
            <a:spcAft>
              <a:spcPts val="0"/>
            </a:spcAft>
            <a:buClrTx/>
            <a:buSzTx/>
            <a:buFontTx/>
            <a:buNone/>
            <a:tabLst/>
            <a:defRPr/>
          </a:pPr>
          <a:endParaRPr lang="en-IN"/>
        </a:p>
        <a:p>
          <a:pPr marL="0" marR="0" lvl="0" indent="0" defTabSz="914400" eaLnBrk="1" fontAlgn="auto" latinLnBrk="0" hangingPunct="1">
            <a:lnSpc>
              <a:spcPct val="100000"/>
            </a:lnSpc>
            <a:spcBef>
              <a:spcPts val="0"/>
            </a:spcBef>
            <a:spcAft>
              <a:spcPts val="0"/>
            </a:spcAft>
            <a:buClrTx/>
            <a:buSzTx/>
            <a:buFontTx/>
            <a:buNone/>
            <a:tabLst/>
            <a:defRPr/>
          </a:pPr>
          <a:r>
            <a:rPr lang="en-IN"/>
            <a:t>As raw material prices start to </a:t>
          </a:r>
          <a:r>
            <a:rPr lang="en-IN" b="1"/>
            <a:t>soften</a:t>
          </a:r>
          <a:r>
            <a:rPr lang="en-IN"/>
            <a:t> and </a:t>
          </a:r>
          <a:r>
            <a:rPr lang="en-IN" b="1"/>
            <a:t>price hikes remain in place</a:t>
          </a:r>
          <a:r>
            <a:rPr lang="en-IN"/>
            <a:t>, margins are likely to </a:t>
          </a:r>
          <a:r>
            <a:rPr lang="en-IN" b="1"/>
            <a:t>recover to around 50% in</a:t>
          </a:r>
          <a:r>
            <a:rPr lang="en-IN" b="1" baseline="0"/>
            <a:t> short term</a:t>
          </a:r>
          <a:r>
            <a:rPr lang="en-IN" b="0" baseline="0"/>
            <a:t> which is inline with street estimate of ~51%</a:t>
          </a:r>
          <a:r>
            <a:rPr lang="en-IN"/>
            <a:t> and</a:t>
          </a:r>
          <a:r>
            <a:rPr lang="en-IN" baseline="0"/>
            <a:t> converge with the </a:t>
          </a:r>
          <a:r>
            <a:rPr lang="en-IN" b="1"/>
            <a:t>global sector average</a:t>
          </a:r>
          <a:r>
            <a:rPr lang="en-IN" b="1" baseline="0"/>
            <a:t> margin </a:t>
          </a:r>
          <a:r>
            <a:rPr lang="en-IN" b="1"/>
            <a:t>of about 51.8%</a:t>
          </a:r>
          <a:r>
            <a:rPr lang="en-IN"/>
            <a:t>. </a:t>
          </a:r>
        </a:p>
      </xdr:txBody>
    </xdr:sp>
    <xdr:clientData/>
  </xdr:twoCellAnchor>
  <xdr:twoCellAnchor>
    <xdr:from>
      <xdr:col>1</xdr:col>
      <xdr:colOff>106822</xdr:colOff>
      <xdr:row>259</xdr:row>
      <xdr:rowOff>106823</xdr:rowOff>
    </xdr:from>
    <xdr:to>
      <xdr:col>8</xdr:col>
      <xdr:colOff>306224</xdr:colOff>
      <xdr:row>275</xdr:row>
      <xdr:rowOff>42729</xdr:rowOff>
    </xdr:to>
    <xdr:sp macro="" textlink="">
      <xdr:nvSpPr>
        <xdr:cNvPr id="15" name="TextBox 14">
          <a:extLst>
            <a:ext uri="{FF2B5EF4-FFF2-40B4-BE49-F238E27FC236}">
              <a16:creationId xmlns:a16="http://schemas.microsoft.com/office/drawing/2014/main" id="{35A8E395-8F7C-EB45-B743-5699C3E3C093}"/>
            </a:ext>
          </a:extLst>
        </xdr:cNvPr>
        <xdr:cNvSpPr txBox="1"/>
      </xdr:nvSpPr>
      <xdr:spPr>
        <a:xfrm>
          <a:off x="235009" y="48098580"/>
          <a:ext cx="9215215" cy="28984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During FY2025, the company has reported an </a:t>
          </a:r>
          <a:r>
            <a:rPr lang="en-IN" b="1"/>
            <a:t>EBITDA margin of 19.7%</a:t>
          </a:r>
          <a:r>
            <a:rPr lang="en-IN"/>
            <a:t>, which is </a:t>
          </a:r>
          <a:r>
            <a:rPr lang="en-IN" b="1"/>
            <a:t>130 bps lower than FY2024’s EBITDA margin of 21.0%</a:t>
          </a:r>
          <a:r>
            <a:rPr lang="en-IN"/>
            <a:t>. The fall in margin was mainly due to an </a:t>
          </a:r>
          <a:r>
            <a:rPr lang="en-IN" b="1"/>
            <a:t>increase in raw material costs</a:t>
          </a:r>
          <a:r>
            <a:rPr lang="en-IN"/>
            <a:t>, especially </a:t>
          </a:r>
          <a:r>
            <a:rPr lang="en-IN" b="1"/>
            <a:t>copra and edible oil</a:t>
          </a:r>
          <a:r>
            <a:rPr lang="en-IN"/>
            <a:t>. The management has stated that it will </a:t>
          </a:r>
          <a:r>
            <a:rPr lang="en-IN" b="1"/>
            <a:t>keep operating expenses under control</a:t>
          </a:r>
          <a:r>
            <a:rPr lang="en-IN"/>
            <a:t> and has given an </a:t>
          </a:r>
          <a:r>
            <a:rPr lang="en-IN" b="1"/>
            <a:t>EBITDA margin guidance of around 22%</a:t>
          </a:r>
          <a:r>
            <a:rPr lang="en-IN"/>
            <a:t>.</a:t>
          </a:r>
        </a:p>
        <a:p>
          <a:endParaRPr lang="en-IN"/>
        </a:p>
        <a:p>
          <a:r>
            <a:rPr lang="en-IN"/>
            <a:t>Based on our research, we found that </a:t>
          </a:r>
          <a:r>
            <a:rPr lang="en-IN" b="1"/>
            <a:t>SG&amp;A expenses have historically been around 28–30% of revenue</a:t>
          </a:r>
          <a:r>
            <a:rPr lang="en-IN"/>
            <a:t>, and the three major costs — </a:t>
          </a:r>
          <a:r>
            <a:rPr lang="en-IN" b="1"/>
            <a:t>Employee Benefit Cost, Advertisement and Sales Promotion, and Freight and Distribution Expenses</a:t>
          </a:r>
          <a:r>
            <a:rPr lang="en-IN"/>
            <a:t> — together account for about </a:t>
          </a:r>
          <a:r>
            <a:rPr lang="en-IN" b="1"/>
            <a:t>72% of the total SG&amp;A expenses</a:t>
          </a:r>
          <a:r>
            <a:rPr lang="en-IN"/>
            <a:t>. These key expenses are directly linked to sales and have a significant impact on the company’s profitability.</a:t>
          </a:r>
        </a:p>
        <a:p>
          <a:endParaRPr lang="en-IN"/>
        </a:p>
        <a:p>
          <a:r>
            <a:rPr lang="en-IN"/>
            <a:t>Going ahead, we expect </a:t>
          </a:r>
          <a:r>
            <a:rPr lang="en-IN" b="1"/>
            <a:t>total SG&amp;A expenses will</a:t>
          </a:r>
          <a:r>
            <a:rPr lang="en-IN" b="1" baseline="0"/>
            <a:t> be 31</a:t>
          </a:r>
          <a:r>
            <a:rPr lang="en-IN" b="1"/>
            <a:t>% of revenue</a:t>
          </a:r>
          <a:r>
            <a:rPr lang="en-IN"/>
            <a:t>, as the company is </a:t>
          </a:r>
          <a:r>
            <a:rPr lang="en-IN" b="1"/>
            <a:t>spending more to promote its new products</a:t>
          </a:r>
          <a:r>
            <a:rPr lang="en-IN"/>
            <a:t> such as </a:t>
          </a:r>
          <a:r>
            <a:rPr lang="en-IN" b="1"/>
            <a:t>Value-Added Hair Oils (VAHO)</a:t>
          </a:r>
          <a:r>
            <a:rPr lang="en-IN"/>
            <a:t>, </a:t>
          </a:r>
          <a:r>
            <a:rPr lang="en-IN" b="1"/>
            <a:t>Foods</a:t>
          </a:r>
          <a:r>
            <a:rPr lang="en-IN"/>
            <a:t>, and </a:t>
          </a:r>
          <a:r>
            <a:rPr lang="en-IN" b="1"/>
            <a:t>Premium Personal Care</a:t>
          </a:r>
          <a:r>
            <a:rPr lang="en-IN"/>
            <a:t> products. In addition, </a:t>
          </a:r>
          <a:r>
            <a:rPr lang="en-IN" b="1"/>
            <a:t>freight and distribution expenses</a:t>
          </a:r>
          <a:r>
            <a:rPr lang="en-IN"/>
            <a:t> are also likely to rise due to </a:t>
          </a:r>
          <a:r>
            <a:rPr lang="en-IN" b="1"/>
            <a:t>Project SETU,</a:t>
          </a:r>
          <a:r>
            <a:rPr lang="en-IN" b="1" baseline="0"/>
            <a:t> </a:t>
          </a:r>
          <a:r>
            <a:rPr lang="en-IN"/>
            <a:t>which aims to </a:t>
          </a:r>
          <a:r>
            <a:rPr lang="en-IN" b="1"/>
            <a:t>expand rural distribution and reach over 1.5 million outlets across India</a:t>
          </a:r>
          <a:r>
            <a:rPr lang="en-IN"/>
            <a:t>.</a:t>
          </a:r>
        </a:p>
        <a:p>
          <a:endParaRPr lang="en-IN" sz="1100"/>
        </a:p>
      </xdr:txBody>
    </xdr:sp>
    <xdr:clientData/>
  </xdr:twoCellAnchor>
  <xdr:twoCellAnchor>
    <xdr:from>
      <xdr:col>1</xdr:col>
      <xdr:colOff>71214</xdr:colOff>
      <xdr:row>87</xdr:row>
      <xdr:rowOff>121066</xdr:rowOff>
    </xdr:from>
    <xdr:to>
      <xdr:col>7</xdr:col>
      <xdr:colOff>792480</xdr:colOff>
      <xdr:row>101</xdr:row>
      <xdr:rowOff>42729</xdr:rowOff>
    </xdr:to>
    <xdr:sp macro="" textlink="">
      <xdr:nvSpPr>
        <xdr:cNvPr id="16" name="TextBox 15">
          <a:extLst>
            <a:ext uri="{FF2B5EF4-FFF2-40B4-BE49-F238E27FC236}">
              <a16:creationId xmlns:a16="http://schemas.microsoft.com/office/drawing/2014/main" id="{625A15A1-F16B-3987-7A78-C1DFF95FB8C2}"/>
            </a:ext>
          </a:extLst>
        </xdr:cNvPr>
        <xdr:cNvSpPr txBox="1"/>
      </xdr:nvSpPr>
      <xdr:spPr>
        <a:xfrm>
          <a:off x="261714" y="16206886"/>
          <a:ext cx="8790846" cy="2481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In FY2025, the company reported revenue of INR 10,831 crore, reflecting a CAGR of 4.4% and 8.25% over the past 3 and 5 years, respectively.The management remains highly confident about the continued growth of its India business, supported by strong performance in the branded coconut oil, edible oil, and personal care segments. This optimism is driven by rising household incomes, higher consumer spending, expanding international presence, and an increasing shift toward branded and premium products.</a:t>
          </a:r>
        </a:p>
        <a:p>
          <a:endParaRPr lang="en-IN" sz="1100"/>
        </a:p>
        <a:p>
          <a:r>
            <a:rPr lang="en-IN" sz="1100"/>
            <a:t>The Company has given Guidance of 14%. Analysts estimate revenue for the FY2026 at approximately INR 12,200 crore, indicating a 13% growth over the previous year’s revenue.The company is currently facing high raw material costs, especially for copra and palm oil; however, it has strategically increased product prices, optimized its portfolio mix, and diversified raw material sourcing to reduce the impact.</a:t>
          </a:r>
        </a:p>
        <a:p>
          <a:endParaRPr lang="en-IN" sz="1100"/>
        </a:p>
        <a:p>
          <a:r>
            <a:rPr lang="en-IN" sz="1100"/>
            <a:t>Furthermore, Marico has launched Project SETU to revamp its General Trade and Rural Distribution Network, with the objective of improving market reach, partner profitability, and overall operational efficiency. Project SETU aims to expand Marico’s direct reach from approximately 1 million outlets to 1.5 million outlets by FY27. The initiative was rolled out across 11 states during the current calendar year, marking a key step toward enhancing distribution efficiency and supporting long-term volume-led growth.</a:t>
          </a:r>
        </a:p>
      </xdr:txBody>
    </xdr:sp>
    <xdr:clientData/>
  </xdr:twoCellAnchor>
  <xdr:twoCellAnchor editAs="oneCell">
    <xdr:from>
      <xdr:col>8</xdr:col>
      <xdr:colOff>187035</xdr:colOff>
      <xdr:row>114</xdr:row>
      <xdr:rowOff>28484</xdr:rowOff>
    </xdr:from>
    <xdr:to>
      <xdr:col>13</xdr:col>
      <xdr:colOff>768508</xdr:colOff>
      <xdr:row>128</xdr:row>
      <xdr:rowOff>28486</xdr:rowOff>
    </xdr:to>
    <xdr:pic>
      <xdr:nvPicPr>
        <xdr:cNvPr id="17" name="Picture 16">
          <a:extLst>
            <a:ext uri="{FF2B5EF4-FFF2-40B4-BE49-F238E27FC236}">
              <a16:creationId xmlns:a16="http://schemas.microsoft.com/office/drawing/2014/main" id="{3F0C0789-9074-E233-999A-8D5D9C7BE241}"/>
            </a:ext>
          </a:extLst>
        </xdr:cNvPr>
        <xdr:cNvPicPr>
          <a:picLocks noChangeAspect="1"/>
        </xdr:cNvPicPr>
      </xdr:nvPicPr>
      <xdr:blipFill>
        <a:blip xmlns:r="http://schemas.openxmlformats.org/officeDocument/2006/relationships" r:embed="rId13"/>
        <a:stretch>
          <a:fillRect/>
        </a:stretch>
      </xdr:blipFill>
      <xdr:spPr>
        <a:xfrm>
          <a:off x="9331035" y="21279026"/>
          <a:ext cx="4976049" cy="2606469"/>
        </a:xfrm>
        <a:prstGeom prst="rect">
          <a:avLst/>
        </a:prstGeom>
      </xdr:spPr>
    </xdr:pic>
    <xdr:clientData/>
  </xdr:twoCellAnchor>
  <xdr:twoCellAnchor>
    <xdr:from>
      <xdr:col>0</xdr:col>
      <xdr:colOff>79744</xdr:colOff>
      <xdr:row>344</xdr:row>
      <xdr:rowOff>0</xdr:rowOff>
    </xdr:from>
    <xdr:to>
      <xdr:col>8</xdr:col>
      <xdr:colOff>53161</xdr:colOff>
      <xdr:row>355</xdr:row>
      <xdr:rowOff>62023</xdr:rowOff>
    </xdr:to>
    <xdr:sp macro="" textlink="">
      <xdr:nvSpPr>
        <xdr:cNvPr id="20" name="TextBox 19">
          <a:extLst>
            <a:ext uri="{FF2B5EF4-FFF2-40B4-BE49-F238E27FC236}">
              <a16:creationId xmlns:a16="http://schemas.microsoft.com/office/drawing/2014/main" id="{4776C156-1F2D-CB53-67AB-00B64A945478}"/>
            </a:ext>
          </a:extLst>
        </xdr:cNvPr>
        <xdr:cNvSpPr txBox="1"/>
      </xdr:nvSpPr>
      <xdr:spPr>
        <a:xfrm>
          <a:off x="79744" y="64247233"/>
          <a:ext cx="8860464" cy="21087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The company has usually maintained an optimum level of inventory, but </a:t>
          </a:r>
          <a:r>
            <a:rPr lang="en-IN" b="1"/>
            <a:t>during FY2025</a:t>
          </a:r>
          <a:r>
            <a:rPr lang="en-IN"/>
            <a:t>, the sharp rise in copra and edible oil prices led to a deliberate </a:t>
          </a:r>
          <a:r>
            <a:rPr lang="en-IN" b="1"/>
            <a:t>7.6% reduction</a:t>
          </a:r>
          <a:r>
            <a:rPr lang="en-IN"/>
            <a:t> in inventory. Management expects inventory levels to </a:t>
          </a:r>
          <a:r>
            <a:rPr lang="en-IN" b="1"/>
            <a:t>normalize again</a:t>
          </a:r>
          <a:r>
            <a:rPr lang="en-IN"/>
            <a:t> as </a:t>
          </a:r>
          <a:r>
            <a:rPr lang="en-IN" i="1"/>
            <a:t>Project SETU</a:t>
          </a:r>
          <a:r>
            <a:rPr lang="en-IN"/>
            <a:t> strengthens the General Trade channel, and once copra prices stabilize, the company plans to maintain only a </a:t>
          </a:r>
          <a:r>
            <a:rPr lang="en-IN" b="1"/>
            <a:t>normal buffer inventory</a:t>
          </a:r>
          <a:r>
            <a:rPr lang="en-IN"/>
            <a:t>, not a large stockpile.</a:t>
          </a:r>
        </a:p>
        <a:p>
          <a:endParaRPr lang="en-IN"/>
        </a:p>
        <a:p>
          <a:r>
            <a:rPr lang="en-IN"/>
            <a:t>Historically, inventory has remained around </a:t>
          </a:r>
          <a:r>
            <a:rPr lang="en-IN" b="1"/>
            <a:t>13.5% of revenue</a:t>
          </a:r>
          <a:r>
            <a:rPr lang="en-IN"/>
            <a:t>, supported by a turnover ratio of </a:t>
          </a:r>
          <a:r>
            <a:rPr lang="en-IN" b="1"/>
            <a:t>7.5x</a:t>
          </a:r>
          <a:r>
            <a:rPr lang="en-IN"/>
            <a:t> and an average cycle of </a:t>
          </a:r>
          <a:r>
            <a:rPr lang="en-IN" b="1"/>
            <a:t>48 days</a:t>
          </a:r>
          <a:r>
            <a:rPr lang="en-IN"/>
            <a:t>, compared to peers that operate at about </a:t>
          </a:r>
          <a:r>
            <a:rPr lang="en-IN" b="1"/>
            <a:t>50 days</a:t>
          </a:r>
          <a:r>
            <a:rPr lang="en-IN"/>
            <a:t>. With Marico steadily shifting its business mix toward </a:t>
          </a:r>
          <a:r>
            <a:rPr lang="en-IN" b="1"/>
            <a:t>E-commerce, Modern Trade, Quick Commerce, and Digital-First brands</a:t>
          </a:r>
          <a:r>
            <a:rPr lang="en-IN"/>
            <a:t>, inventory requirements are naturally becoming </a:t>
          </a:r>
          <a:r>
            <a:rPr lang="en-IN" b="1"/>
            <a:t>more efficient</a:t>
          </a:r>
          <a:r>
            <a:rPr lang="en-IN"/>
            <a:t> because these channels operate with faster stock movement.</a:t>
          </a:r>
        </a:p>
        <a:p>
          <a:endParaRPr lang="en-IN"/>
        </a:p>
        <a:p>
          <a:r>
            <a:rPr lang="en-IN"/>
            <a:t>Looking ahead, we expect inventory days to gradually return toward historical norms. Based on current assumptions, inventory levels are projected to move from </a:t>
          </a:r>
          <a:r>
            <a:rPr lang="en-IN" b="1"/>
            <a:t>3 days from</a:t>
          </a:r>
          <a:r>
            <a:rPr lang="en-IN" b="1" baseline="0"/>
            <a:t> 43 to 46 days in year 2026 &amp; 2027</a:t>
          </a:r>
          <a:r>
            <a:rPr lang="en-IN"/>
            <a:t>, eventually settling near the company’s typical </a:t>
          </a:r>
          <a:r>
            <a:rPr lang="en-IN" b="1"/>
            <a:t>~42-day cycle</a:t>
          </a:r>
          <a:r>
            <a:rPr lang="en-IN"/>
            <a:t> as raw material prices ease and distribution efficiency improves.</a:t>
          </a:r>
        </a:p>
        <a:p>
          <a:endParaRPr lang="en-IN" sz="1100"/>
        </a:p>
      </xdr:txBody>
    </xdr:sp>
    <xdr:clientData/>
  </xdr:twoCellAnchor>
  <xdr:twoCellAnchor>
    <xdr:from>
      <xdr:col>1</xdr:col>
      <xdr:colOff>70884</xdr:colOff>
      <xdr:row>396</xdr:row>
      <xdr:rowOff>35441</xdr:rowOff>
    </xdr:from>
    <xdr:to>
      <xdr:col>10</xdr:col>
      <xdr:colOff>0</xdr:colOff>
      <xdr:row>405</xdr:row>
      <xdr:rowOff>152400</xdr:rowOff>
    </xdr:to>
    <xdr:sp macro="" textlink="">
      <xdr:nvSpPr>
        <xdr:cNvPr id="22" name="TextBox 21">
          <a:extLst>
            <a:ext uri="{FF2B5EF4-FFF2-40B4-BE49-F238E27FC236}">
              <a16:creationId xmlns:a16="http://schemas.microsoft.com/office/drawing/2014/main" id="{84C13521-34F8-DCA8-FF36-1A28C823FFA5}"/>
            </a:ext>
          </a:extLst>
        </xdr:cNvPr>
        <xdr:cNvSpPr txBox="1"/>
      </xdr:nvSpPr>
      <xdr:spPr>
        <a:xfrm>
          <a:off x="261384" y="73294121"/>
          <a:ext cx="10848576" cy="1762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In FY2025, the company’s trade receivables increased primarily due to the General Trade (GT) channel, which is </a:t>
          </a:r>
          <a:r>
            <a:rPr lang="en-IN" b="1"/>
            <a:t>typical of longer credit tenures</a:t>
          </a:r>
          <a:r>
            <a:rPr lang="en-IN"/>
            <a:t>, leading to a marginal rise in debtor days. However, management expects debtor days to remain stable at current levels, supported by disciplined collection practices. Nearly </a:t>
          </a:r>
          <a:r>
            <a:rPr lang="en-IN" b="1"/>
            <a:t>40% of receivables were outstanding for less than six months</a:t>
          </a:r>
          <a:r>
            <a:rPr lang="en-IN"/>
            <a:t>, and the company is </a:t>
          </a:r>
          <a:r>
            <a:rPr lang="en-IN" b="1"/>
            <a:t>not exposed to any significant counterparty-specific credit risk</a:t>
          </a:r>
          <a:r>
            <a:rPr lang="en-IN"/>
            <a:t>. Its credit policy mandates dealing only with </a:t>
          </a:r>
          <a:r>
            <a:rPr lang="en-IN" b="1"/>
            <a:t>financially sound counterparties</a:t>
          </a:r>
          <a:r>
            <a:rPr lang="en-IN"/>
            <a:t>, backed by </a:t>
          </a:r>
          <a:r>
            <a:rPr lang="en-IN" b="1"/>
            <a:t>security deposits at the time of onboarding</a:t>
          </a:r>
          <a:r>
            <a:rPr lang="en-IN"/>
            <a:t>. All receivables are continuously reviewed for default risk, and credit concentration remains low due to a </a:t>
          </a:r>
          <a:r>
            <a:rPr lang="en-IN" b="1"/>
            <a:t>large and diversified customer base</a:t>
          </a:r>
          <a:r>
            <a:rPr lang="en-IN"/>
            <a:t>.</a:t>
          </a:r>
        </a:p>
        <a:p>
          <a:endParaRPr lang="en-IN"/>
        </a:p>
        <a:p>
          <a:r>
            <a:rPr lang="en-IN"/>
            <a:t>Historically, the company has maintained receivables at around </a:t>
          </a:r>
          <a:r>
            <a:rPr lang="en-IN" b="1"/>
            <a:t>8% of revenue</a:t>
          </a:r>
          <a:r>
            <a:rPr lang="en-IN"/>
            <a:t>, supported by a </a:t>
          </a:r>
          <a:r>
            <a:rPr lang="en-IN" b="1"/>
            <a:t>median receivable turnover of 14x</a:t>
          </a:r>
          <a:r>
            <a:rPr lang="en-IN"/>
            <a:t> and </a:t>
          </a:r>
          <a:r>
            <a:rPr lang="en-IN" sz="1100" b="1">
              <a:solidFill>
                <a:schemeClr val="dk1"/>
              </a:solidFill>
              <a:effectLst/>
              <a:latin typeface="+mn-lt"/>
              <a:ea typeface="+mn-ea"/>
              <a:cs typeface="+mn-cs"/>
            </a:rPr>
            <a:t>receivable</a:t>
          </a:r>
          <a:r>
            <a:rPr lang="en-IN" b="1"/>
            <a:t> days around 30</a:t>
          </a:r>
          <a:r>
            <a:rPr lang="en-IN"/>
            <a:t>. While peers operate with tighter credit cycles of roughly </a:t>
          </a:r>
          <a:r>
            <a:rPr lang="en-IN" b="1"/>
            <a:t>25 days</a:t>
          </a:r>
          <a:r>
            <a:rPr lang="en-IN"/>
            <a:t>, the Street expects the company’s receivable profile to remain </a:t>
          </a:r>
          <a:r>
            <a:rPr lang="en-IN" b="1"/>
            <a:t>broadly flat</a:t>
          </a:r>
          <a:r>
            <a:rPr lang="en-IN"/>
            <a:t>, with consensus at </a:t>
          </a:r>
          <a:r>
            <a:rPr lang="en-IN" b="1"/>
            <a:t>42 days</a:t>
          </a:r>
          <a:r>
            <a:rPr lang="en-IN"/>
            <a:t>. </a:t>
          </a:r>
        </a:p>
        <a:p>
          <a:endParaRPr lang="en-IN"/>
        </a:p>
        <a:p>
          <a:r>
            <a:rPr lang="en-IN"/>
            <a:t>In line with this, we assume </a:t>
          </a:r>
          <a:r>
            <a:rPr lang="en-IN" b="1"/>
            <a:t>receivable days to remain stable at 42 days</a:t>
          </a:r>
          <a:r>
            <a:rPr lang="en-IN"/>
            <a:t> in our model.</a:t>
          </a:r>
        </a:p>
        <a:p>
          <a:endParaRPr lang="en-IN" sz="1100"/>
        </a:p>
      </xdr:txBody>
    </xdr:sp>
    <xdr:clientData/>
  </xdr:twoCellAnchor>
  <xdr:twoCellAnchor>
    <xdr:from>
      <xdr:col>1</xdr:col>
      <xdr:colOff>124046</xdr:colOff>
      <xdr:row>425</xdr:row>
      <xdr:rowOff>26581</xdr:rowOff>
    </xdr:from>
    <xdr:to>
      <xdr:col>8</xdr:col>
      <xdr:colOff>478465</xdr:colOff>
      <xdr:row>429</xdr:row>
      <xdr:rowOff>26582</xdr:rowOff>
    </xdr:to>
    <xdr:sp macro="" textlink="">
      <xdr:nvSpPr>
        <xdr:cNvPr id="23" name="TextBox 22">
          <a:extLst>
            <a:ext uri="{FF2B5EF4-FFF2-40B4-BE49-F238E27FC236}">
              <a16:creationId xmlns:a16="http://schemas.microsoft.com/office/drawing/2014/main" id="{528F283E-4A36-EAAA-1057-786341D84804}"/>
            </a:ext>
          </a:extLst>
        </xdr:cNvPr>
        <xdr:cNvSpPr txBox="1"/>
      </xdr:nvSpPr>
      <xdr:spPr>
        <a:xfrm>
          <a:off x="256953" y="80532767"/>
          <a:ext cx="9108559" cy="744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In FY2025, the company’s </a:t>
          </a:r>
          <a:r>
            <a:rPr lang="en-IN" b="1"/>
            <a:t>current other assets increased from 6.79% to 16.62% of revenue</a:t>
          </a:r>
          <a:r>
            <a:rPr lang="en-IN"/>
            <a:t>. Historically, the company has maintained other current assets at around </a:t>
          </a:r>
          <a:r>
            <a:rPr lang="en-IN" b="1"/>
            <a:t>11% of revenue</a:t>
          </a:r>
          <a:r>
            <a:rPr lang="en-IN"/>
            <a:t>. While Street estimates suggest that other current assets will remain broadly </a:t>
          </a:r>
          <a:r>
            <a:rPr lang="en-IN" b="1"/>
            <a:t>stable at approximately 17%</a:t>
          </a:r>
          <a:r>
            <a:rPr lang="en-IN"/>
            <a:t>, we align our assumptions accordingly and model </a:t>
          </a:r>
          <a:r>
            <a:rPr lang="en-IN" b="1"/>
            <a:t>other current assets at 17% of revenue</a:t>
          </a:r>
          <a:r>
            <a:rPr lang="en-IN"/>
            <a:t> going forward.</a:t>
          </a:r>
          <a:endParaRPr lang="en-IN" sz="1100"/>
        </a:p>
      </xdr:txBody>
    </xdr:sp>
    <xdr:clientData/>
  </xdr:twoCellAnchor>
  <xdr:twoCellAnchor>
    <xdr:from>
      <xdr:col>1</xdr:col>
      <xdr:colOff>0</xdr:colOff>
      <xdr:row>501</xdr:row>
      <xdr:rowOff>62022</xdr:rowOff>
    </xdr:from>
    <xdr:to>
      <xdr:col>10</xdr:col>
      <xdr:colOff>388620</xdr:colOff>
      <xdr:row>513</xdr:row>
      <xdr:rowOff>38099</xdr:rowOff>
    </xdr:to>
    <xdr:sp macro="" textlink="">
      <xdr:nvSpPr>
        <xdr:cNvPr id="24" name="TextBox 23">
          <a:extLst>
            <a:ext uri="{FF2B5EF4-FFF2-40B4-BE49-F238E27FC236}">
              <a16:creationId xmlns:a16="http://schemas.microsoft.com/office/drawing/2014/main" id="{F554796D-E115-DED0-1324-4F22EA698C57}"/>
            </a:ext>
          </a:extLst>
        </xdr:cNvPr>
        <xdr:cNvSpPr txBox="1"/>
      </xdr:nvSpPr>
      <xdr:spPr>
        <a:xfrm>
          <a:off x="190500" y="92904102"/>
          <a:ext cx="11308080" cy="21706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Historically, the company has incurred capital expenditure of approximately ₹161 crore in FY2025 and ₹153 crore in FY2024. Looking ahead, Marico expects its future CapEx to remain broadly consistent with this historical trend, in the range of ₹150–170 crore annually.</a:t>
          </a:r>
        </a:p>
        <a:p>
          <a:endParaRPr lang="en-IN"/>
        </a:p>
        <a:p>
          <a:r>
            <a:rPr lang="en-IN"/>
            <a:t>These investments will continue to be directed towards brownfield capacity expansion, operational upgrades, sustainability-driven technologies, and digital capability building. </a:t>
          </a:r>
          <a:r>
            <a:rPr lang="en-IN" b="1"/>
            <a:t>As highlighted by management, future CapEx will remain in line with the company’s growth, indicating that annual capital spending will gradually scale with the business while staying aligned with its historical trend.</a:t>
          </a:r>
          <a:r>
            <a:rPr lang="en-IN"/>
            <a:t> The CapEx supports the scaling of high-growth segments such as the Foods portfolio and Digital-First brands, while also improving process efficiency and strengthening the company’s manufacturing backbone. Management commentary indicates that Marico will only consider Greenfield CapEx under very specific circumstances—primarily when the Foods business reaches a scale that necessitates dedicated capacity.</a:t>
          </a:r>
        </a:p>
        <a:p>
          <a:endParaRPr lang="en-IN"/>
        </a:p>
        <a:p>
          <a:r>
            <a:rPr lang="en-IN"/>
            <a:t>During the terminal year, CapEx has been benchmarked with depreciation, reflecting a steady-state 100% maintenance CapEx structure for modern sustainable growth.</a:t>
          </a:r>
        </a:p>
        <a:p>
          <a:endParaRPr lang="en-IN" sz="1100"/>
        </a:p>
      </xdr:txBody>
    </xdr:sp>
    <xdr:clientData/>
  </xdr:twoCellAnchor>
  <xdr:twoCellAnchor>
    <xdr:from>
      <xdr:col>1</xdr:col>
      <xdr:colOff>76200</xdr:colOff>
      <xdr:row>625</xdr:row>
      <xdr:rowOff>60961</xdr:rowOff>
    </xdr:from>
    <xdr:to>
      <xdr:col>8</xdr:col>
      <xdr:colOff>1120140</xdr:colOff>
      <xdr:row>633</xdr:row>
      <xdr:rowOff>144780</xdr:rowOff>
    </xdr:to>
    <xdr:sp macro="" textlink="">
      <xdr:nvSpPr>
        <xdr:cNvPr id="25" name="TextBox 24">
          <a:extLst>
            <a:ext uri="{FF2B5EF4-FFF2-40B4-BE49-F238E27FC236}">
              <a16:creationId xmlns:a16="http://schemas.microsoft.com/office/drawing/2014/main" id="{3E7FE457-FA30-6B8B-1059-14FEC72FDE3F}"/>
            </a:ext>
          </a:extLst>
        </xdr:cNvPr>
        <xdr:cNvSpPr txBox="1"/>
      </xdr:nvSpPr>
      <xdr:spPr>
        <a:xfrm>
          <a:off x="266700" y="115846861"/>
          <a:ext cx="9532620" cy="15468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Marico’s trade payables have remained stable over the years, broadly tracking its COGS and revenue growth. Payable days have historically moved in the </a:t>
          </a:r>
          <a:r>
            <a:rPr lang="en-IN" b="1"/>
            <a:t>86–120 day</a:t>
          </a:r>
          <a:r>
            <a:rPr lang="en-IN"/>
            <a:t> range, with a </a:t>
          </a:r>
          <a:r>
            <a:rPr lang="en-IN" b="1"/>
            <a:t>median of ~95 days</a:t>
          </a:r>
          <a:r>
            <a:rPr lang="en-IN"/>
            <a:t>, indicating steady supplier terms. FY2024 saw a temporary increase due to higher raw-material inflation, but FY2025 normalized to </a:t>
          </a:r>
          <a:r>
            <a:rPr lang="en-IN" b="1"/>
            <a:t>100 days</a:t>
          </a:r>
          <a:r>
            <a:rPr lang="en-IN"/>
            <a:t> as input prices eased.</a:t>
          </a:r>
          <a:r>
            <a:rPr lang="en-IN" b="0" baseline="0"/>
            <a:t> </a:t>
          </a:r>
          <a:r>
            <a:rPr lang="en-IN" b="0"/>
            <a:t>The trade payable is ~25% of COGS</a:t>
          </a:r>
          <a:r>
            <a:rPr lang="en-IN" b="0" baseline="0"/>
            <a:t> and ~13% of revenue.</a:t>
          </a:r>
          <a:endParaRPr lang="en-IN" b="0"/>
        </a:p>
        <a:p>
          <a:endParaRPr lang="en-IN" b="0"/>
        </a:p>
        <a:p>
          <a:r>
            <a:rPr lang="en-IN" b="0"/>
            <a:t>• The peer companies in the market maintain payables of 140 days which is higher</a:t>
          </a:r>
          <a:r>
            <a:rPr lang="en-IN" b="0" baseline="0"/>
            <a:t> </a:t>
          </a:r>
          <a:r>
            <a:rPr lang="en-IN" b="0"/>
            <a:t>than 10-year historical payable days of the company. Further, street estimates suggest the payable levels to remain flat from existing receivable days.</a:t>
          </a:r>
        </a:p>
        <a:p>
          <a:endParaRPr lang="en-IN" b="0"/>
        </a:p>
        <a:p>
          <a:r>
            <a:rPr lang="en-IN" b="0"/>
            <a:t>• In absence of management guidance and basis our research, we assume the payable days to remain flat at 105 days.</a:t>
          </a:r>
        </a:p>
        <a:p>
          <a:endParaRPr lang="en-IN" sz="1100"/>
        </a:p>
      </xdr:txBody>
    </xdr:sp>
    <xdr:clientData/>
  </xdr:twoCellAnchor>
  <xdr:twoCellAnchor>
    <xdr:from>
      <xdr:col>1</xdr:col>
      <xdr:colOff>0</xdr:colOff>
      <xdr:row>680</xdr:row>
      <xdr:rowOff>150627</xdr:rowOff>
    </xdr:from>
    <xdr:to>
      <xdr:col>10</xdr:col>
      <xdr:colOff>0</xdr:colOff>
      <xdr:row>689</xdr:row>
      <xdr:rowOff>168349</xdr:rowOff>
    </xdr:to>
    <xdr:sp macro="" textlink="">
      <xdr:nvSpPr>
        <xdr:cNvPr id="26" name="TextBox 25">
          <a:extLst>
            <a:ext uri="{FF2B5EF4-FFF2-40B4-BE49-F238E27FC236}">
              <a16:creationId xmlns:a16="http://schemas.microsoft.com/office/drawing/2014/main" id="{3641F72C-B023-955F-5B8D-48AF00AE4318}"/>
            </a:ext>
          </a:extLst>
        </xdr:cNvPr>
        <xdr:cNvSpPr txBox="1"/>
      </xdr:nvSpPr>
      <xdr:spPr>
        <a:xfrm>
          <a:off x="194930" y="166257767"/>
          <a:ext cx="10605977" cy="1692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Marico continues to operate with a </a:t>
          </a:r>
          <a:r>
            <a:rPr lang="en-IN" b="1"/>
            <a:t>low-debt balance sheet</a:t>
          </a:r>
          <a:r>
            <a:rPr lang="en-IN"/>
            <a:t>, with long-term debt at </a:t>
          </a:r>
          <a:r>
            <a:rPr lang="en-IN" b="1"/>
            <a:t>0% of total borrowings</a:t>
          </a:r>
          <a:r>
            <a:rPr lang="en-IN"/>
            <a:t> and short-term debt forming </a:t>
          </a:r>
          <a:r>
            <a:rPr lang="en-IN" b="1"/>
            <a:t>100%</a:t>
          </a:r>
          <a:r>
            <a:rPr lang="en-IN"/>
            <a:t>, largely for seasonal working-capital needs. Key leverage ratios remain stable with </a:t>
          </a:r>
          <a:r>
            <a:rPr lang="en-IN" b="1"/>
            <a:t>Debt to Equity at 0.10x</a:t>
          </a:r>
          <a:r>
            <a:rPr lang="en-IN"/>
            <a:t>, </a:t>
          </a:r>
          <a:r>
            <a:rPr lang="en-IN" b="1"/>
            <a:t>Debt to Capital at 0.08x</a:t>
          </a:r>
          <a:r>
            <a:rPr lang="en-IN"/>
            <a:t>, </a:t>
          </a:r>
          <a:r>
            <a:rPr lang="en-IN" b="1"/>
            <a:t>Debt to Asset at 0.05x</a:t>
          </a:r>
          <a:r>
            <a:rPr lang="en-IN"/>
            <a:t>, and </a:t>
          </a:r>
          <a:r>
            <a:rPr lang="en-IN" b="1"/>
            <a:t>Debt to EBITDA at 0.18x</a:t>
          </a:r>
          <a:r>
            <a:rPr lang="en-IN"/>
            <a:t> in FY25, reflecting the company’s strong liquidity position.</a:t>
          </a:r>
        </a:p>
        <a:p>
          <a:endParaRPr lang="en-IN"/>
        </a:p>
        <a:p>
          <a:r>
            <a:rPr lang="en-IN"/>
            <a:t>Management has clearly indicated that all recent </a:t>
          </a:r>
          <a:r>
            <a:rPr lang="en-IN" b="1"/>
            <a:t>mergers and acquisitions are funded entirely through internal cash flows and reserves</a:t>
          </a:r>
          <a:r>
            <a:rPr lang="en-IN"/>
            <a:t>, supported by strong free cash generation and an asset-light model. While Marico may require temporary funds for strategic expansions, the company’s approach is to </a:t>
          </a:r>
          <a:r>
            <a:rPr lang="en-IN" b="1"/>
            <a:t>meet such requirements through internal accruals</a:t>
          </a:r>
          <a:r>
            <a:rPr lang="en-IN"/>
            <a:t>, keeping leverage minimal. Going forward, debt levels are expected to remain </a:t>
          </a:r>
          <a:r>
            <a:rPr lang="en-IN" b="1"/>
            <a:t>stable and low</a:t>
          </a:r>
          <a:r>
            <a:rPr lang="en-IN"/>
            <a:t>, with inorganic growth continuing to be financed internally.</a:t>
          </a:r>
        </a:p>
        <a:p>
          <a:endParaRPr lang="en-IN"/>
        </a:p>
        <a:p>
          <a:r>
            <a:rPr lang="en-IN"/>
            <a:t>Going forward, we assume </a:t>
          </a:r>
          <a:r>
            <a:rPr lang="en-IN" b="1"/>
            <a:t>long-term debt will remain at 0%</a:t>
          </a:r>
          <a:r>
            <a:rPr lang="en-IN"/>
            <a:t>, and </a:t>
          </a:r>
          <a:r>
            <a:rPr lang="en-IN" b="1"/>
            <a:t>short-term borrowings will stabilize at ~4% of revenue</a:t>
          </a:r>
          <a:r>
            <a:rPr lang="en-IN"/>
            <a:t>, aligned with the company’s working-capital cycle.</a:t>
          </a:r>
        </a:p>
        <a:p>
          <a:endParaRPr lang="en-IN" sz="1100"/>
        </a:p>
      </xdr:txBody>
    </xdr:sp>
    <xdr:clientData/>
  </xdr:twoCellAnchor>
  <xdr:twoCellAnchor editAs="oneCell">
    <xdr:from>
      <xdr:col>1</xdr:col>
      <xdr:colOff>15240</xdr:colOff>
      <xdr:row>513</xdr:row>
      <xdr:rowOff>68580</xdr:rowOff>
    </xdr:from>
    <xdr:to>
      <xdr:col>3</xdr:col>
      <xdr:colOff>533400</xdr:colOff>
      <xdr:row>520</xdr:row>
      <xdr:rowOff>126733</xdr:rowOff>
    </xdr:to>
    <xdr:pic>
      <xdr:nvPicPr>
        <xdr:cNvPr id="27" name="Picture 26">
          <a:extLst>
            <a:ext uri="{FF2B5EF4-FFF2-40B4-BE49-F238E27FC236}">
              <a16:creationId xmlns:a16="http://schemas.microsoft.com/office/drawing/2014/main" id="{D68CA1FC-C06F-DB66-9F61-F4FD5696DBAE}"/>
            </a:ext>
          </a:extLst>
        </xdr:cNvPr>
        <xdr:cNvPicPr>
          <a:picLocks noChangeAspect="1"/>
        </xdr:cNvPicPr>
      </xdr:nvPicPr>
      <xdr:blipFill>
        <a:blip xmlns:r="http://schemas.openxmlformats.org/officeDocument/2006/relationships" r:embed="rId14"/>
        <a:stretch>
          <a:fillRect/>
        </a:stretch>
      </xdr:blipFill>
      <xdr:spPr>
        <a:xfrm>
          <a:off x="205740" y="95105220"/>
          <a:ext cx="4518660" cy="1338313"/>
        </a:xfrm>
        <a:prstGeom prst="rect">
          <a:avLst/>
        </a:prstGeom>
      </xdr:spPr>
    </xdr:pic>
    <xdr:clientData/>
  </xdr:twoCellAnchor>
  <xdr:twoCellAnchor>
    <xdr:from>
      <xdr:col>0</xdr:col>
      <xdr:colOff>182880</xdr:colOff>
      <xdr:row>554</xdr:row>
      <xdr:rowOff>121920</xdr:rowOff>
    </xdr:from>
    <xdr:to>
      <xdr:col>10</xdr:col>
      <xdr:colOff>647700</xdr:colOff>
      <xdr:row>559</xdr:row>
      <xdr:rowOff>160020</xdr:rowOff>
    </xdr:to>
    <xdr:sp macro="" textlink="">
      <xdr:nvSpPr>
        <xdr:cNvPr id="28" name="TextBox 27">
          <a:extLst>
            <a:ext uri="{FF2B5EF4-FFF2-40B4-BE49-F238E27FC236}">
              <a16:creationId xmlns:a16="http://schemas.microsoft.com/office/drawing/2014/main" id="{302D0B28-1F02-6D57-108F-E7D642936A28}"/>
            </a:ext>
          </a:extLst>
        </xdr:cNvPr>
        <xdr:cNvSpPr txBox="1"/>
      </xdr:nvSpPr>
      <xdr:spPr>
        <a:xfrm>
          <a:off x="182880" y="106702860"/>
          <a:ext cx="11574780"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0"/>
            <a:t>Historically, the company’s CWIP has averaged ~3% of Net Fixed Assets (NFA).</a:t>
          </a:r>
          <a:r>
            <a:rPr lang="en-IN" b="0" baseline="0"/>
            <a:t> </a:t>
          </a:r>
          <a:r>
            <a:rPr lang="en-IN" b="0"/>
            <a:t>CWIP levels are expected to remain largely maintenance-driven, with no major capacity-expansion projects indicated.</a:t>
          </a:r>
        </a:p>
        <a:p>
          <a:endParaRPr lang="en-IN" b="0"/>
        </a:p>
        <a:p>
          <a:pPr marL="0" marR="0" lvl="0" indent="0" defTabSz="914400" eaLnBrk="1" fontAlgn="auto" latinLnBrk="0" hangingPunct="1">
            <a:lnSpc>
              <a:spcPct val="100000"/>
            </a:lnSpc>
            <a:spcBef>
              <a:spcPts val="0"/>
            </a:spcBef>
            <a:spcAft>
              <a:spcPts val="0"/>
            </a:spcAft>
            <a:buClrTx/>
            <a:buSzTx/>
            <a:buFontTx/>
            <a:buNone/>
            <a:tabLst/>
            <a:defRPr/>
          </a:pPr>
          <a:r>
            <a:rPr lang="en-IN" sz="1100" b="0">
              <a:solidFill>
                <a:schemeClr val="dk1"/>
              </a:solidFill>
              <a:effectLst/>
              <a:latin typeface="+mn-lt"/>
              <a:ea typeface="+mn-ea"/>
              <a:cs typeface="+mn-cs"/>
            </a:rPr>
            <a:t>In the absence of management guidance, we assume CWIP to moderate to 2% of NFA in FY26 and FY27, before stabilising at 1% of NFA thereafter.</a:t>
          </a:r>
          <a:r>
            <a:rPr lang="en-IN" sz="1100" b="0" baseline="0">
              <a:solidFill>
                <a:schemeClr val="dk1"/>
              </a:solidFill>
              <a:effectLst/>
              <a:latin typeface="+mn-lt"/>
              <a:ea typeface="+mn-ea"/>
              <a:cs typeface="+mn-cs"/>
            </a:rPr>
            <a:t> </a:t>
          </a:r>
          <a:r>
            <a:rPr lang="en-IN" b="0"/>
            <a:t>This assumption aligns with the company's steady capex cycle and limited new manufacturing footprint in recent years.</a:t>
          </a:r>
        </a:p>
        <a:p>
          <a:endParaRPr lang="en-IN" sz="1100"/>
        </a:p>
      </xdr:txBody>
    </xdr:sp>
    <xdr:clientData/>
  </xdr:twoCellAnchor>
  <xdr:twoCellAnchor>
    <xdr:from>
      <xdr:col>1</xdr:col>
      <xdr:colOff>60960</xdr:colOff>
      <xdr:row>731</xdr:row>
      <xdr:rowOff>53340</xdr:rowOff>
    </xdr:from>
    <xdr:to>
      <xdr:col>7</xdr:col>
      <xdr:colOff>655320</xdr:colOff>
      <xdr:row>737</xdr:row>
      <xdr:rowOff>83820</xdr:rowOff>
    </xdr:to>
    <xdr:sp macro="" textlink="">
      <xdr:nvSpPr>
        <xdr:cNvPr id="18" name="TextBox 17">
          <a:extLst>
            <a:ext uri="{FF2B5EF4-FFF2-40B4-BE49-F238E27FC236}">
              <a16:creationId xmlns:a16="http://schemas.microsoft.com/office/drawing/2014/main" id="{2D2EC991-E845-7E49-4358-BA7B2E00367F}"/>
            </a:ext>
          </a:extLst>
        </xdr:cNvPr>
        <xdr:cNvSpPr txBox="1"/>
      </xdr:nvSpPr>
      <xdr:spPr>
        <a:xfrm>
          <a:off x="251460" y="136222740"/>
          <a:ext cx="8206740" cy="1127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We assume an </a:t>
          </a:r>
          <a:r>
            <a:rPr lang="en-IN" b="1"/>
            <a:t>85% dividend payout ratio</a:t>
          </a:r>
          <a:r>
            <a:rPr lang="en-IN"/>
            <a:t> for Marico over the forecast period, which is broadly comparable to the </a:t>
          </a:r>
          <a:r>
            <a:rPr lang="en-IN" b="1"/>
            <a:t>80–90% payout range indicated by street estimates</a:t>
          </a:r>
          <a:r>
            <a:rPr lang="en-IN"/>
            <a:t>. Marico has historically maintained a high dividend distribution policy, and this approach continues unless the company plans a </a:t>
          </a:r>
          <a:r>
            <a:rPr lang="en-IN" b="1"/>
            <a:t>big-ticket acquisition</a:t>
          </a:r>
          <a:r>
            <a:rPr lang="en-IN"/>
            <a:t>. Management prefers returning </a:t>
          </a:r>
          <a:r>
            <a:rPr lang="en-IN" b="1"/>
            <a:t>surplus cash</a:t>
          </a:r>
          <a:r>
            <a:rPr lang="en-IN"/>
            <a:t> sitting on the balance sheet to shareholders, as this is considered more prudent than retaining excess liquidity and merely earning interest income.</a:t>
          </a:r>
          <a:endParaRPr lang="en-IN" sz="1100"/>
        </a:p>
      </xdr:txBody>
    </xdr:sp>
    <xdr:clientData/>
  </xdr:twoCellAnchor>
  <xdr:twoCellAnchor>
    <xdr:from>
      <xdr:col>13</xdr:col>
      <xdr:colOff>342900</xdr:colOff>
      <xdr:row>741</xdr:row>
      <xdr:rowOff>49530</xdr:rowOff>
    </xdr:from>
    <xdr:to>
      <xdr:col>17</xdr:col>
      <xdr:colOff>1196340</xdr:colOff>
      <xdr:row>756</xdr:row>
      <xdr:rowOff>34290</xdr:rowOff>
    </xdr:to>
    <xdr:graphicFrame macro="">
      <xdr:nvGraphicFramePr>
        <xdr:cNvPr id="21" name="Chart 20">
          <a:extLst>
            <a:ext uri="{FF2B5EF4-FFF2-40B4-BE49-F238E27FC236}">
              <a16:creationId xmlns:a16="http://schemas.microsoft.com/office/drawing/2014/main" id="{BB2B1EA2-5F72-9D5D-1DFB-8EE8381D4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22860</xdr:colOff>
          <xdr:row>2</xdr:row>
          <xdr:rowOff>220980</xdr:rowOff>
        </xdr:from>
        <xdr:to>
          <xdr:col>12</xdr:col>
          <xdr:colOff>114300</xdr:colOff>
          <xdr:row>4</xdr:row>
          <xdr:rowOff>15240</xdr:rowOff>
        </xdr:to>
        <xdr:sp macro="" textlink="">
          <xdr:nvSpPr>
            <xdr:cNvPr id="40969" name="Drop Down 9" hidden="1">
              <a:extLst>
                <a:ext uri="{63B3BB69-23CF-44E3-9099-C40C66FF867C}">
                  <a14:compatExt spid="_x0000_s40969"/>
                </a:ext>
                <a:ext uri="{FF2B5EF4-FFF2-40B4-BE49-F238E27FC236}">
                  <a16:creationId xmlns:a16="http://schemas.microsoft.com/office/drawing/2014/main" id="{00000000-0008-0000-0400-000009A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91440</xdr:colOff>
          <xdr:row>2</xdr:row>
          <xdr:rowOff>228600</xdr:rowOff>
        </xdr:from>
        <xdr:to>
          <xdr:col>11</xdr:col>
          <xdr:colOff>38100</xdr:colOff>
          <xdr:row>4</xdr:row>
          <xdr:rowOff>22860</xdr:rowOff>
        </xdr:to>
        <xdr:sp macro="" textlink="">
          <xdr:nvSpPr>
            <xdr:cNvPr id="10243" name="Drop Down 3" hidden="1">
              <a:extLst>
                <a:ext uri="{63B3BB69-23CF-44E3-9099-C40C66FF867C}">
                  <a14:compatExt spid="_x0000_s10243"/>
                </a:ext>
                <a:ext uri="{FF2B5EF4-FFF2-40B4-BE49-F238E27FC236}">
                  <a16:creationId xmlns:a16="http://schemas.microsoft.com/office/drawing/2014/main" id="{00000000-0008-0000-0500-00000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68580</xdr:colOff>
          <xdr:row>3</xdr:row>
          <xdr:rowOff>7620</xdr:rowOff>
        </xdr:from>
        <xdr:to>
          <xdr:col>12</xdr:col>
          <xdr:colOff>541020</xdr:colOff>
          <xdr:row>4</xdr:row>
          <xdr:rowOff>60960</xdr:rowOff>
        </xdr:to>
        <xdr:sp macro="" textlink="">
          <xdr:nvSpPr>
            <xdr:cNvPr id="18434" name="Drop Down 2" hidden="1">
              <a:extLst>
                <a:ext uri="{63B3BB69-23CF-44E3-9099-C40C66FF867C}">
                  <a14:compatExt spid="_x0000_s18434"/>
                </a:ext>
                <a:ext uri="{FF2B5EF4-FFF2-40B4-BE49-F238E27FC236}">
                  <a16:creationId xmlns:a16="http://schemas.microsoft.com/office/drawing/2014/main" id="{00000000-0008-0000-0600-0000024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7620</xdr:colOff>
          <xdr:row>3</xdr:row>
          <xdr:rowOff>0</xdr:rowOff>
        </xdr:from>
        <xdr:to>
          <xdr:col>9</xdr:col>
          <xdr:colOff>533400</xdr:colOff>
          <xdr:row>4</xdr:row>
          <xdr:rowOff>22860</xdr:rowOff>
        </xdr:to>
        <xdr:sp macro="" textlink="">
          <xdr:nvSpPr>
            <xdr:cNvPr id="25602" name="Drop Down 2" hidden="1">
              <a:extLst>
                <a:ext uri="{63B3BB69-23CF-44E3-9099-C40C66FF867C}">
                  <a14:compatExt spid="_x0000_s25602"/>
                </a:ext>
                <a:ext uri="{FF2B5EF4-FFF2-40B4-BE49-F238E27FC236}">
                  <a16:creationId xmlns:a16="http://schemas.microsoft.com/office/drawing/2014/main" id="{00000000-0008-0000-0700-000002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45720</xdr:colOff>
          <xdr:row>3</xdr:row>
          <xdr:rowOff>7620</xdr:rowOff>
        </xdr:from>
        <xdr:to>
          <xdr:col>12</xdr:col>
          <xdr:colOff>464820</xdr:colOff>
          <xdr:row>4</xdr:row>
          <xdr:rowOff>45720</xdr:rowOff>
        </xdr:to>
        <xdr:sp macro="" textlink="">
          <xdr:nvSpPr>
            <xdr:cNvPr id="48130" name="Drop Down 2" hidden="1">
              <a:extLst>
                <a:ext uri="{63B3BB69-23CF-44E3-9099-C40C66FF867C}">
                  <a14:compatExt spid="_x0000_s48130"/>
                </a:ext>
                <a:ext uri="{FF2B5EF4-FFF2-40B4-BE49-F238E27FC236}">
                  <a16:creationId xmlns:a16="http://schemas.microsoft.com/office/drawing/2014/main" id="{00000000-0008-0000-0800-000002B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91440</xdr:colOff>
          <xdr:row>3</xdr:row>
          <xdr:rowOff>0</xdr:rowOff>
        </xdr:from>
        <xdr:to>
          <xdr:col>11</xdr:col>
          <xdr:colOff>518160</xdr:colOff>
          <xdr:row>4</xdr:row>
          <xdr:rowOff>45720</xdr:rowOff>
        </xdr:to>
        <xdr:sp macro="" textlink="">
          <xdr:nvSpPr>
            <xdr:cNvPr id="38914" name="Drop Down 2" hidden="1">
              <a:extLst>
                <a:ext uri="{63B3BB69-23CF-44E3-9099-C40C66FF867C}">
                  <a14:compatExt spid="_x0000_s38914"/>
                </a:ext>
                <a:ext uri="{FF2B5EF4-FFF2-40B4-BE49-F238E27FC236}">
                  <a16:creationId xmlns:a16="http://schemas.microsoft.com/office/drawing/2014/main" id="{00000000-0008-0000-0900-0000029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28</xdr:col>
      <xdr:colOff>430244</xdr:colOff>
      <xdr:row>0</xdr:row>
      <xdr:rowOff>57018</xdr:rowOff>
    </xdr:from>
    <xdr:to>
      <xdr:col>35</xdr:col>
      <xdr:colOff>132183</xdr:colOff>
      <xdr:row>12</xdr:row>
      <xdr:rowOff>174169</xdr:rowOff>
    </xdr:to>
    <xdr:graphicFrame macro="">
      <xdr:nvGraphicFramePr>
        <xdr:cNvPr id="4" name="Chart 3">
          <a:extLst>
            <a:ext uri="{FF2B5EF4-FFF2-40B4-BE49-F238E27FC236}">
              <a16:creationId xmlns:a16="http://schemas.microsoft.com/office/drawing/2014/main" id="{BE8ACA92-D133-D410-985D-DA4DDFDE2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39529</xdr:colOff>
      <xdr:row>28</xdr:row>
      <xdr:rowOff>1180</xdr:rowOff>
    </xdr:from>
    <xdr:to>
      <xdr:col>36</xdr:col>
      <xdr:colOff>68039</xdr:colOff>
      <xdr:row>36</xdr:row>
      <xdr:rowOff>157267</xdr:rowOff>
    </xdr:to>
    <xdr:graphicFrame macro="">
      <xdr:nvGraphicFramePr>
        <xdr:cNvPr id="7" name="Chart 6">
          <a:extLst>
            <a:ext uri="{FF2B5EF4-FFF2-40B4-BE49-F238E27FC236}">
              <a16:creationId xmlns:a16="http://schemas.microsoft.com/office/drawing/2014/main" id="{D26AA40E-5D67-BF75-C853-BF8556060F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266669</xdr:colOff>
      <xdr:row>55</xdr:row>
      <xdr:rowOff>49121</xdr:rowOff>
    </xdr:from>
    <xdr:to>
      <xdr:col>34</xdr:col>
      <xdr:colOff>102932</xdr:colOff>
      <xdr:row>70</xdr:row>
      <xdr:rowOff>112151</xdr:rowOff>
    </xdr:to>
    <xdr:graphicFrame macro="">
      <xdr:nvGraphicFramePr>
        <xdr:cNvPr id="12" name="Chart 11">
          <a:extLst>
            <a:ext uri="{FF2B5EF4-FFF2-40B4-BE49-F238E27FC236}">
              <a16:creationId xmlns:a16="http://schemas.microsoft.com/office/drawing/2014/main" id="{BBD02837-C1E6-08FC-62EE-377C1FEBD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335783</xdr:colOff>
      <xdr:row>72</xdr:row>
      <xdr:rowOff>40973</xdr:rowOff>
    </xdr:from>
    <xdr:to>
      <xdr:col>34</xdr:col>
      <xdr:colOff>628629</xdr:colOff>
      <xdr:row>87</xdr:row>
      <xdr:rowOff>104002</xdr:rowOff>
    </xdr:to>
    <xdr:graphicFrame macro="">
      <xdr:nvGraphicFramePr>
        <xdr:cNvPr id="15" name="Chart 14">
          <a:extLst>
            <a:ext uri="{FF2B5EF4-FFF2-40B4-BE49-F238E27FC236}">
              <a16:creationId xmlns:a16="http://schemas.microsoft.com/office/drawing/2014/main" id="{28A33A06-BDD3-19B5-D933-8EDF855C3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699871</xdr:colOff>
      <xdr:row>88</xdr:row>
      <xdr:rowOff>196730</xdr:rowOff>
    </xdr:from>
    <xdr:to>
      <xdr:col>37</xdr:col>
      <xdr:colOff>159061</xdr:colOff>
      <xdr:row>103</xdr:row>
      <xdr:rowOff>164106</xdr:rowOff>
    </xdr:to>
    <xdr:graphicFrame macro="">
      <xdr:nvGraphicFramePr>
        <xdr:cNvPr id="16" name="Chart 15">
          <a:extLst>
            <a:ext uri="{FF2B5EF4-FFF2-40B4-BE49-F238E27FC236}">
              <a16:creationId xmlns:a16="http://schemas.microsoft.com/office/drawing/2014/main" id="{8FE00E63-2512-AE29-273C-D2CB035703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448984</xdr:colOff>
      <xdr:row>121</xdr:row>
      <xdr:rowOff>1496</xdr:rowOff>
    </xdr:from>
    <xdr:to>
      <xdr:col>33</xdr:col>
      <xdr:colOff>259977</xdr:colOff>
      <xdr:row>132</xdr:row>
      <xdr:rowOff>53788</xdr:rowOff>
    </xdr:to>
    <xdr:graphicFrame macro="">
      <xdr:nvGraphicFramePr>
        <xdr:cNvPr id="2" name="Chart 1">
          <a:extLst>
            <a:ext uri="{FF2B5EF4-FFF2-40B4-BE49-F238E27FC236}">
              <a16:creationId xmlns:a16="http://schemas.microsoft.com/office/drawing/2014/main" id="{CB466068-8BE0-5D41-D569-CF787255C9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168442</xdr:colOff>
      <xdr:row>97</xdr:row>
      <xdr:rowOff>40105</xdr:rowOff>
    </xdr:from>
    <xdr:to>
      <xdr:col>12</xdr:col>
      <xdr:colOff>376989</xdr:colOff>
      <xdr:row>107</xdr:row>
      <xdr:rowOff>112295</xdr:rowOff>
    </xdr:to>
    <xdr:sp macro="" textlink="">
      <xdr:nvSpPr>
        <xdr:cNvPr id="8" name="TextBox 7">
          <a:extLst>
            <a:ext uri="{FF2B5EF4-FFF2-40B4-BE49-F238E27FC236}">
              <a16:creationId xmlns:a16="http://schemas.microsoft.com/office/drawing/2014/main" id="{B7AFEEBF-C4BA-829F-2A83-294AC6529D49}"/>
            </a:ext>
          </a:extLst>
        </xdr:cNvPr>
        <xdr:cNvSpPr txBox="1"/>
      </xdr:nvSpPr>
      <xdr:spPr>
        <a:xfrm>
          <a:off x="625642" y="18279979"/>
          <a:ext cx="8895347" cy="19170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effectLst/>
            </a:rPr>
            <a:t>M&amp;A Funding </a:t>
          </a:r>
        </a:p>
        <a:p>
          <a:endParaRPr lang="en-IN" b="1">
            <a:effectLst/>
          </a:endParaRPr>
        </a:p>
        <a:p>
          <a:r>
            <a:rPr lang="en-IN" b="1">
              <a:effectLst/>
            </a:rPr>
            <a:t>Cash Flow from Operations:</a:t>
          </a:r>
          <a:r>
            <a:rPr lang="en-IN">
              <a:effectLst/>
            </a:rPr>
            <a:t> Cash generated from operations, totaling </a:t>
          </a:r>
          <a:r>
            <a:rPr lang="en-IN" b="1">
              <a:effectLst/>
            </a:rPr>
            <a:t>₹1,363 Crores</a:t>
          </a:r>
          <a:r>
            <a:rPr lang="en-IN">
              <a:effectLst/>
            </a:rPr>
            <a:t> in FY25, remained the </a:t>
          </a:r>
          <a:r>
            <a:rPr lang="en-IN" b="1">
              <a:effectLst/>
            </a:rPr>
            <a:t>primary source of liquidity</a:t>
          </a:r>
          <a:r>
            <a:rPr lang="en-IN">
              <a:effectLst/>
            </a:rPr>
            <a:t> for the Company.</a:t>
          </a:r>
        </a:p>
        <a:p>
          <a:r>
            <a:rPr lang="en-IN">
              <a:effectLst/>
            </a:rPr>
            <a:t>• </a:t>
          </a:r>
          <a:r>
            <a:rPr lang="en-IN" b="1">
              <a:effectLst/>
            </a:rPr>
            <a:t>Internal Funding:</a:t>
          </a:r>
          <a:r>
            <a:rPr lang="en-IN">
              <a:effectLst/>
            </a:rPr>
            <a:t> Initiatives like Project SETU (₹80-100 Crores over 3 years) are explicitly stated to be </a:t>
          </a:r>
          <a:r>
            <a:rPr lang="en-IN" b="1">
              <a:effectLst/>
            </a:rPr>
            <a:t>funded internally</a:t>
          </a:r>
          <a:r>
            <a:rPr lang="en-IN">
              <a:effectLst/>
            </a:rPr>
            <a:t> from savings and reallocation of resources.</a:t>
          </a:r>
        </a:p>
        <a:p>
          <a:r>
            <a:rPr lang="en-IN">
              <a:effectLst/>
            </a:rPr>
            <a:t>• </a:t>
          </a:r>
          <a:r>
            <a:rPr lang="en-IN" b="1">
              <a:effectLst/>
            </a:rPr>
            <a:t>Capital Discipline in Digital Brands:</a:t>
          </a:r>
          <a:r>
            <a:rPr lang="en-IN">
              <a:effectLst/>
            </a:rPr>
            <a:t> The company's unique model for its Digital-First brands has been engineered for </a:t>
          </a:r>
          <a:r>
            <a:rPr lang="en-IN" b="1">
              <a:effectLst/>
            </a:rPr>
            <a:t>profitable and sustainable growth</a:t>
          </a:r>
          <a:r>
            <a:rPr lang="en-IN">
              <a:effectLst/>
            </a:rPr>
            <a:t> which </a:t>
          </a:r>
          <a:r>
            <a:rPr lang="en-IN" b="1">
              <a:effectLst/>
            </a:rPr>
            <a:t>does not rely on cash burn</a:t>
          </a:r>
        </a:p>
        <a:p>
          <a:endParaRPr lang="en-IN" b="1">
            <a:effectLst/>
          </a:endParaRPr>
        </a:p>
        <a:p>
          <a:r>
            <a:rPr lang="en-IN"/>
            <a:t>All recent mergers and acquisitions — Beardo, Just Herbs, Plix, True Elements, Pure Sense, Coco Soul — have been funded entirely from Marico’s internal reserves and cash flows.</a:t>
          </a:r>
          <a:endParaRPr lang="en-IN">
            <a:effectLst/>
          </a:endParaRPr>
        </a:p>
        <a:p>
          <a:endParaRPr lang="en-IN" sz="1100"/>
        </a:p>
      </xdr:txBody>
    </xdr:sp>
    <xdr:clientData/>
  </xdr:twoCellAnchor>
  <xdr:twoCellAnchor>
    <xdr:from>
      <xdr:col>50</xdr:col>
      <xdr:colOff>0</xdr:colOff>
      <xdr:row>18</xdr:row>
      <xdr:rowOff>0</xdr:rowOff>
    </xdr:from>
    <xdr:to>
      <xdr:col>57</xdr:col>
      <xdr:colOff>326571</xdr:colOff>
      <xdr:row>31</xdr:row>
      <xdr:rowOff>37323</xdr:rowOff>
    </xdr:to>
    <xdr:graphicFrame macro="">
      <xdr:nvGraphicFramePr>
        <xdr:cNvPr id="11" name="Chart 10">
          <a:extLst>
            <a:ext uri="{FF2B5EF4-FFF2-40B4-BE49-F238E27FC236}">
              <a16:creationId xmlns:a16="http://schemas.microsoft.com/office/drawing/2014/main" id="{DC11749C-AA63-44C6-B722-BC6EA5293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49</xdr:col>
      <xdr:colOff>371805</xdr:colOff>
      <xdr:row>17</xdr:row>
      <xdr:rowOff>325455</xdr:rowOff>
    </xdr:from>
    <xdr:to>
      <xdr:col>57</xdr:col>
      <xdr:colOff>56469</xdr:colOff>
      <xdr:row>53</xdr:row>
      <xdr:rowOff>83963</xdr:rowOff>
    </xdr:to>
    <xdr:graphicFrame macro="">
      <xdr:nvGraphicFramePr>
        <xdr:cNvPr id="13" name="Chart 12">
          <a:extLst>
            <a:ext uri="{FF2B5EF4-FFF2-40B4-BE49-F238E27FC236}">
              <a16:creationId xmlns:a16="http://schemas.microsoft.com/office/drawing/2014/main" id="{8B440943-9C17-9FE7-B49F-D0C2A2C8F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486035</xdr:colOff>
      <xdr:row>148</xdr:row>
      <xdr:rowOff>37567</xdr:rowOff>
    </xdr:from>
    <xdr:to>
      <xdr:col>35</xdr:col>
      <xdr:colOff>455720</xdr:colOff>
      <xdr:row>166</xdr:row>
      <xdr:rowOff>161365</xdr:rowOff>
    </xdr:to>
    <xdr:graphicFrame macro="">
      <xdr:nvGraphicFramePr>
        <xdr:cNvPr id="10" name="Chart 9">
          <a:extLst>
            <a:ext uri="{FF2B5EF4-FFF2-40B4-BE49-F238E27FC236}">
              <a16:creationId xmlns:a16="http://schemas.microsoft.com/office/drawing/2014/main" id="{93A4A9B5-9CD7-FDBB-EC47-64F761759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299440</xdr:colOff>
      <xdr:row>168</xdr:row>
      <xdr:rowOff>118067</xdr:rowOff>
    </xdr:from>
    <xdr:to>
      <xdr:col>34</xdr:col>
      <xdr:colOff>194821</xdr:colOff>
      <xdr:row>182</xdr:row>
      <xdr:rowOff>38955</xdr:rowOff>
    </xdr:to>
    <xdr:graphicFrame macro="">
      <xdr:nvGraphicFramePr>
        <xdr:cNvPr id="14" name="Chart 13">
          <a:extLst>
            <a:ext uri="{FF2B5EF4-FFF2-40B4-BE49-F238E27FC236}">
              <a16:creationId xmlns:a16="http://schemas.microsoft.com/office/drawing/2014/main" id="{314475A4-7601-34DB-77A9-610541BEA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567824</xdr:colOff>
      <xdr:row>183</xdr:row>
      <xdr:rowOff>97920</xdr:rowOff>
    </xdr:from>
    <xdr:to>
      <xdr:col>33</xdr:col>
      <xdr:colOff>625587</xdr:colOff>
      <xdr:row>198</xdr:row>
      <xdr:rowOff>94038</xdr:rowOff>
    </xdr:to>
    <xdr:graphicFrame macro="">
      <xdr:nvGraphicFramePr>
        <xdr:cNvPr id="17" name="Chart 16">
          <a:extLst>
            <a:ext uri="{FF2B5EF4-FFF2-40B4-BE49-F238E27FC236}">
              <a16:creationId xmlns:a16="http://schemas.microsoft.com/office/drawing/2014/main" id="{4C08EB8D-EB93-C3CB-01BE-99B1A80A2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235256</xdr:colOff>
      <xdr:row>201</xdr:row>
      <xdr:rowOff>41292</xdr:rowOff>
    </xdr:from>
    <xdr:to>
      <xdr:col>34</xdr:col>
      <xdr:colOff>129868</xdr:colOff>
      <xdr:row>213</xdr:row>
      <xdr:rowOff>170330</xdr:rowOff>
    </xdr:to>
    <xdr:graphicFrame macro="">
      <xdr:nvGraphicFramePr>
        <xdr:cNvPr id="19" name="Chart 18">
          <a:extLst>
            <a:ext uri="{FF2B5EF4-FFF2-40B4-BE49-F238E27FC236}">
              <a16:creationId xmlns:a16="http://schemas.microsoft.com/office/drawing/2014/main" id="{936864E2-C6AA-44BE-9560-E3A442E8C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36</xdr:col>
      <xdr:colOff>575642</xdr:colOff>
      <xdr:row>219</xdr:row>
      <xdr:rowOff>54061</xdr:rowOff>
    </xdr:from>
    <xdr:to>
      <xdr:col>41</xdr:col>
      <xdr:colOff>519952</xdr:colOff>
      <xdr:row>229</xdr:row>
      <xdr:rowOff>41705</xdr:rowOff>
    </xdr:to>
    <xdr:pic>
      <xdr:nvPicPr>
        <xdr:cNvPr id="20" name="Picture 19">
          <a:extLst>
            <a:ext uri="{FF2B5EF4-FFF2-40B4-BE49-F238E27FC236}">
              <a16:creationId xmlns:a16="http://schemas.microsoft.com/office/drawing/2014/main" id="{60CB9727-9728-2667-CA5F-F6F3634AEA35}"/>
            </a:ext>
          </a:extLst>
        </xdr:cNvPr>
        <xdr:cNvPicPr>
          <a:picLocks noChangeAspect="1"/>
        </xdr:cNvPicPr>
      </xdr:nvPicPr>
      <xdr:blipFill>
        <a:blip xmlns:r="http://schemas.openxmlformats.org/officeDocument/2006/relationships" r:embed="rId13"/>
        <a:stretch>
          <a:fillRect/>
        </a:stretch>
      </xdr:blipFill>
      <xdr:spPr>
        <a:xfrm>
          <a:off x="29666113" y="38225779"/>
          <a:ext cx="4337016" cy="1870232"/>
        </a:xfrm>
        <a:prstGeom prst="rect">
          <a:avLst/>
        </a:prstGeom>
      </xdr:spPr>
    </xdr:pic>
    <xdr:clientData/>
  </xdr:twoCellAnchor>
  <xdr:twoCellAnchor>
    <xdr:from>
      <xdr:col>30</xdr:col>
      <xdr:colOff>676904</xdr:colOff>
      <xdr:row>215</xdr:row>
      <xdr:rowOff>133860</xdr:rowOff>
    </xdr:from>
    <xdr:to>
      <xdr:col>36</xdr:col>
      <xdr:colOff>403412</xdr:colOff>
      <xdr:row>231</xdr:row>
      <xdr:rowOff>125778</xdr:rowOff>
    </xdr:to>
    <xdr:graphicFrame macro="">
      <xdr:nvGraphicFramePr>
        <xdr:cNvPr id="21" name="Chart 20">
          <a:extLst>
            <a:ext uri="{FF2B5EF4-FFF2-40B4-BE49-F238E27FC236}">
              <a16:creationId xmlns:a16="http://schemas.microsoft.com/office/drawing/2014/main" id="{DB37C249-679A-F605-251D-0B2124E3B6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34</xdr:col>
      <xdr:colOff>573741</xdr:colOff>
      <xdr:row>105</xdr:row>
      <xdr:rowOff>80683</xdr:rowOff>
    </xdr:from>
    <xdr:to>
      <xdr:col>38</xdr:col>
      <xdr:colOff>627529</xdr:colOff>
      <xdr:row>119</xdr:row>
      <xdr:rowOff>143435</xdr:rowOff>
    </xdr:to>
    <xdr:pic>
      <xdr:nvPicPr>
        <xdr:cNvPr id="23" name="Picture 22">
          <a:extLst>
            <a:ext uri="{FF2B5EF4-FFF2-40B4-BE49-F238E27FC236}">
              <a16:creationId xmlns:a16="http://schemas.microsoft.com/office/drawing/2014/main" id="{CEF6DC5B-7DAF-075D-6E4B-7389299D44A3}"/>
            </a:ext>
          </a:extLst>
        </xdr:cNvPr>
        <xdr:cNvPicPr>
          <a:picLocks noChangeAspect="1"/>
        </xdr:cNvPicPr>
      </xdr:nvPicPr>
      <xdr:blipFill>
        <a:blip xmlns:r="http://schemas.openxmlformats.org/officeDocument/2006/relationships" r:embed="rId15"/>
        <a:stretch>
          <a:fillRect/>
        </a:stretch>
      </xdr:blipFill>
      <xdr:spPr>
        <a:xfrm>
          <a:off x="28256753" y="16082683"/>
          <a:ext cx="3021105" cy="2877670"/>
        </a:xfrm>
        <a:prstGeom prst="rect">
          <a:avLst/>
        </a:prstGeom>
      </xdr:spPr>
    </xdr:pic>
    <xdr:clientData/>
  </xdr:twoCellAnchor>
  <xdr:twoCellAnchor>
    <xdr:from>
      <xdr:col>29</xdr:col>
      <xdr:colOff>389964</xdr:colOff>
      <xdr:row>105</xdr:row>
      <xdr:rowOff>71720</xdr:rowOff>
    </xdr:from>
    <xdr:to>
      <xdr:col>33</xdr:col>
      <xdr:colOff>632011</xdr:colOff>
      <xdr:row>119</xdr:row>
      <xdr:rowOff>1</xdr:rowOff>
    </xdr:to>
    <xdr:graphicFrame macro="">
      <xdr:nvGraphicFramePr>
        <xdr:cNvPr id="25" name="Chart 24">
          <a:extLst>
            <a:ext uri="{FF2B5EF4-FFF2-40B4-BE49-F238E27FC236}">
              <a16:creationId xmlns:a16="http://schemas.microsoft.com/office/drawing/2014/main" id="{EEBBCFB0-DEE4-4B36-B57A-68613E267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41</xdr:col>
      <xdr:colOff>219635</xdr:colOff>
      <xdr:row>269</xdr:row>
      <xdr:rowOff>116543</xdr:rowOff>
    </xdr:from>
    <xdr:to>
      <xdr:col>47</xdr:col>
      <xdr:colOff>336175</xdr:colOff>
      <xdr:row>284</xdr:row>
      <xdr:rowOff>152402</xdr:rowOff>
    </xdr:to>
    <xdr:graphicFrame macro="">
      <xdr:nvGraphicFramePr>
        <xdr:cNvPr id="27" name="Chart 26">
          <a:extLst>
            <a:ext uri="{FF2B5EF4-FFF2-40B4-BE49-F238E27FC236}">
              <a16:creationId xmlns:a16="http://schemas.microsoft.com/office/drawing/2014/main" id="{249F8141-ACC9-DA19-B206-E3E640C01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27</xdr:col>
      <xdr:colOff>981634</xdr:colOff>
      <xdr:row>132</xdr:row>
      <xdr:rowOff>8962</xdr:rowOff>
    </xdr:from>
    <xdr:to>
      <xdr:col>31</xdr:col>
      <xdr:colOff>775446</xdr:colOff>
      <xdr:row>146</xdr:row>
      <xdr:rowOff>62750</xdr:rowOff>
    </xdr:to>
    <xdr:graphicFrame macro="">
      <xdr:nvGraphicFramePr>
        <xdr:cNvPr id="22" name="Chart 21">
          <a:extLst>
            <a:ext uri="{FF2B5EF4-FFF2-40B4-BE49-F238E27FC236}">
              <a16:creationId xmlns:a16="http://schemas.microsoft.com/office/drawing/2014/main" id="{9C778EEB-C99F-3A79-A8AB-37405C085A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50</xdr:col>
      <xdr:colOff>112059</xdr:colOff>
      <xdr:row>269</xdr:row>
      <xdr:rowOff>80683</xdr:rowOff>
    </xdr:from>
    <xdr:to>
      <xdr:col>58</xdr:col>
      <xdr:colOff>80683</xdr:colOff>
      <xdr:row>284</xdr:row>
      <xdr:rowOff>80682</xdr:rowOff>
    </xdr:to>
    <xdr:graphicFrame macro="">
      <xdr:nvGraphicFramePr>
        <xdr:cNvPr id="24" name="Chart 23">
          <a:extLst>
            <a:ext uri="{FF2B5EF4-FFF2-40B4-BE49-F238E27FC236}">
              <a16:creationId xmlns:a16="http://schemas.microsoft.com/office/drawing/2014/main" id="{1685F6A5-505F-2EA6-4D89-1682B275C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42</xdr:col>
      <xdr:colOff>470647</xdr:colOff>
      <xdr:row>287</xdr:row>
      <xdr:rowOff>62752</xdr:rowOff>
    </xdr:from>
    <xdr:to>
      <xdr:col>49</xdr:col>
      <xdr:colOff>174812</xdr:colOff>
      <xdr:row>301</xdr:row>
      <xdr:rowOff>116541</xdr:rowOff>
    </xdr:to>
    <xdr:graphicFrame macro="">
      <xdr:nvGraphicFramePr>
        <xdr:cNvPr id="29" name="Chart 28">
          <a:extLst>
            <a:ext uri="{FF2B5EF4-FFF2-40B4-BE49-F238E27FC236}">
              <a16:creationId xmlns:a16="http://schemas.microsoft.com/office/drawing/2014/main" id="{963C17F1-A7C8-C12D-B6FA-7A35BEEBB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65</xdr:col>
      <xdr:colOff>573741</xdr:colOff>
      <xdr:row>17</xdr:row>
      <xdr:rowOff>89646</xdr:rowOff>
    </xdr:from>
    <xdr:to>
      <xdr:col>74</xdr:col>
      <xdr:colOff>301630</xdr:colOff>
      <xdr:row>53</xdr:row>
      <xdr:rowOff>31956</xdr:rowOff>
    </xdr:to>
    <xdr:graphicFrame macro="">
      <xdr:nvGraphicFramePr>
        <xdr:cNvPr id="28" name="Chart 27">
          <a:extLst>
            <a:ext uri="{FF2B5EF4-FFF2-40B4-BE49-F238E27FC236}">
              <a16:creationId xmlns:a16="http://schemas.microsoft.com/office/drawing/2014/main" id="{D61B5B45-1563-4CC2-A447-AEB60D73E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50</xdr:col>
      <xdr:colOff>363072</xdr:colOff>
      <xdr:row>287</xdr:row>
      <xdr:rowOff>152401</xdr:rowOff>
    </xdr:from>
    <xdr:to>
      <xdr:col>58</xdr:col>
      <xdr:colOff>58272</xdr:colOff>
      <xdr:row>303</xdr:row>
      <xdr:rowOff>8966</xdr:rowOff>
    </xdr:to>
    <xdr:graphicFrame macro="">
      <xdr:nvGraphicFramePr>
        <xdr:cNvPr id="3" name="Chart 2">
          <a:extLst>
            <a:ext uri="{FF2B5EF4-FFF2-40B4-BE49-F238E27FC236}">
              <a16:creationId xmlns:a16="http://schemas.microsoft.com/office/drawing/2014/main" id="{E55911E2-64A4-CDAE-584F-0476AC22B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23</xdr:col>
      <xdr:colOff>573741</xdr:colOff>
      <xdr:row>273</xdr:row>
      <xdr:rowOff>143436</xdr:rowOff>
    </xdr:from>
    <xdr:to>
      <xdr:col>27</xdr:col>
      <xdr:colOff>710454</xdr:colOff>
      <xdr:row>288</xdr:row>
      <xdr:rowOff>143436</xdr:rowOff>
    </xdr:to>
    <xdr:graphicFrame macro="">
      <xdr:nvGraphicFramePr>
        <xdr:cNvPr id="5" name="Chart 4">
          <a:extLst>
            <a:ext uri="{FF2B5EF4-FFF2-40B4-BE49-F238E27FC236}">
              <a16:creationId xmlns:a16="http://schemas.microsoft.com/office/drawing/2014/main" id="{8C3C1894-6D3E-4546-701B-87DB6F194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42</xdr:col>
      <xdr:colOff>1250577</xdr:colOff>
      <xdr:row>304</xdr:row>
      <xdr:rowOff>35859</xdr:rowOff>
    </xdr:from>
    <xdr:to>
      <xdr:col>50</xdr:col>
      <xdr:colOff>345142</xdr:colOff>
      <xdr:row>319</xdr:row>
      <xdr:rowOff>89648</xdr:rowOff>
    </xdr:to>
    <xdr:graphicFrame macro="">
      <xdr:nvGraphicFramePr>
        <xdr:cNvPr id="9" name="Chart 8">
          <a:extLst>
            <a:ext uri="{FF2B5EF4-FFF2-40B4-BE49-F238E27FC236}">
              <a16:creationId xmlns:a16="http://schemas.microsoft.com/office/drawing/2014/main" id="{D81AFEA7-BD10-541E-39E0-7966E529C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24</xdr:col>
      <xdr:colOff>129988</xdr:colOff>
      <xdr:row>292</xdr:row>
      <xdr:rowOff>80681</xdr:rowOff>
    </xdr:from>
    <xdr:to>
      <xdr:col>27</xdr:col>
      <xdr:colOff>739588</xdr:colOff>
      <xdr:row>307</xdr:row>
      <xdr:rowOff>98611</xdr:rowOff>
    </xdr:to>
    <xdr:graphicFrame macro="">
      <xdr:nvGraphicFramePr>
        <xdr:cNvPr id="18" name="Chart 17">
          <a:extLst>
            <a:ext uri="{FF2B5EF4-FFF2-40B4-BE49-F238E27FC236}">
              <a16:creationId xmlns:a16="http://schemas.microsoft.com/office/drawing/2014/main" id="{495FB94F-7E84-DC77-E5EC-AFEA0ED18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51</xdr:col>
      <xdr:colOff>345142</xdr:colOff>
      <xdr:row>304</xdr:row>
      <xdr:rowOff>17930</xdr:rowOff>
    </xdr:from>
    <xdr:to>
      <xdr:col>59</xdr:col>
      <xdr:colOff>40342</xdr:colOff>
      <xdr:row>319</xdr:row>
      <xdr:rowOff>53789</xdr:rowOff>
    </xdr:to>
    <xdr:graphicFrame macro="">
      <xdr:nvGraphicFramePr>
        <xdr:cNvPr id="26" name="Chart 25">
          <a:extLst>
            <a:ext uri="{FF2B5EF4-FFF2-40B4-BE49-F238E27FC236}">
              <a16:creationId xmlns:a16="http://schemas.microsoft.com/office/drawing/2014/main" id="{85F0B422-4F74-6F54-C1DE-73C3FAAABF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29</xdr:col>
      <xdr:colOff>439270</xdr:colOff>
      <xdr:row>234</xdr:row>
      <xdr:rowOff>170329</xdr:rowOff>
    </xdr:from>
    <xdr:to>
      <xdr:col>33</xdr:col>
      <xdr:colOff>681316</xdr:colOff>
      <xdr:row>248</xdr:row>
      <xdr:rowOff>17930</xdr:rowOff>
    </xdr:to>
    <xdr:graphicFrame macro="">
      <xdr:nvGraphicFramePr>
        <xdr:cNvPr id="31" name="Chart 30">
          <a:extLst>
            <a:ext uri="{FF2B5EF4-FFF2-40B4-BE49-F238E27FC236}">
              <a16:creationId xmlns:a16="http://schemas.microsoft.com/office/drawing/2014/main" id="{F01D27A6-8A23-483C-86A9-40F8FE22F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23</xdr:col>
      <xdr:colOff>506504</xdr:colOff>
      <xdr:row>308</xdr:row>
      <xdr:rowOff>17932</xdr:rowOff>
    </xdr:from>
    <xdr:to>
      <xdr:col>27</xdr:col>
      <xdr:colOff>224117</xdr:colOff>
      <xdr:row>321</xdr:row>
      <xdr:rowOff>107576</xdr:rowOff>
    </xdr:to>
    <xdr:graphicFrame macro="">
      <xdr:nvGraphicFramePr>
        <xdr:cNvPr id="33" name="Chart 32">
          <a:extLst>
            <a:ext uri="{FF2B5EF4-FFF2-40B4-BE49-F238E27FC236}">
              <a16:creationId xmlns:a16="http://schemas.microsoft.com/office/drawing/2014/main" id="{0D8FF677-A4F0-5C88-2325-7CA6470F1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cdr:x>
      <cdr:y>0.07339</cdr:y>
    </cdr:from>
    <cdr:to>
      <cdr:x>0.73099</cdr:x>
      <cdr:y>0.15963</cdr:y>
    </cdr:to>
    <cdr:sp macro="" textlink="">
      <cdr:nvSpPr>
        <cdr:cNvPr id="2" name="TextBox 1">
          <a:extLst xmlns:a="http://schemas.openxmlformats.org/drawingml/2006/main">
            <a:ext uri="{FF2B5EF4-FFF2-40B4-BE49-F238E27FC236}">
              <a16:creationId xmlns:a16="http://schemas.microsoft.com/office/drawing/2014/main" id="{651FAEA9-9DF2-D19E-4AC5-14DB9F855553}"/>
            </a:ext>
          </a:extLst>
        </cdr:cNvPr>
        <cdr:cNvSpPr txBox="1"/>
      </cdr:nvSpPr>
      <cdr:spPr>
        <a:xfrm xmlns:a="http://schemas.openxmlformats.org/drawingml/2006/main">
          <a:off x="0" y="207348"/>
          <a:ext cx="3338287" cy="24363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800" kern="1200"/>
            <a:t>Sized by Product Type (2023–2033, USD Billion)</a:t>
          </a:r>
        </a:p>
      </cdr:txBody>
    </cdr:sp>
  </cdr:relSizeAnchor>
</c:userShape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www.nseindia.com/get-quotes/equity?symbol=HINDUNILVR" TargetMode="External"/><Relationship Id="rId13" Type="http://schemas.openxmlformats.org/officeDocument/2006/relationships/hyperlink" Target="https://www.nseindia.com/get-quotes/equity?symbol=GOKULAGRO" TargetMode="External"/><Relationship Id="rId18" Type="http://schemas.openxmlformats.org/officeDocument/2006/relationships/hyperlink" Target="https://www.nseindia.com/get-quotes/equity?symbol=EMAMILTD" TargetMode="External"/><Relationship Id="rId3" Type="http://schemas.openxmlformats.org/officeDocument/2006/relationships/hyperlink" Target="https://www.nseindia.com/get-quotes/equity?symbol=BRITANNIA" TargetMode="External"/><Relationship Id="rId21" Type="http://schemas.openxmlformats.org/officeDocument/2006/relationships/hyperlink" Target="https://www.nseindia.com/get-quotes/equity?symbol=GOKULAGRO" TargetMode="External"/><Relationship Id="rId7" Type="http://schemas.openxmlformats.org/officeDocument/2006/relationships/hyperlink" Target="https://www.nseindia.com/get-quotes/equity?symbol=DABUR" TargetMode="External"/><Relationship Id="rId12" Type="http://schemas.openxmlformats.org/officeDocument/2006/relationships/hyperlink" Target="https://www.nseindia.com/get-quotes/equity?symbol=GODREJCP" TargetMode="External"/><Relationship Id="rId17" Type="http://schemas.openxmlformats.org/officeDocument/2006/relationships/hyperlink" Target="https://www.nseindia.com/get-quotes/equity?symbol=BAJAJCON" TargetMode="External"/><Relationship Id="rId25" Type="http://schemas.openxmlformats.org/officeDocument/2006/relationships/drawing" Target="../drawings/drawing1.xml"/><Relationship Id="rId2" Type="http://schemas.openxmlformats.org/officeDocument/2006/relationships/hyperlink" Target="https://www.nseindia.com/get-quotes/equity?symbol=EMAMILTD" TargetMode="External"/><Relationship Id="rId16" Type="http://schemas.openxmlformats.org/officeDocument/2006/relationships/hyperlink" Target="https://www.nseindia.com/get-quotes/equity?symbol=HINDUNILVR" TargetMode="External"/><Relationship Id="rId20" Type="http://schemas.openxmlformats.org/officeDocument/2006/relationships/hyperlink" Target="https://www.nseindia.com/get-quotes/equity?symbol=GODREJCP" TargetMode="External"/><Relationship Id="rId1" Type="http://schemas.openxmlformats.org/officeDocument/2006/relationships/hyperlink" Target="https://www.nseindia.com/get-quotes/equity?symbol=BAJAJCON" TargetMode="External"/><Relationship Id="rId6" Type="http://schemas.openxmlformats.org/officeDocument/2006/relationships/hyperlink" Target="https://www.nseindia.com/get-quotes/equity?symbol=SUNDROP" TargetMode="External"/><Relationship Id="rId11" Type="http://schemas.openxmlformats.org/officeDocument/2006/relationships/hyperlink" Target="https://www.nseindia.com/get-quotes/equity?symbol=BRITANNIA" TargetMode="External"/><Relationship Id="rId24" Type="http://schemas.openxmlformats.org/officeDocument/2006/relationships/hyperlink" Target="https://www.nseindia.com/get-quotes/equity?symbol=HINDUNILVR" TargetMode="External"/><Relationship Id="rId5" Type="http://schemas.openxmlformats.org/officeDocument/2006/relationships/hyperlink" Target="https://www.nseindia.com/get-quotes/equity?symbol=GOKULAGRO" TargetMode="External"/><Relationship Id="rId15" Type="http://schemas.openxmlformats.org/officeDocument/2006/relationships/hyperlink" Target="https://www.nseindia.com/get-quotes/equity?symbol=DABUR" TargetMode="External"/><Relationship Id="rId23" Type="http://schemas.openxmlformats.org/officeDocument/2006/relationships/hyperlink" Target="https://www.nseindia.com/get-quotes/equity?symbol=DABUR" TargetMode="External"/><Relationship Id="rId10" Type="http://schemas.openxmlformats.org/officeDocument/2006/relationships/hyperlink" Target="https://www.nseindia.com/get-quotes/equity?symbol=EMAMILTD" TargetMode="External"/><Relationship Id="rId19" Type="http://schemas.openxmlformats.org/officeDocument/2006/relationships/hyperlink" Target="https://www.nseindia.com/get-quotes/equity?symbol=BRITANNIA" TargetMode="External"/><Relationship Id="rId4" Type="http://schemas.openxmlformats.org/officeDocument/2006/relationships/hyperlink" Target="https://www.nseindia.com/get-quotes/equity?symbol=GODREJCP" TargetMode="External"/><Relationship Id="rId9" Type="http://schemas.openxmlformats.org/officeDocument/2006/relationships/hyperlink" Target="https://www.nseindia.com/get-quotes/equity?symbol=BAJAJCON" TargetMode="External"/><Relationship Id="rId14" Type="http://schemas.openxmlformats.org/officeDocument/2006/relationships/hyperlink" Target="https://www.nseindia.com/get-quotes/equity?symbol=SUNDROP" TargetMode="External"/><Relationship Id="rId22" Type="http://schemas.openxmlformats.org/officeDocument/2006/relationships/hyperlink" Target="https://www.nseindia.com/get-quotes/equity?symbol=SUNDROP"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imarcgroup.com/india-fmcg-market" TargetMode="External"/><Relationship Id="rId13" Type="http://schemas.openxmlformats.org/officeDocument/2006/relationships/comments" Target="../comments2.xml"/><Relationship Id="rId3" Type="http://schemas.openxmlformats.org/officeDocument/2006/relationships/hyperlink" Target="https://www.marketsandata.com/industries" TargetMode="External"/><Relationship Id="rId7" Type="http://schemas.openxmlformats.org/officeDocument/2006/relationships/hyperlink" Target="https://inciflo.com/blogs/fmcg-industry-growth-in-india/" TargetMode="External"/><Relationship Id="rId12" Type="http://schemas.openxmlformats.org/officeDocument/2006/relationships/vmlDrawing" Target="../drawings/vmlDrawing2.vml"/><Relationship Id="rId2" Type="http://schemas.openxmlformats.org/officeDocument/2006/relationships/hyperlink" Target="https://www.marketsandata.com/industry-reports/india-edible-oils-market" TargetMode="External"/><Relationship Id="rId1" Type="http://schemas.openxmlformats.org/officeDocument/2006/relationships/hyperlink" Target="https://ibef.org/industry/fmcg-presentation" TargetMode="External"/><Relationship Id="rId6" Type="http://schemas.openxmlformats.org/officeDocument/2006/relationships/hyperlink" Target="https://www.imarcgroup.com/india-edible-oil-market" TargetMode="External"/><Relationship Id="rId11" Type="http://schemas.openxmlformats.org/officeDocument/2006/relationships/drawing" Target="../drawings/drawing2.xml"/><Relationship Id="rId5" Type="http://schemas.openxmlformats.org/officeDocument/2006/relationships/hyperlink" Target="https://www.ibef.org/news/india-you-e-beauty-the-blush-and-glow-of-the-new-billion-dollar-boom" TargetMode="External"/><Relationship Id="rId10" Type="http://schemas.openxmlformats.org/officeDocument/2006/relationships/printerSettings" Target="../printerSettings/printerSettings1.bin"/><Relationship Id="rId4" Type="http://schemas.openxmlformats.org/officeDocument/2006/relationships/hyperlink" Target="https://www.statista.com/outlook/cmo/beauty-personal-care/india?srsltid=AfmBOorzt_p4jrJ6rhQpLXjwTHkLH4EGkU_rRtahTG4PhNxLzw7bm_L-" TargetMode="External"/><Relationship Id="rId9" Type="http://schemas.openxmlformats.org/officeDocument/2006/relationships/hyperlink" Target="https://www.zionmarketresearch.com/report/india-fmcg-market" TargetMode="Externa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trlProp" Target="../ctrlProps/ctrlProp2.xml"/></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trlProp" Target="../ctrlProps/ctrlProp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5.bin"/><Relationship Id="rId4" Type="http://schemas.openxmlformats.org/officeDocument/2006/relationships/ctrlProp" Target="../ctrlProps/ctrlProp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6.bin"/><Relationship Id="rId4" Type="http://schemas.openxmlformats.org/officeDocument/2006/relationships/ctrlProp" Target="../ctrlProps/ctrlProp6.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22AC3-9D84-4D74-B944-C3F38FDF5070}">
  <sheetPr codeName="Sheet2"/>
  <dimension ref="B3:AB24"/>
  <sheetViews>
    <sheetView showGridLines="0" topLeftCell="A4" workbookViewId="0">
      <selection activeCell="B8" sqref="B8:C23"/>
    </sheetView>
  </sheetViews>
  <sheetFormatPr defaultRowHeight="14.4"/>
  <cols>
    <col min="2" max="2" width="42.5546875" customWidth="1"/>
    <col min="3" max="3" width="20.109375" customWidth="1"/>
  </cols>
  <sheetData>
    <row r="3" spans="2:28" ht="15.6">
      <c r="B3" s="139" t="s">
        <v>748</v>
      </c>
    </row>
    <row r="5" spans="2:28" ht="18" customHeight="1">
      <c r="B5" s="453" t="s">
        <v>749</v>
      </c>
      <c r="C5" s="561" t="s">
        <v>750</v>
      </c>
    </row>
    <row r="6" spans="2:28" ht="18" customHeight="1"/>
    <row r="7" spans="2:28" ht="18" customHeight="1">
      <c r="B7" s="137" t="s">
        <v>964</v>
      </c>
    </row>
    <row r="8" spans="2:28" ht="18" customHeight="1">
      <c r="B8" s="453" t="s">
        <v>781</v>
      </c>
      <c r="C8" s="653" t="s">
        <v>382</v>
      </c>
    </row>
    <row r="9" spans="2:28" ht="18" customHeight="1">
      <c r="B9" s="453" t="s">
        <v>965</v>
      </c>
      <c r="C9" s="654">
        <v>6.5100000000000005E-2</v>
      </c>
      <c r="E9" s="153"/>
    </row>
    <row r="10" spans="2:28" ht="18" customHeight="1">
      <c r="B10" s="453" t="str">
        <f>C8&amp;"'s"&amp;" Moodys Sovereign Rating"</f>
        <v>India's Moodys Sovereign Rating</v>
      </c>
      <c r="C10" s="654" t="str">
        <f>VLOOKUP(C8,'Damodaran Data'!B4:D161,3,FALSE)</f>
        <v>Baa3</v>
      </c>
    </row>
    <row r="11" spans="2:28" ht="18" customHeight="1">
      <c r="B11" s="453" t="s">
        <v>966</v>
      </c>
      <c r="C11" s="655">
        <f>VLOOKUP(C8,'Damodaran Data'!B4:E161,4,)</f>
        <v>2.160985823777507E-2</v>
      </c>
    </row>
    <row r="12" spans="2:28" ht="18" customHeight="1">
      <c r="B12" s="453" t="s">
        <v>967</v>
      </c>
      <c r="C12" s="654">
        <v>3.73E-2</v>
      </c>
    </row>
    <row r="13" spans="2:28" ht="18" customHeight="1">
      <c r="B13" s="453" t="s">
        <v>968</v>
      </c>
      <c r="C13" s="653">
        <v>0.45</v>
      </c>
    </row>
    <row r="14" spans="2:28" ht="18" customHeight="1">
      <c r="B14" s="453" t="s">
        <v>969</v>
      </c>
      <c r="C14" s="653">
        <v>0.05</v>
      </c>
    </row>
    <row r="15" spans="2:28" ht="18" customHeight="1">
      <c r="B15" s="453" t="s">
        <v>100</v>
      </c>
      <c r="C15" s="655">
        <f>'Assumptions Working '!I659</f>
        <v>9.534591194968553E-2</v>
      </c>
    </row>
    <row r="16" spans="2:28" ht="18" customHeight="1">
      <c r="B16" s="453" t="s">
        <v>970</v>
      </c>
      <c r="C16" s="655">
        <f>'Assumptions Working '!I660</f>
        <v>8.1593110871905281E-2</v>
      </c>
      <c r="Z16" t="s">
        <v>976</v>
      </c>
      <c r="AB16" t="s">
        <v>131</v>
      </c>
    </row>
    <row r="17" spans="2:28" ht="18" customHeight="1">
      <c r="B17" s="453" t="s">
        <v>31</v>
      </c>
      <c r="C17" s="654">
        <v>0.25119999999999998</v>
      </c>
      <c r="Z17" t="s">
        <v>977</v>
      </c>
      <c r="AB17" t="s">
        <v>132</v>
      </c>
    </row>
    <row r="18" spans="2:28" ht="18" customHeight="1">
      <c r="B18" s="453" t="s">
        <v>974</v>
      </c>
      <c r="C18" s="653" t="s">
        <v>131</v>
      </c>
    </row>
    <row r="19" spans="2:28" ht="18" customHeight="1">
      <c r="B19" s="453" t="s">
        <v>975</v>
      </c>
      <c r="C19" s="653" t="s">
        <v>976</v>
      </c>
    </row>
    <row r="20" spans="2:28" ht="18" customHeight="1">
      <c r="B20" s="453" t="s">
        <v>972</v>
      </c>
      <c r="C20" s="653" t="s">
        <v>1000</v>
      </c>
    </row>
    <row r="21" spans="2:28" ht="18" customHeight="1">
      <c r="B21" s="453" t="s">
        <v>971</v>
      </c>
      <c r="C21" s="656">
        <f>'3 Statement Model'!N47</f>
        <v>50.047841699103273</v>
      </c>
      <c r="D21" s="526"/>
    </row>
    <row r="22" spans="2:28" ht="18" customHeight="1">
      <c r="B22" s="453" t="s">
        <v>1017</v>
      </c>
      <c r="C22" s="655">
        <f>IF(C19="Largr",VLOOKUP(C21,'Damodaran Data'!G6:J21,4,TRUE),VLOOKUP('Input Sheet'!C21,'Damodaran Data'!L6:O21,4,TRUE))</f>
        <v>4.4999999999999997E-3</v>
      </c>
    </row>
    <row r="23" spans="2:28" ht="18" customHeight="1">
      <c r="B23" s="453" t="s">
        <v>973</v>
      </c>
      <c r="C23" s="654">
        <v>2.5999999999999999E-2</v>
      </c>
    </row>
    <row r="24" spans="2:28">
      <c r="B24" s="21"/>
      <c r="C24" s="21"/>
    </row>
  </sheetData>
  <dataValidations count="2">
    <dataValidation type="list" allowBlank="1" showInputMessage="1" showErrorMessage="1" sqref="C18" xr:uid="{228AF51E-4B0D-4644-8C90-58496C3CCDDF}">
      <formula1>$AB$16:$AB$17</formula1>
    </dataValidation>
    <dataValidation type="list" allowBlank="1" showInputMessage="1" showErrorMessage="1" sqref="C19" xr:uid="{812DCF50-4565-4A2A-A20F-01637E6F8374}">
      <formula1>$Z$16:$Z$17</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88A43797-79FD-4BAF-8303-B7801C42B0AD}">
          <x14:formula1>
            <xm:f>'Damodaran Data'!$B$5:$B$161</xm:f>
          </x14:formula1>
          <xm:sqref>C8</xm:sqref>
        </x14:dataValidation>
        <x14:dataValidation type="list" allowBlank="1" showInputMessage="1" showErrorMessage="1" xr:uid="{88584572-FC46-4352-B666-B10A51A8BA51}">
          <x14:formula1>
            <xm:f>'Damodaran Data'!$N$7:$N$21</xm:f>
          </x14:formula1>
          <xm:sqref>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DCB22-059C-4DC8-B678-0BE47859FE6B}">
  <dimension ref="B2:L142"/>
  <sheetViews>
    <sheetView showGridLines="0" tabSelected="1" workbookViewId="0">
      <selection activeCell="D5" sqref="D5:F5"/>
    </sheetView>
  </sheetViews>
  <sheetFormatPr defaultRowHeight="14.4"/>
  <cols>
    <col min="1" max="1" width="1.88671875" customWidth="1"/>
    <col min="2" max="2" width="41.109375" customWidth="1"/>
    <col min="3" max="3" width="1.109375" customWidth="1"/>
    <col min="4" max="6" width="14.77734375" customWidth="1"/>
    <col min="7" max="7" width="14.33203125" customWidth="1"/>
    <col min="8" max="9" width="14.77734375" customWidth="1"/>
    <col min="10" max="10" width="16.21875" bestFit="1" customWidth="1"/>
    <col min="11" max="11" width="6.6640625" customWidth="1"/>
    <col min="12" max="12" width="15.21875" customWidth="1"/>
  </cols>
  <sheetData>
    <row r="2" spans="2:12" ht="21">
      <c r="B2" s="519" t="str">
        <f>'Input Sheet'!C5</f>
        <v xml:space="preserve">Marico Ltd </v>
      </c>
    </row>
    <row r="3" spans="2:12" ht="18">
      <c r="B3" s="9" t="s">
        <v>137</v>
      </c>
      <c r="C3" s="9"/>
      <c r="D3" s="9"/>
    </row>
    <row r="5" spans="2:12">
      <c r="B5" s="11" t="s">
        <v>717</v>
      </c>
      <c r="C5" s="11"/>
      <c r="D5" s="11" t="s">
        <v>1003</v>
      </c>
      <c r="E5" s="11" t="s">
        <v>1004</v>
      </c>
      <c r="F5" s="11" t="s">
        <v>1005</v>
      </c>
      <c r="H5" s="536" t="s">
        <v>138</v>
      </c>
    </row>
    <row r="6" spans="2:12" ht="3.6" customHeight="1"/>
    <row r="7" spans="2:12">
      <c r="B7" s="521" t="s">
        <v>1006</v>
      </c>
      <c r="C7" s="521"/>
      <c r="D7" s="522">
        <f>'Input Sheet'!C9-'Input Sheet'!C11</f>
        <v>4.3490141762224932E-2</v>
      </c>
      <c r="E7" s="522">
        <f>D7</f>
        <v>4.3490141762224932E-2</v>
      </c>
      <c r="F7" s="522">
        <f>E7</f>
        <v>4.3490141762224932E-2</v>
      </c>
      <c r="H7" s="665" t="str">
        <f>"We have considered "&amp;TEXT(E7,"0.00%")&amp;" as the risk free rate in estimation of  cost of equity of "&amp;TEXT(E12,"0.00%")&amp;". The risk free rate of India is calculated by considering local currency 10 years government bond yield adjusted for default spread of India."</f>
        <v>We have considered 4.35% as the risk free rate in estimation of  cost of equity of 7.19%. The risk free rate of India is calculated by considering local currency 10 years government bond yield adjusted for default spread of India.</v>
      </c>
      <c r="I7" s="665"/>
      <c r="J7" s="665"/>
      <c r="K7" s="665"/>
      <c r="L7" s="665"/>
    </row>
    <row r="8" spans="2:12">
      <c r="B8" s="521" t="s">
        <v>1007</v>
      </c>
      <c r="C8" s="521"/>
      <c r="D8" s="522">
        <f>'Input Sheet'!C12+'Input Sheet'!C11</f>
        <v>5.8909858237775073E-2</v>
      </c>
      <c r="E8" s="522">
        <f>D8</f>
        <v>5.8909858237775073E-2</v>
      </c>
      <c r="F8" s="522">
        <f t="shared" ref="F8" si="0">E8</f>
        <v>5.8909858237775073E-2</v>
      </c>
      <c r="H8" s="665"/>
      <c r="I8" s="665"/>
      <c r="J8" s="665"/>
      <c r="K8" s="665"/>
      <c r="L8" s="665"/>
    </row>
    <row r="9" spans="2:12">
      <c r="B9" s="521" t="s">
        <v>968</v>
      </c>
      <c r="C9" s="521"/>
      <c r="D9" s="560">
        <f>E9-'Input Sheet'!C14</f>
        <v>0.4</v>
      </c>
      <c r="E9" s="523">
        <f>'Input Sheet'!C13</f>
        <v>0.45</v>
      </c>
      <c r="F9" s="560">
        <f>E9+'Input Sheet'!C14</f>
        <v>0.5</v>
      </c>
      <c r="H9" s="665"/>
      <c r="I9" s="665"/>
      <c r="J9" s="665"/>
      <c r="K9" s="665"/>
      <c r="L9" s="665"/>
    </row>
    <row r="10" spans="2:12">
      <c r="B10" s="521" t="s">
        <v>1008</v>
      </c>
      <c r="C10" s="521"/>
      <c r="D10" s="522">
        <f>'Input Sheet'!C15</f>
        <v>9.534591194968553E-2</v>
      </c>
      <c r="E10" s="522">
        <f>D10</f>
        <v>9.534591194968553E-2</v>
      </c>
      <c r="F10" s="522">
        <f>E10</f>
        <v>9.534591194968553E-2</v>
      </c>
      <c r="H10" s="665"/>
      <c r="I10" s="665"/>
      <c r="J10" s="665"/>
      <c r="K10" s="665"/>
      <c r="L10" s="665"/>
    </row>
    <row r="11" spans="2:12">
      <c r="B11" s="521" t="s">
        <v>1009</v>
      </c>
      <c r="C11" s="521"/>
      <c r="D11" s="560">
        <f>D9*(1+(D10*(1-'Input Sheet'!$C$17)))</f>
        <v>0.42855800754716977</v>
      </c>
      <c r="E11" s="560">
        <f>E9*(1+(E10*(1-'Input Sheet'!$C$17)))</f>
        <v>0.48212775849056599</v>
      </c>
      <c r="F11" s="560">
        <f>F9*(1+(F10*(1-'Input Sheet'!$C$17)))</f>
        <v>0.53569750943396222</v>
      </c>
    </row>
    <row r="12" spans="2:12">
      <c r="B12" s="520" t="s">
        <v>1010</v>
      </c>
      <c r="C12" s="520"/>
      <c r="D12" s="524">
        <f>D7+(D8*D11)</f>
        <v>6.8736433233492045E-2</v>
      </c>
      <c r="E12" s="524">
        <f t="shared" ref="E12:F12" si="1">E7+(E8*E11)</f>
        <v>7.1892219667400434E-2</v>
      </c>
      <c r="F12" s="524">
        <f t="shared" si="1"/>
        <v>7.5048006101308823E-2</v>
      </c>
      <c r="H12" s="536" t="s">
        <v>1051</v>
      </c>
    </row>
    <row r="13" spans="2:12" ht="14.4" customHeight="1">
      <c r="D13" s="497"/>
      <c r="E13" s="497"/>
      <c r="F13" s="497"/>
      <c r="H13" s="665" t="str">
        <f>"We have estimated an asset beta range of "&amp;TEXT(D9,"0.00")&amp;" to "&amp;TEXT(F9,"0.00")&amp;", with a mid point of "&amp;TEXT(E9,"0.00")&amp;" based on observed median of 5 year monthly asset beta of benchmark listed companies adjusted for blume effect."</f>
        <v>We have estimated an asset beta range of 0.40 to 0.50, with a mid point of 0.45 based on observed median of 5 year monthly asset beta of benchmark listed companies adjusted for blume effect.</v>
      </c>
      <c r="I13" s="665"/>
      <c r="J13" s="665"/>
      <c r="K13" s="665"/>
      <c r="L13" s="665"/>
    </row>
    <row r="14" spans="2:12" ht="14.4" customHeight="1">
      <c r="B14" s="521" t="s">
        <v>973</v>
      </c>
      <c r="C14" s="521"/>
      <c r="D14" s="525">
        <f>'Input Sheet'!C23</f>
        <v>2.5999999999999999E-2</v>
      </c>
      <c r="E14" s="525">
        <f>D14</f>
        <v>2.5999999999999999E-2</v>
      </c>
      <c r="F14" s="525">
        <f t="shared" ref="F14:F15" si="2">E14</f>
        <v>2.5999999999999999E-2</v>
      </c>
      <c r="H14" s="665"/>
      <c r="I14" s="665"/>
      <c r="J14" s="665"/>
      <c r="K14" s="665"/>
      <c r="L14" s="665"/>
    </row>
    <row r="15" spans="2:12">
      <c r="B15" s="521" t="s">
        <v>1011</v>
      </c>
      <c r="C15" s="521"/>
      <c r="D15" s="525">
        <v>0</v>
      </c>
      <c r="E15" s="525">
        <f>D15</f>
        <v>0</v>
      </c>
      <c r="F15" s="525">
        <f t="shared" si="2"/>
        <v>0</v>
      </c>
      <c r="H15" s="665"/>
      <c r="I15" s="665"/>
      <c r="J15" s="665"/>
      <c r="K15" s="665"/>
      <c r="L15" s="665"/>
    </row>
    <row r="16" spans="2:12">
      <c r="B16" s="520" t="s">
        <v>1012</v>
      </c>
      <c r="C16" s="520"/>
      <c r="D16" s="524">
        <f>D12+D14+D15</f>
        <v>9.473643323349204E-2</v>
      </c>
      <c r="E16" s="524">
        <f t="shared" ref="E16:F16" si="3">E12+E14+E15</f>
        <v>9.7892219667400429E-2</v>
      </c>
      <c r="F16" s="524">
        <f t="shared" si="3"/>
        <v>0.10104800610130882</v>
      </c>
      <c r="H16" s="537"/>
      <c r="I16" s="537"/>
      <c r="J16" s="537"/>
      <c r="K16" s="537"/>
      <c r="L16" s="537"/>
    </row>
    <row r="17" spans="2:12">
      <c r="D17" s="497"/>
      <c r="E17" s="497"/>
      <c r="F17" s="497"/>
      <c r="H17" s="536" t="s">
        <v>1052</v>
      </c>
    </row>
    <row r="18" spans="2:12">
      <c r="B18" s="521" t="s">
        <v>1013</v>
      </c>
      <c r="C18" s="521"/>
      <c r="D18" s="522">
        <f>'Input Sheet'!C9+(IF('Input Sheet'!C18="No",'Input Sheet'!C22,VLOOKUP('Input Sheet'!C20,'Damodaran Data'!I7:J21,2,FALSE)))</f>
        <v>6.9600000000000009E-2</v>
      </c>
      <c r="E18" s="522">
        <f>D18</f>
        <v>6.9600000000000009E-2</v>
      </c>
      <c r="F18" s="522">
        <f t="shared" ref="F18:F19" si="4">E18</f>
        <v>6.9600000000000009E-2</v>
      </c>
      <c r="H18" s="665" t="str">
        <f>"An ERP of "&amp;TEXT(E8,"0.00%") &amp;" has been adopted based on US implied equity risk premium, relative equity volatiliy of ICE BofA Public Sector Issues Emerging Mkts Index, S&amp;P Emerging BMI Index and country risk premium of India."</f>
        <v>An ERP of 5.89% has been adopted based on US implied equity risk premium, relative equity volatiliy of ICE BofA Public Sector Issues Emerging Mkts Index, S&amp;P Emerging BMI Index and country risk premium of India.</v>
      </c>
      <c r="I18" s="665"/>
      <c r="J18" s="665"/>
      <c r="K18" s="665"/>
      <c r="L18" s="665"/>
    </row>
    <row r="19" spans="2:12">
      <c r="B19" s="521" t="s">
        <v>31</v>
      </c>
      <c r="C19" s="521"/>
      <c r="D19" s="527">
        <f>'Input Sheet'!C17</f>
        <v>0.25119999999999998</v>
      </c>
      <c r="E19" s="527">
        <f>D19</f>
        <v>0.25119999999999998</v>
      </c>
      <c r="F19" s="527">
        <f t="shared" si="4"/>
        <v>0.25119999999999998</v>
      </c>
      <c r="H19" s="665"/>
      <c r="I19" s="665"/>
      <c r="J19" s="665"/>
      <c r="K19" s="665"/>
      <c r="L19" s="665"/>
    </row>
    <row r="20" spans="2:12">
      <c r="B20" s="520" t="s">
        <v>1014</v>
      </c>
      <c r="C20" s="520"/>
      <c r="D20" s="524">
        <f>D18*(1-D19)</f>
        <v>5.2116480000000007E-2</v>
      </c>
      <c r="E20" s="524">
        <f t="shared" ref="E20:F20" si="5">E18*(1-E19)</f>
        <v>5.2116480000000007E-2</v>
      </c>
      <c r="F20" s="524">
        <f t="shared" si="5"/>
        <v>5.2116480000000007E-2</v>
      </c>
      <c r="H20" s="665"/>
      <c r="I20" s="665"/>
      <c r="J20" s="665"/>
      <c r="K20" s="665"/>
      <c r="L20" s="665"/>
    </row>
    <row r="21" spans="2:12">
      <c r="D21" s="497"/>
      <c r="E21" s="497"/>
      <c r="F21" s="497"/>
    </row>
    <row r="22" spans="2:12">
      <c r="B22" s="521" t="s">
        <v>1015</v>
      </c>
      <c r="C22" s="521"/>
      <c r="D22" s="525">
        <f>'Input Sheet'!C16</f>
        <v>8.1593110871905281E-2</v>
      </c>
      <c r="E22" s="522">
        <f>D22</f>
        <v>8.1593110871905281E-2</v>
      </c>
      <c r="F22" s="522">
        <f>E22</f>
        <v>8.1593110871905281E-2</v>
      </c>
      <c r="H22" s="536" t="s">
        <v>139</v>
      </c>
    </row>
    <row r="23" spans="2:12">
      <c r="B23" s="521" t="s">
        <v>137</v>
      </c>
      <c r="C23" s="521"/>
      <c r="D23" s="522">
        <f>(D20*D22)+(D16*(1-D22))</f>
        <v>9.1258938663956304E-2</v>
      </c>
      <c r="E23" s="522">
        <f t="shared" ref="E23:F23" si="6">(E20*E22)+(E16*(1-E22))</f>
        <v>9.4157234665474751E-2</v>
      </c>
      <c r="F23" s="522">
        <f t="shared" si="6"/>
        <v>9.7055530666993198E-2</v>
      </c>
      <c r="H23" s="665" t="s">
        <v>1053</v>
      </c>
      <c r="I23" s="665"/>
      <c r="J23" s="665"/>
      <c r="K23" s="665"/>
      <c r="L23" s="665"/>
    </row>
    <row r="24" spans="2:12">
      <c r="B24" s="520" t="s">
        <v>1016</v>
      </c>
      <c r="C24" s="520"/>
      <c r="D24" s="524">
        <f>ROUNDUP(D23,2)</f>
        <v>9.9999999999999992E-2</v>
      </c>
      <c r="E24" s="524">
        <f t="shared" ref="E24:F24" si="7">ROUNDUP(E23,2)</f>
        <v>9.9999999999999992E-2</v>
      </c>
      <c r="F24" s="524">
        <f t="shared" si="7"/>
        <v>9.9999999999999992E-2</v>
      </c>
      <c r="H24" s="665"/>
      <c r="I24" s="665"/>
      <c r="J24" s="665"/>
      <c r="K24" s="665"/>
      <c r="L24" s="665"/>
    </row>
    <row r="25" spans="2:12" ht="6" customHeight="1">
      <c r="H25" s="665"/>
      <c r="I25" s="665"/>
      <c r="J25" s="665"/>
      <c r="K25" s="665"/>
      <c r="L25" s="665"/>
    </row>
    <row r="26" spans="2:12" ht="13.95" customHeight="1">
      <c r="B26" s="534" t="s">
        <v>1048</v>
      </c>
      <c r="C26" s="533"/>
      <c r="D26" s="533"/>
      <c r="E26" s="533"/>
      <c r="H26" s="665"/>
      <c r="I26" s="665"/>
      <c r="J26" s="665"/>
      <c r="K26" s="665"/>
      <c r="L26" s="665"/>
    </row>
    <row r="27" spans="2:12" ht="13.95" customHeight="1">
      <c r="B27" s="535" t="s">
        <v>1049</v>
      </c>
      <c r="C27" s="533"/>
      <c r="D27" s="533"/>
      <c r="E27" s="533"/>
    </row>
    <row r="28" spans="2:12" ht="13.95" customHeight="1">
      <c r="B28" s="535" t="s">
        <v>1050</v>
      </c>
      <c r="C28" s="533"/>
      <c r="D28" s="533"/>
      <c r="E28" s="533"/>
      <c r="H28" s="536" t="s">
        <v>1068</v>
      </c>
    </row>
    <row r="29" spans="2:12">
      <c r="H29" s="665" t="s">
        <v>1186</v>
      </c>
      <c r="I29" s="665"/>
      <c r="J29" s="665"/>
      <c r="K29" s="665"/>
      <c r="L29" s="665"/>
    </row>
    <row r="30" spans="2:12">
      <c r="H30" s="665"/>
      <c r="I30" s="665"/>
      <c r="J30" s="665"/>
      <c r="K30" s="665"/>
      <c r="L30" s="665"/>
    </row>
    <row r="31" spans="2:12">
      <c r="H31" s="665"/>
      <c r="I31" s="665"/>
      <c r="J31" s="665"/>
      <c r="K31" s="665"/>
      <c r="L31" s="665"/>
    </row>
    <row r="32" spans="2:12">
      <c r="H32" s="665"/>
      <c r="I32" s="665"/>
      <c r="J32" s="665"/>
      <c r="K32" s="665"/>
      <c r="L32" s="665"/>
    </row>
    <row r="34" spans="2:12">
      <c r="H34" s="536"/>
    </row>
    <row r="35" spans="2:12">
      <c r="H35" s="536"/>
    </row>
    <row r="36" spans="2:12">
      <c r="H36" s="536"/>
    </row>
    <row r="37" spans="2:12">
      <c r="H37" s="536"/>
    </row>
    <row r="38" spans="2:12">
      <c r="H38" s="536"/>
    </row>
    <row r="39" spans="2:12">
      <c r="H39" s="536"/>
    </row>
    <row r="40" spans="2:12" ht="21">
      <c r="B40" s="519" t="str">
        <f>B2</f>
        <v xml:space="preserve">Marico Ltd </v>
      </c>
    </row>
    <row r="41" spans="2:12" ht="18">
      <c r="B41" s="9" t="s">
        <v>1018</v>
      </c>
    </row>
    <row r="44" spans="2:12" ht="27" customHeight="1">
      <c r="B44" s="528" t="s">
        <v>1019</v>
      </c>
      <c r="C44" s="528"/>
      <c r="D44" s="528" t="s">
        <v>1020</v>
      </c>
      <c r="E44" s="529" t="s">
        <v>1021</v>
      </c>
      <c r="F44" s="528" t="s">
        <v>1040</v>
      </c>
      <c r="G44" s="528" t="s">
        <v>968</v>
      </c>
      <c r="H44" s="528" t="s">
        <v>1022</v>
      </c>
      <c r="I44" s="528" t="s">
        <v>1023</v>
      </c>
      <c r="J44" s="528" t="s">
        <v>1024</v>
      </c>
      <c r="K44" s="497"/>
      <c r="L44" s="528" t="s">
        <v>1042</v>
      </c>
    </row>
    <row r="45" spans="2:12" ht="4.8" customHeight="1"/>
    <row r="46" spans="2:12">
      <c r="B46" s="550" t="s">
        <v>1025</v>
      </c>
      <c r="C46" s="551"/>
      <c r="D46" s="552" t="s">
        <v>1038</v>
      </c>
      <c r="E46" s="551">
        <v>104</v>
      </c>
      <c r="F46" s="553" t="s">
        <v>1066</v>
      </c>
      <c r="G46" s="554">
        <f>I46/(1+(H46*(1-'Input Sheet'!$C$17)))</f>
        <v>0.61445012843922353</v>
      </c>
      <c r="H46" s="555">
        <f>'Cal Sheet'!C53</f>
        <v>9.2479565028900451E-2</v>
      </c>
      <c r="I46" s="556">
        <v>0.65700000000000003</v>
      </c>
      <c r="J46" s="555">
        <f>'Cal Sheet'!E53</f>
        <v>8.4175573474620513E-2</v>
      </c>
      <c r="L46" s="624" t="s">
        <v>131</v>
      </c>
    </row>
    <row r="47" spans="2:12">
      <c r="B47" s="550" t="s">
        <v>501</v>
      </c>
      <c r="C47" s="551"/>
      <c r="D47" s="552" t="s">
        <v>1039</v>
      </c>
      <c r="E47" s="551">
        <v>104</v>
      </c>
      <c r="F47" s="557">
        <v>569870</v>
      </c>
      <c r="G47" s="554">
        <f>I47/(1+(H47*(1-'Input Sheet'!$C$17)))</f>
        <v>0.38796019228461154</v>
      </c>
      <c r="H47" s="555">
        <f>'Cal Sheet'!C54</f>
        <v>1.3702955645826162E-4</v>
      </c>
      <c r="I47" s="556">
        <v>0.38800000000000001</v>
      </c>
      <c r="J47" s="555">
        <f>'Cal Sheet'!E54</f>
        <v>1.3699714822578156E-4</v>
      </c>
      <c r="L47" s="624" t="s">
        <v>131</v>
      </c>
    </row>
    <row r="48" spans="2:12">
      <c r="B48" s="551" t="s">
        <v>1031</v>
      </c>
      <c r="C48" s="551"/>
      <c r="D48" s="552" t="s">
        <v>1037</v>
      </c>
      <c r="E48" s="551">
        <v>104</v>
      </c>
      <c r="F48" s="558">
        <v>2857</v>
      </c>
      <c r="G48" s="554">
        <f>I48/(1+(H48*(1-'Input Sheet'!$C$17)))</f>
        <v>0.44874336250035124</v>
      </c>
      <c r="H48" s="555">
        <f>'Cal Sheet'!C55</f>
        <v>3.3500000000000002E-2</v>
      </c>
      <c r="I48" s="554">
        <v>0.46</v>
      </c>
      <c r="J48" s="555">
        <f>'Cal Sheet'!E55</f>
        <v>3.139643861293346E-2</v>
      </c>
      <c r="L48" s="530" t="s">
        <v>132</v>
      </c>
    </row>
    <row r="49" spans="2:12">
      <c r="B49" s="551" t="s">
        <v>1026</v>
      </c>
      <c r="C49" s="551"/>
      <c r="D49" s="552" t="s">
        <v>1036</v>
      </c>
      <c r="E49" s="551">
        <v>104</v>
      </c>
      <c r="F49" s="558">
        <v>6071</v>
      </c>
      <c r="G49" s="554">
        <f>I49/(1+(H49*(1-'Input Sheet'!$C$17)))</f>
        <v>0.87049777366134251</v>
      </c>
      <c r="H49" s="555">
        <f>'Cal Sheet'!C56</f>
        <v>0.62823592403745077</v>
      </c>
      <c r="I49" s="559">
        <v>1.28</v>
      </c>
      <c r="J49" s="555">
        <f>'Cal Sheet'!E56</f>
        <v>0.38256343102173263</v>
      </c>
      <c r="L49" s="530" t="s">
        <v>132</v>
      </c>
    </row>
    <row r="50" spans="2:12">
      <c r="B50" s="550" t="s">
        <v>1027</v>
      </c>
      <c r="C50" s="551"/>
      <c r="D50" s="552" t="s">
        <v>1035</v>
      </c>
      <c r="E50" s="551">
        <v>104</v>
      </c>
      <c r="F50" s="558">
        <v>118072</v>
      </c>
      <c r="G50" s="554">
        <f>I50/(1+(H50*(1-'Input Sheet'!$C$17)))</f>
        <v>0.43543924168172471</v>
      </c>
      <c r="H50" s="555">
        <f>'Cal Sheet'!C57</f>
        <v>0.28694610395100989</v>
      </c>
      <c r="I50" s="559">
        <v>0.52900000000000003</v>
      </c>
      <c r="J50" s="555">
        <f>'Cal Sheet'!E57</f>
        <v>0.22234013525717713</v>
      </c>
      <c r="L50" s="624" t="s">
        <v>131</v>
      </c>
    </row>
    <row r="51" spans="2:12">
      <c r="B51" s="551" t="s">
        <v>1028</v>
      </c>
      <c r="C51" s="551"/>
      <c r="D51" s="552" t="s">
        <v>1034</v>
      </c>
      <c r="E51" s="551">
        <v>104</v>
      </c>
      <c r="F51" s="558">
        <v>141739</v>
      </c>
      <c r="G51" s="554">
        <f>I51/(1+(H51*(1-'Input Sheet'!$C$17)))</f>
        <v>0.36254818501381436</v>
      </c>
      <c r="H51" s="555">
        <f>'Cal Sheet'!C58</f>
        <v>0.39948939372974246</v>
      </c>
      <c r="I51" s="556">
        <v>0.47099999999999997</v>
      </c>
      <c r="J51" s="555">
        <f>'Cal Sheet'!E58</f>
        <v>0.28031396248637697</v>
      </c>
      <c r="L51" s="530" t="s">
        <v>132</v>
      </c>
    </row>
    <row r="52" spans="2:12">
      <c r="B52" s="550" t="s">
        <v>1029</v>
      </c>
      <c r="C52" s="551"/>
      <c r="D52" s="552" t="s">
        <v>1033</v>
      </c>
      <c r="E52" s="551">
        <v>104</v>
      </c>
      <c r="F52" s="558">
        <v>22475</v>
      </c>
      <c r="G52" s="554">
        <f>I52/(1+(H52*(1-'Input Sheet'!$C$17)))</f>
        <v>0.66754095194605101</v>
      </c>
      <c r="H52" s="555">
        <f>'Cal Sheet'!C59</f>
        <v>2.4925341165927303E-2</v>
      </c>
      <c r="I52" s="559">
        <v>0.68</v>
      </c>
      <c r="J52" s="555">
        <f>'Cal Sheet'!E59</f>
        <v>2.4315754225385816E-2</v>
      </c>
      <c r="L52" s="624" t="s">
        <v>131</v>
      </c>
    </row>
    <row r="53" spans="2:12">
      <c r="B53" s="550" t="s">
        <v>1030</v>
      </c>
      <c r="C53" s="551"/>
      <c r="D53" s="552" t="s">
        <v>1032</v>
      </c>
      <c r="E53" s="551">
        <v>104</v>
      </c>
      <c r="F53" s="558">
        <v>3665</v>
      </c>
      <c r="G53" s="554">
        <f>I53/(1+(H53*(1-'Input Sheet'!$C$17)))</f>
        <v>0.82699999999999996</v>
      </c>
      <c r="H53" s="555">
        <f>'Cal Sheet'!C60</f>
        <v>0</v>
      </c>
      <c r="I53" s="559">
        <v>0.82699999999999996</v>
      </c>
      <c r="J53" s="555">
        <f>'Cal Sheet'!E60</f>
        <v>0</v>
      </c>
      <c r="L53" s="624" t="s">
        <v>131</v>
      </c>
    </row>
    <row r="55" spans="2:12">
      <c r="B55" s="531" t="s">
        <v>1043</v>
      </c>
      <c r="C55" s="531"/>
      <c r="D55" s="531"/>
      <c r="E55" s="531"/>
      <c r="F55" s="531"/>
      <c r="G55" s="546">
        <f>MEDIAN(G46:G53)</f>
        <v>0.53159674546978741</v>
      </c>
      <c r="H55" s="544">
        <f>MEDIAN(H46:H53)</f>
        <v>6.2989782514450227E-2</v>
      </c>
      <c r="I55" s="546">
        <f>MEDIAN(I46:I53)</f>
        <v>0.59299999999999997</v>
      </c>
      <c r="J55" s="544">
        <f>MEDIAN(J46:J53)</f>
        <v>5.7786006043776983E-2</v>
      </c>
    </row>
    <row r="56" spans="2:12">
      <c r="B56" s="532" t="s">
        <v>1044</v>
      </c>
      <c r="C56" s="532"/>
      <c r="D56" s="532"/>
      <c r="E56" s="532"/>
      <c r="F56" s="532"/>
      <c r="G56" s="547">
        <f>AVERAGE(G46:G53)</f>
        <v>0.57677247944088983</v>
      </c>
      <c r="H56" s="545">
        <f>AVERAGE(H46:H53)</f>
        <v>0.18321416968368617</v>
      </c>
      <c r="I56" s="547">
        <f>AVERAGE(I46:I53)</f>
        <v>0.66149999999999998</v>
      </c>
      <c r="J56" s="545">
        <f>AVERAGE(J46:J53)</f>
        <v>0.12815528652830654</v>
      </c>
    </row>
    <row r="57" spans="2:12">
      <c r="G57" s="154"/>
      <c r="I57" s="154"/>
    </row>
    <row r="58" spans="2:12">
      <c r="B58" s="531" t="s">
        <v>1045</v>
      </c>
      <c r="C58" s="531"/>
      <c r="D58" s="531"/>
      <c r="E58" s="531"/>
      <c r="F58" s="531"/>
      <c r="G58" s="546">
        <f>MEDIAN(G46,G47,G50,G52:G53)</f>
        <v>0.61445012843922353</v>
      </c>
      <c r="H58" s="544">
        <f>MEDIAN(H46,H47,H50,H52:H53)</f>
        <v>2.4925341165927303E-2</v>
      </c>
      <c r="I58" s="546">
        <f>MEDIAN(I46,I47,I50,I52:I53)</f>
        <v>0.65700000000000003</v>
      </c>
      <c r="J58" s="544">
        <f>MEDIAN(J46,J47,J50,J52:J53)</f>
        <v>2.4315754225385816E-2</v>
      </c>
    </row>
    <row r="59" spans="2:12">
      <c r="B59" s="532" t="s">
        <v>1046</v>
      </c>
      <c r="C59" s="532"/>
      <c r="D59" s="532"/>
      <c r="E59" s="532"/>
      <c r="F59" s="532"/>
      <c r="G59" s="547">
        <f>AVERAGE(G46:G47,G52:G53,G50)</f>
        <v>0.58647810287032209</v>
      </c>
      <c r="H59" s="545">
        <f>AVERAGE(H46:H47,H52:H53,H50)</f>
        <v>8.0897607940459179E-2</v>
      </c>
      <c r="I59" s="547">
        <f t="shared" ref="I59:J59" si="8">AVERAGE(I46:I47,I52:I53,I50)</f>
        <v>0.61619999999999997</v>
      </c>
      <c r="J59" s="545">
        <f t="shared" si="8"/>
        <v>6.6193692021081857E-2</v>
      </c>
    </row>
    <row r="63" spans="2:12" ht="18">
      <c r="B63" s="9" t="s">
        <v>1047</v>
      </c>
    </row>
    <row r="65" spans="2:12" ht="28.8">
      <c r="B65" s="528" t="s">
        <v>1019</v>
      </c>
      <c r="C65" s="528"/>
      <c r="D65" s="528" t="s">
        <v>1020</v>
      </c>
      <c r="E65" s="529" t="s">
        <v>1021</v>
      </c>
      <c r="F65" s="528" t="s">
        <v>1040</v>
      </c>
      <c r="G65" s="528" t="s">
        <v>968</v>
      </c>
      <c r="H65" s="528" t="s">
        <v>1064</v>
      </c>
      <c r="I65" s="528" t="s">
        <v>1023</v>
      </c>
      <c r="J65" s="528" t="s">
        <v>1065</v>
      </c>
      <c r="K65" s="497"/>
      <c r="L65" s="528" t="s">
        <v>1042</v>
      </c>
    </row>
    <row r="66" spans="2:12" ht="7.2" customHeight="1"/>
    <row r="67" spans="2:12">
      <c r="B67" s="550" t="s">
        <v>1025</v>
      </c>
      <c r="C67" s="551"/>
      <c r="D67" s="552" t="s">
        <v>1038</v>
      </c>
      <c r="E67" s="551">
        <v>60</v>
      </c>
      <c r="F67" s="553" t="s">
        <v>1041</v>
      </c>
      <c r="G67" s="554">
        <f>I67/(1+(H67*(1-'Input Sheet'!$C$17)))</f>
        <v>0.23436275659489902</v>
      </c>
      <c r="H67" s="555">
        <f>'Cal Sheet'!D53</f>
        <v>8.9105756776976103E-2</v>
      </c>
      <c r="I67" s="556">
        <v>0.25</v>
      </c>
      <c r="J67" s="555">
        <f>'Cal Sheet'!F53</f>
        <v>8.1210641436101252E-2</v>
      </c>
      <c r="L67" s="624" t="s">
        <v>131</v>
      </c>
    </row>
    <row r="68" spans="2:12">
      <c r="B68" s="550" t="s">
        <v>501</v>
      </c>
      <c r="C68" s="551"/>
      <c r="D68" s="552" t="s">
        <v>1039</v>
      </c>
      <c r="E68" s="551">
        <v>60</v>
      </c>
      <c r="F68" s="557">
        <v>569870</v>
      </c>
      <c r="G68" s="554">
        <f>I68/(1+(H68*(1-'Input Sheet'!$C$17)))</f>
        <v>0.31989353980808488</v>
      </c>
      <c r="H68" s="555">
        <f>'Cal Sheet'!D54</f>
        <v>4.444428658403021E-4</v>
      </c>
      <c r="I68" s="556">
        <v>0.32</v>
      </c>
      <c r="J68" s="555">
        <f>'Cal Sheet'!F54</f>
        <v>4.4367231669279665E-4</v>
      </c>
      <c r="L68" s="624" t="s">
        <v>131</v>
      </c>
    </row>
    <row r="69" spans="2:12">
      <c r="B69" s="551" t="s">
        <v>1031</v>
      </c>
      <c r="C69" s="551"/>
      <c r="D69" s="552" t="s">
        <v>1037</v>
      </c>
      <c r="E69" s="551">
        <v>60</v>
      </c>
      <c r="F69" s="558">
        <v>2857</v>
      </c>
      <c r="G69" s="554">
        <f>I69/(1+(H69*(1-'Input Sheet'!$C$17)))</f>
        <v>0.39478588993033303</v>
      </c>
      <c r="H69" s="555">
        <f>'Cal Sheet'!D55</f>
        <v>5.1465843621399179E-2</v>
      </c>
      <c r="I69" s="554">
        <v>0.41</v>
      </c>
      <c r="J69" s="555">
        <f>'Cal Sheet'!F55</f>
        <v>4.7274045848376134E-2</v>
      </c>
      <c r="L69" s="530" t="s">
        <v>132</v>
      </c>
    </row>
    <row r="70" spans="2:12">
      <c r="B70" s="551" t="s">
        <v>1026</v>
      </c>
      <c r="C70" s="551"/>
      <c r="D70" s="552" t="s">
        <v>1036</v>
      </c>
      <c r="E70" s="551">
        <v>60</v>
      </c>
      <c r="F70" s="558">
        <v>6071</v>
      </c>
      <c r="G70" s="554">
        <f>I70/(1+(H70*(1-'Input Sheet'!$C$17)))</f>
        <v>0.13624040384551903</v>
      </c>
      <c r="H70" s="555">
        <f>'Cal Sheet'!D56</f>
        <v>0.62499105201208949</v>
      </c>
      <c r="I70" s="559">
        <v>0.2</v>
      </c>
      <c r="J70" s="555">
        <f>'Cal Sheet'!F56</f>
        <v>0.38253156519397469</v>
      </c>
      <c r="L70" s="530" t="s">
        <v>132</v>
      </c>
    </row>
    <row r="71" spans="2:12">
      <c r="B71" s="550" t="s">
        <v>1027</v>
      </c>
      <c r="C71" s="551"/>
      <c r="D71" s="552" t="s">
        <v>1035</v>
      </c>
      <c r="E71" s="551">
        <v>60</v>
      </c>
      <c r="F71" s="558">
        <v>118072</v>
      </c>
      <c r="G71" s="554">
        <f>I71/(1+(H71*(1-'Input Sheet'!$C$17)))</f>
        <v>0.20068717960577762</v>
      </c>
      <c r="H71" s="555">
        <f>'Cal Sheet'!D57</f>
        <v>0.19506176146448023</v>
      </c>
      <c r="I71" s="559">
        <v>0.23</v>
      </c>
      <c r="J71" s="555">
        <f>'Cal Sheet'!F57</f>
        <v>0.15886461475075869</v>
      </c>
      <c r="L71" s="624" t="s">
        <v>131</v>
      </c>
    </row>
    <row r="72" spans="2:12">
      <c r="B72" s="551" t="s">
        <v>1028</v>
      </c>
      <c r="C72" s="551"/>
      <c r="D72" s="552" t="s">
        <v>1034</v>
      </c>
      <c r="E72" s="551">
        <v>60</v>
      </c>
      <c r="F72" s="558">
        <v>141739</v>
      </c>
      <c r="G72" s="554">
        <f>I72/(1+(H72*(1-'Input Sheet'!$C$17)))</f>
        <v>0.35831059631518691</v>
      </c>
      <c r="H72" s="555">
        <f>'Cal Sheet'!D58</f>
        <v>0.63990868528926936</v>
      </c>
      <c r="I72" s="556">
        <v>0.53</v>
      </c>
      <c r="J72" s="555">
        <f>'Cal Sheet'!F58</f>
        <v>0.37625779201422721</v>
      </c>
      <c r="L72" s="530" t="s">
        <v>132</v>
      </c>
    </row>
    <row r="73" spans="2:12">
      <c r="B73" s="550" t="s">
        <v>1029</v>
      </c>
      <c r="C73" s="551"/>
      <c r="D73" s="552" t="s">
        <v>1033</v>
      </c>
      <c r="E73" s="551">
        <v>60</v>
      </c>
      <c r="F73" s="558">
        <v>22475</v>
      </c>
      <c r="G73" s="554">
        <f>I73/(1+(H73*(1-'Input Sheet'!$C$17)))</f>
        <v>4.8118785581413553E-2</v>
      </c>
      <c r="H73" s="555">
        <f>'Cal Sheet'!D59</f>
        <v>5.2210494301161404E-2</v>
      </c>
      <c r="I73" s="559">
        <v>0.05</v>
      </c>
      <c r="J73" s="555">
        <f>'Cal Sheet'!F59</f>
        <v>4.8385217958893535E-2</v>
      </c>
      <c r="L73" s="624" t="s">
        <v>131</v>
      </c>
    </row>
    <row r="74" spans="2:12">
      <c r="B74" s="550" t="s">
        <v>1030</v>
      </c>
      <c r="C74" s="551"/>
      <c r="D74" s="552" t="s">
        <v>1032</v>
      </c>
      <c r="E74" s="551">
        <v>60</v>
      </c>
      <c r="F74" s="558">
        <v>3665</v>
      </c>
      <c r="G74" s="554">
        <f>I74/(1+(H74*(1-'Input Sheet'!$C$17)))</f>
        <v>0.33966401530428025</v>
      </c>
      <c r="H74" s="555">
        <f>'Cal Sheet'!D60</f>
        <v>1.321003963011889E-3</v>
      </c>
      <c r="I74" s="559">
        <v>0.34</v>
      </c>
      <c r="J74" s="555">
        <f>'Cal Sheet'!F60</f>
        <v>1.3123359580052493E-3</v>
      </c>
      <c r="L74" s="624" t="s">
        <v>131</v>
      </c>
    </row>
    <row r="76" spans="2:12">
      <c r="B76" s="531" t="s">
        <v>1043</v>
      </c>
      <c r="C76" s="531"/>
      <c r="D76" s="531"/>
      <c r="E76" s="531"/>
      <c r="F76" s="531"/>
      <c r="G76" s="546">
        <f>MEDIAN(G67:G74)</f>
        <v>0.27712814820149195</v>
      </c>
      <c r="H76" s="548">
        <f t="shared" ref="H76:J76" si="9">MEDIAN(H67:H74)</f>
        <v>7.065812553906875E-2</v>
      </c>
      <c r="I76" s="546">
        <f t="shared" si="9"/>
        <v>0.28500000000000003</v>
      </c>
      <c r="J76" s="548">
        <f t="shared" si="9"/>
        <v>6.4797929697497397E-2</v>
      </c>
    </row>
    <row r="77" spans="2:12">
      <c r="B77" s="532" t="s">
        <v>1044</v>
      </c>
      <c r="C77" s="532"/>
      <c r="D77" s="532"/>
      <c r="E77" s="532"/>
      <c r="F77" s="532"/>
      <c r="G77" s="547">
        <f>AVERAGE(G67:G74)</f>
        <v>0.25400789587318678</v>
      </c>
      <c r="H77" s="549">
        <f t="shared" ref="H77:J77" si="10">AVERAGE(H67:H74)</f>
        <v>0.20681363003677847</v>
      </c>
      <c r="I77" s="547">
        <f t="shared" si="10"/>
        <v>0.29125000000000001</v>
      </c>
      <c r="J77" s="549">
        <f t="shared" si="10"/>
        <v>0.13703498568462869</v>
      </c>
    </row>
    <row r="78" spans="2:12">
      <c r="H78" s="76"/>
      <c r="J78" s="76"/>
    </row>
    <row r="79" spans="2:12">
      <c r="B79" s="531" t="s">
        <v>1045</v>
      </c>
      <c r="C79" s="531"/>
      <c r="D79" s="531"/>
      <c r="E79" s="531"/>
      <c r="F79" s="531"/>
      <c r="G79" s="546">
        <f>MEDIAN(G73:G74,G71,G67:G68)</f>
        <v>0.23436275659489902</v>
      </c>
      <c r="H79" s="548">
        <f t="shared" ref="H79:J79" si="11">MEDIAN(H73:H74,H71,H67:H68)</f>
        <v>5.2210494301161404E-2</v>
      </c>
      <c r="I79" s="546">
        <f t="shared" si="11"/>
        <v>0.25</v>
      </c>
      <c r="J79" s="548">
        <f t="shared" si="11"/>
        <v>4.8385217958893535E-2</v>
      </c>
    </row>
    <row r="80" spans="2:12">
      <c r="B80" s="532" t="s">
        <v>1046</v>
      </c>
      <c r="C80" s="532"/>
      <c r="D80" s="532"/>
      <c r="E80" s="532"/>
      <c r="F80" s="532"/>
      <c r="G80" s="547">
        <f>AVERAGE(G73:G74,G71,G67:G68)</f>
        <v>0.22854525537889109</v>
      </c>
      <c r="H80" s="549">
        <f t="shared" ref="H80:J80" si="12">AVERAGE(H73:H74,H71,H67:H68)</f>
        <v>6.7628691874293975E-2</v>
      </c>
      <c r="I80" s="547">
        <f t="shared" si="12"/>
        <v>0.23799999999999999</v>
      </c>
      <c r="J80" s="549">
        <f t="shared" si="12"/>
        <v>5.8043296484090304E-2</v>
      </c>
    </row>
    <row r="84" spans="2:12" ht="18">
      <c r="B84" s="9" t="s">
        <v>1067</v>
      </c>
    </row>
    <row r="86" spans="2:12" ht="28.8">
      <c r="B86" s="528" t="s">
        <v>1019</v>
      </c>
      <c r="C86" s="528"/>
      <c r="D86" s="528" t="s">
        <v>1020</v>
      </c>
      <c r="E86" s="529" t="s">
        <v>1021</v>
      </c>
      <c r="F86" s="528" t="s">
        <v>1040</v>
      </c>
      <c r="G86" s="528" t="s">
        <v>968</v>
      </c>
      <c r="H86" s="528" t="s">
        <v>1064</v>
      </c>
      <c r="I86" s="528" t="s">
        <v>1023</v>
      </c>
      <c r="J86" s="528" t="s">
        <v>1065</v>
      </c>
      <c r="K86" s="497"/>
      <c r="L86" s="528" t="s">
        <v>1042</v>
      </c>
    </row>
    <row r="87" spans="2:12" ht="6" customHeight="1"/>
    <row r="88" spans="2:12">
      <c r="B88" s="550" t="s">
        <v>1025</v>
      </c>
      <c r="C88" s="551"/>
      <c r="D88" s="552" t="s">
        <v>1038</v>
      </c>
      <c r="E88" s="551">
        <v>60</v>
      </c>
      <c r="F88" s="553" t="s">
        <v>1041</v>
      </c>
      <c r="G88" s="554">
        <f>I88/(1+(H88*(1-'Input Sheet'!$C$17)))</f>
        <v>0.4577104636298378</v>
      </c>
      <c r="H88" s="555">
        <v>8.9105756776976103E-2</v>
      </c>
      <c r="I88" s="556">
        <f>0.33+0.633*I67</f>
        <v>0.48825000000000002</v>
      </c>
      <c r="J88" s="555">
        <f>'Cal Sheet'!F74</f>
        <v>0</v>
      </c>
      <c r="L88" s="624" t="s">
        <v>131</v>
      </c>
    </row>
    <row r="89" spans="2:12">
      <c r="B89" s="550" t="s">
        <v>501</v>
      </c>
      <c r="C89" s="551"/>
      <c r="D89" s="552" t="s">
        <v>1039</v>
      </c>
      <c r="E89" s="551">
        <v>60</v>
      </c>
      <c r="F89" s="557">
        <v>569870</v>
      </c>
      <c r="G89" s="554">
        <f>I89/(1+(H89*(1-'Input Sheet'!$C$17)))</f>
        <v>0.53238282362560529</v>
      </c>
      <c r="H89" s="555">
        <v>4.444428658403021E-4</v>
      </c>
      <c r="I89" s="556">
        <f t="shared" ref="I89:I95" si="13">0.33+0.633*I68</f>
        <v>0.53256000000000003</v>
      </c>
      <c r="J89" s="555">
        <f>'Cal Sheet'!F75</f>
        <v>0</v>
      </c>
      <c r="L89" s="624" t="s">
        <v>131</v>
      </c>
    </row>
    <row r="90" spans="2:12">
      <c r="B90" s="551" t="s">
        <v>1031</v>
      </c>
      <c r="C90" s="551"/>
      <c r="D90" s="552" t="s">
        <v>1037</v>
      </c>
      <c r="E90" s="551">
        <v>60</v>
      </c>
      <c r="F90" s="558">
        <v>2857</v>
      </c>
      <c r="G90" s="554">
        <f>I90/(1+(H90*(1-'Input Sheet'!$C$17)))</f>
        <v>0.56765396509909571</v>
      </c>
      <c r="H90" s="555">
        <v>5.1465843621399179E-2</v>
      </c>
      <c r="I90" s="556">
        <f t="shared" si="13"/>
        <v>0.58953</v>
      </c>
      <c r="J90" s="555">
        <f>'Cal Sheet'!F76</f>
        <v>0</v>
      </c>
      <c r="L90" s="530" t="s">
        <v>132</v>
      </c>
    </row>
    <row r="91" spans="2:12">
      <c r="B91" s="551" t="s">
        <v>1026</v>
      </c>
      <c r="C91" s="551"/>
      <c r="D91" s="552" t="s">
        <v>1036</v>
      </c>
      <c r="E91" s="551">
        <v>60</v>
      </c>
      <c r="F91" s="558">
        <v>6071</v>
      </c>
      <c r="G91" s="554">
        <f>I91/(1+(H91*(1-'Input Sheet'!$C$17)))</f>
        <v>0.31103684197931991</v>
      </c>
      <c r="H91" s="555">
        <v>0.62499105201208949</v>
      </c>
      <c r="I91" s="556">
        <f t="shared" si="13"/>
        <v>0.45660000000000001</v>
      </c>
      <c r="J91" s="555">
        <f>'Cal Sheet'!F77</f>
        <v>0</v>
      </c>
      <c r="L91" s="530" t="s">
        <v>132</v>
      </c>
    </row>
    <row r="92" spans="2:12">
      <c r="B92" s="550" t="s">
        <v>1027</v>
      </c>
      <c r="C92" s="551"/>
      <c r="D92" s="552" t="s">
        <v>1035</v>
      </c>
      <c r="E92" s="551">
        <v>60</v>
      </c>
      <c r="F92" s="558">
        <v>118072</v>
      </c>
      <c r="G92" s="554">
        <f>I92/(1+(H92*(1-'Input Sheet'!$C$17)))</f>
        <v>0.41497745977700767</v>
      </c>
      <c r="H92" s="555">
        <v>0.19506176146448023</v>
      </c>
      <c r="I92" s="556">
        <f t="shared" si="13"/>
        <v>0.47559000000000001</v>
      </c>
      <c r="J92" s="555">
        <f>'Cal Sheet'!F78</f>
        <v>0</v>
      </c>
      <c r="L92" s="624" t="s">
        <v>131</v>
      </c>
    </row>
    <row r="93" spans="2:12">
      <c r="B93" s="551" t="s">
        <v>1028</v>
      </c>
      <c r="C93" s="551"/>
      <c r="D93" s="552" t="s">
        <v>1034</v>
      </c>
      <c r="E93" s="551">
        <v>60</v>
      </c>
      <c r="F93" s="558">
        <v>141739</v>
      </c>
      <c r="G93" s="554">
        <f>I93/(1+(H93*(1-'Input Sheet'!$C$17)))</f>
        <v>0.44990965800338439</v>
      </c>
      <c r="H93" s="555">
        <v>0.63990868528926936</v>
      </c>
      <c r="I93" s="556">
        <f t="shared" si="13"/>
        <v>0.66549000000000003</v>
      </c>
      <c r="J93" s="555">
        <f>'Cal Sheet'!F79</f>
        <v>0</v>
      </c>
      <c r="L93" s="530" t="s">
        <v>132</v>
      </c>
    </row>
    <row r="94" spans="2:12">
      <c r="B94" s="550" t="s">
        <v>1029</v>
      </c>
      <c r="C94" s="551"/>
      <c r="D94" s="552" t="s">
        <v>1033</v>
      </c>
      <c r="E94" s="551">
        <v>60</v>
      </c>
      <c r="F94" s="558">
        <v>22475</v>
      </c>
      <c r="G94" s="554">
        <f>I94/(1+(H94*(1-'Input Sheet'!$C$17)))</f>
        <v>0.34804317611036423</v>
      </c>
      <c r="H94" s="555">
        <v>5.2210494301161404E-2</v>
      </c>
      <c r="I94" s="556">
        <f t="shared" si="13"/>
        <v>0.36165000000000003</v>
      </c>
      <c r="J94" s="555">
        <f>'Cal Sheet'!F80</f>
        <v>0</v>
      </c>
      <c r="L94" s="624" t="s">
        <v>131</v>
      </c>
    </row>
    <row r="95" spans="2:12">
      <c r="B95" s="550" t="s">
        <v>1030</v>
      </c>
      <c r="C95" s="551"/>
      <c r="D95" s="552" t="s">
        <v>1032</v>
      </c>
      <c r="E95" s="551">
        <v>60</v>
      </c>
      <c r="F95" s="558">
        <v>3665</v>
      </c>
      <c r="G95" s="554">
        <f>I95/(1+(H95*(1-'Input Sheet'!$C$17)))</f>
        <v>0.544681218894705</v>
      </c>
      <c r="H95" s="555">
        <v>1.321003963011889E-3</v>
      </c>
      <c r="I95" s="556">
        <f t="shared" si="13"/>
        <v>0.54522000000000004</v>
      </c>
      <c r="J95" s="555">
        <f>'Cal Sheet'!F81</f>
        <v>0</v>
      </c>
      <c r="L95" s="624" t="s">
        <v>131</v>
      </c>
    </row>
    <row r="97" spans="2:10">
      <c r="B97" s="531" t="s">
        <v>1043</v>
      </c>
      <c r="C97" s="531"/>
      <c r="D97" s="531"/>
      <c r="E97" s="531"/>
      <c r="F97" s="531"/>
      <c r="G97" s="546">
        <f>MEDIAN(G88:G95)</f>
        <v>0.45381006081661113</v>
      </c>
      <c r="H97" s="548">
        <f t="shared" ref="H97:J97" si="14">MEDIAN(H88:H95)</f>
        <v>7.065812553906875E-2</v>
      </c>
      <c r="I97" s="546">
        <f t="shared" si="14"/>
        <v>0.510405</v>
      </c>
      <c r="J97" s="548">
        <f t="shared" si="14"/>
        <v>0</v>
      </c>
    </row>
    <row r="98" spans="2:10">
      <c r="B98" s="532" t="s">
        <v>1044</v>
      </c>
      <c r="C98" s="532"/>
      <c r="D98" s="532"/>
      <c r="E98" s="532"/>
      <c r="F98" s="532"/>
      <c r="G98" s="547">
        <f>AVERAGE(G88:G95)</f>
        <v>0.45329945088991497</v>
      </c>
      <c r="H98" s="549">
        <f t="shared" ref="H98:J98" si="15">AVERAGE(H88:H95)</f>
        <v>0.20681363003677847</v>
      </c>
      <c r="I98" s="547">
        <f t="shared" si="15"/>
        <v>0.51436124999999999</v>
      </c>
      <c r="J98" s="549">
        <f t="shared" si="15"/>
        <v>0</v>
      </c>
    </row>
    <row r="99" spans="2:10">
      <c r="H99" s="76"/>
      <c r="J99" s="76"/>
    </row>
    <row r="100" spans="2:10">
      <c r="B100" s="531" t="s">
        <v>1045</v>
      </c>
      <c r="C100" s="531"/>
      <c r="D100" s="531"/>
      <c r="E100" s="531"/>
      <c r="F100" s="531"/>
      <c r="G100" s="546">
        <f>MEDIAN(G94:G95,G92,G88:G89)</f>
        <v>0.4577104636298378</v>
      </c>
      <c r="H100" s="548">
        <f t="shared" ref="H100:J100" si="16">MEDIAN(H94:H95,H92,H88:H89)</f>
        <v>5.2210494301161404E-2</v>
      </c>
      <c r="I100" s="546">
        <f t="shared" si="16"/>
        <v>0.48825000000000002</v>
      </c>
      <c r="J100" s="548">
        <f t="shared" si="16"/>
        <v>0</v>
      </c>
    </row>
    <row r="101" spans="2:10">
      <c r="B101" s="532" t="s">
        <v>1046</v>
      </c>
      <c r="C101" s="532"/>
      <c r="D101" s="532"/>
      <c r="E101" s="532"/>
      <c r="F101" s="532"/>
      <c r="G101" s="547">
        <f>AVERAGE(G94:G95,G92,G88:G89)</f>
        <v>0.45955902840750396</v>
      </c>
      <c r="H101" s="549">
        <f t="shared" ref="H101:J101" si="17">AVERAGE(H94:H95,H92,H88:H89)</f>
        <v>6.7628691874293975E-2</v>
      </c>
      <c r="I101" s="547">
        <f t="shared" si="17"/>
        <v>0.48065400000000003</v>
      </c>
      <c r="J101" s="549">
        <f t="shared" si="17"/>
        <v>0</v>
      </c>
    </row>
    <row r="104" spans="2:10">
      <c r="B104" t="s">
        <v>1069</v>
      </c>
    </row>
    <row r="117" spans="4:8">
      <c r="D117" s="536"/>
    </row>
    <row r="118" spans="4:8" ht="10.050000000000001" customHeight="1"/>
    <row r="119" spans="4:8">
      <c r="D119" s="665"/>
      <c r="E119" s="665"/>
      <c r="F119" s="665"/>
      <c r="G119" s="665"/>
      <c r="H119" s="665"/>
    </row>
    <row r="120" spans="4:8">
      <c r="D120" s="665"/>
      <c r="E120" s="665"/>
      <c r="F120" s="665"/>
      <c r="G120" s="665"/>
      <c r="H120" s="665"/>
    </row>
    <row r="121" spans="4:8">
      <c r="D121" s="665"/>
      <c r="E121" s="665"/>
      <c r="F121" s="665"/>
      <c r="G121" s="665"/>
      <c r="H121" s="665"/>
    </row>
    <row r="122" spans="4:8" ht="10.050000000000001" customHeight="1"/>
    <row r="123" spans="4:8">
      <c r="D123" s="536"/>
    </row>
    <row r="124" spans="4:8">
      <c r="D124" s="665"/>
      <c r="E124" s="665"/>
      <c r="F124" s="665"/>
      <c r="G124" s="665"/>
      <c r="H124" s="665"/>
    </row>
    <row r="125" spans="4:8">
      <c r="D125" s="665"/>
      <c r="E125" s="665"/>
      <c r="F125" s="665"/>
      <c r="G125" s="665"/>
      <c r="H125" s="665"/>
    </row>
    <row r="126" spans="4:8">
      <c r="D126" s="665"/>
      <c r="E126" s="665"/>
      <c r="F126" s="665"/>
      <c r="G126" s="665"/>
      <c r="H126" s="665"/>
    </row>
    <row r="127" spans="4:8" ht="10.050000000000001" customHeight="1">
      <c r="D127" s="537"/>
      <c r="E127" s="537"/>
      <c r="F127" s="537"/>
      <c r="G127" s="537"/>
      <c r="H127" s="537"/>
    </row>
    <row r="128" spans="4:8">
      <c r="D128" s="536"/>
    </row>
    <row r="129" spans="4:8">
      <c r="D129" s="665"/>
      <c r="E129" s="665"/>
      <c r="F129" s="665"/>
      <c r="G129" s="665"/>
      <c r="H129" s="665"/>
    </row>
    <row r="130" spans="4:8">
      <c r="D130" s="665"/>
      <c r="E130" s="665"/>
      <c r="F130" s="665"/>
      <c r="G130" s="665"/>
      <c r="H130" s="665"/>
    </row>
    <row r="131" spans="4:8">
      <c r="D131" s="665"/>
      <c r="E131" s="665"/>
      <c r="F131" s="665"/>
      <c r="G131" s="665"/>
      <c r="H131" s="665"/>
    </row>
    <row r="132" spans="4:8" ht="10.050000000000001" customHeight="1"/>
    <row r="133" spans="4:8">
      <c r="D133" s="536"/>
    </row>
    <row r="134" spans="4:8">
      <c r="D134" s="665"/>
      <c r="E134" s="665"/>
      <c r="F134" s="665"/>
      <c r="G134" s="665"/>
      <c r="H134" s="665"/>
    </row>
    <row r="135" spans="4:8">
      <c r="D135" s="665"/>
      <c r="E135" s="665"/>
      <c r="F135" s="665"/>
      <c r="G135" s="665"/>
      <c r="H135" s="665"/>
    </row>
    <row r="136" spans="4:8">
      <c r="D136" s="665"/>
      <c r="E136" s="665"/>
      <c r="F136" s="665"/>
      <c r="G136" s="665"/>
      <c r="H136" s="665"/>
    </row>
    <row r="137" spans="4:8" ht="10.050000000000001" customHeight="1"/>
    <row r="138" spans="4:8">
      <c r="D138" s="536"/>
    </row>
    <row r="139" spans="4:8">
      <c r="D139" s="665"/>
      <c r="E139" s="665"/>
      <c r="F139" s="665"/>
      <c r="G139" s="665"/>
      <c r="H139" s="665"/>
    </row>
    <row r="140" spans="4:8">
      <c r="D140" s="665"/>
      <c r="E140" s="665"/>
      <c r="F140" s="665"/>
      <c r="G140" s="665"/>
      <c r="H140" s="665"/>
    </row>
    <row r="141" spans="4:8">
      <c r="D141" s="665"/>
      <c r="E141" s="665"/>
      <c r="F141" s="665"/>
      <c r="G141" s="665"/>
      <c r="H141" s="665"/>
    </row>
    <row r="142" spans="4:8">
      <c r="D142" s="665"/>
      <c r="E142" s="665"/>
      <c r="F142" s="665"/>
      <c r="G142" s="665"/>
      <c r="H142" s="665"/>
    </row>
  </sheetData>
  <mergeCells count="10">
    <mergeCell ref="H7:L10"/>
    <mergeCell ref="H13:L15"/>
    <mergeCell ref="H18:L20"/>
    <mergeCell ref="H23:L26"/>
    <mergeCell ref="H29:L32"/>
    <mergeCell ref="D119:H121"/>
    <mergeCell ref="D124:H126"/>
    <mergeCell ref="D129:H131"/>
    <mergeCell ref="D134:H136"/>
    <mergeCell ref="D139:H142"/>
  </mergeCells>
  <hyperlinks>
    <hyperlink ref="D53" r:id="rId1" display="https://www.nseindia.com/get-quotes/equity?symbol=BAJAJCON" xr:uid="{2A418226-FD8F-48F9-AFCF-DA276521710E}"/>
    <hyperlink ref="D52" r:id="rId2" display="https://www.nseindia.com/get-quotes/equity?symbol=EMAMILTD" xr:uid="{0124EFE8-931F-4014-95FA-EBA29DD24265}"/>
    <hyperlink ref="D51" r:id="rId3" display="https://www.nseindia.com/get-quotes/equity?symbol=BRITANNIA" xr:uid="{13B0AEDB-17D1-486D-9D56-599C584133D5}"/>
    <hyperlink ref="D50" r:id="rId4" display="https://www.nseindia.com/get-quotes/equity?symbol=GODREJCP" xr:uid="{14858772-5384-422C-96D0-850139AEAFA8}"/>
    <hyperlink ref="D49" r:id="rId5" display="https://www.nseindia.com/get-quotes/equity?symbol=GOKULAGRO" xr:uid="{ED7EB563-1885-4905-BD96-1DF9FD202859}"/>
    <hyperlink ref="D48" r:id="rId6" display="https://www.nseindia.com/get-quotes/equity?symbol=SUNDROP" xr:uid="{FC4247F0-583F-432B-8A70-44B251E18035}"/>
    <hyperlink ref="D46" r:id="rId7" display="https://www.nseindia.com/get-quotes/equity?symbol=DABUR" xr:uid="{EA6453D2-FDAC-485B-AEF0-94D31AAB754E}"/>
    <hyperlink ref="D47" r:id="rId8" display="https://www.nseindia.com/get-quotes/equity?symbol=HINDUNILVR" xr:uid="{2BD1B30B-7149-460F-B329-4C425A52B26F}"/>
    <hyperlink ref="D74" r:id="rId9" display="https://www.nseindia.com/get-quotes/equity?symbol=BAJAJCON" xr:uid="{756AA8EC-3A6A-4F11-92F6-FF7F88B75262}"/>
    <hyperlink ref="D73" r:id="rId10" display="https://www.nseindia.com/get-quotes/equity?symbol=EMAMILTD" xr:uid="{0D33B3B7-38DB-40AA-993C-A1B679D44C92}"/>
    <hyperlink ref="D72" r:id="rId11" display="https://www.nseindia.com/get-quotes/equity?symbol=BRITANNIA" xr:uid="{EAA6CC03-EB53-4ACF-83C1-99117B8EAA4A}"/>
    <hyperlink ref="D71" r:id="rId12" display="https://www.nseindia.com/get-quotes/equity?symbol=GODREJCP" xr:uid="{EB268ADB-0659-48AB-B7D6-26BC5717920A}"/>
    <hyperlink ref="D70" r:id="rId13" display="https://www.nseindia.com/get-quotes/equity?symbol=GOKULAGRO" xr:uid="{313AB234-72CC-4A93-B7EC-2B564CD13139}"/>
    <hyperlink ref="D69" r:id="rId14" display="https://www.nseindia.com/get-quotes/equity?symbol=SUNDROP" xr:uid="{279C0AFD-6B47-42B9-8896-0F8124AC972B}"/>
    <hyperlink ref="D67" r:id="rId15" display="https://www.nseindia.com/get-quotes/equity?symbol=DABUR" xr:uid="{9794CF05-A08D-485E-A00C-B97214A300DB}"/>
    <hyperlink ref="D68" r:id="rId16" display="https://www.nseindia.com/get-quotes/equity?symbol=HINDUNILVR" xr:uid="{3FF24A07-1902-4381-8F04-831B4153E7F7}"/>
    <hyperlink ref="D95" r:id="rId17" display="https://www.nseindia.com/get-quotes/equity?symbol=BAJAJCON" xr:uid="{C8DF6D2C-C7BB-4587-ABE2-44C182B0CE91}"/>
    <hyperlink ref="D94" r:id="rId18" display="https://www.nseindia.com/get-quotes/equity?symbol=EMAMILTD" xr:uid="{9A9938CC-F59C-42B4-9F44-122507F70ADC}"/>
    <hyperlink ref="D93" r:id="rId19" display="https://www.nseindia.com/get-quotes/equity?symbol=BRITANNIA" xr:uid="{FFBC742D-F433-4F8B-A250-FCBA0729507E}"/>
    <hyperlink ref="D92" r:id="rId20" display="https://www.nseindia.com/get-quotes/equity?symbol=GODREJCP" xr:uid="{A252FE6C-05BE-4AF2-93CF-F25F1B37218D}"/>
    <hyperlink ref="D91" r:id="rId21" display="https://www.nseindia.com/get-quotes/equity?symbol=GOKULAGRO" xr:uid="{BF6BCD75-3203-43F5-827A-312B7A68D5BD}"/>
    <hyperlink ref="D90" r:id="rId22" display="https://www.nseindia.com/get-quotes/equity?symbol=SUNDROP" xr:uid="{04D2BB19-62FB-4E6C-B83D-F94B28384077}"/>
    <hyperlink ref="D88" r:id="rId23" display="https://www.nseindia.com/get-quotes/equity?symbol=DABUR" xr:uid="{86349604-8D13-4BF1-9ACE-B07AD913B092}"/>
    <hyperlink ref="D89" r:id="rId24" display="https://www.nseindia.com/get-quotes/equity?symbol=HINDUNILVR" xr:uid="{71874DC1-0E7F-41CB-9881-BA67EFE27FD7}"/>
  </hyperlinks>
  <pageMargins left="0.7" right="0.7" top="0.75" bottom="0.75" header="0.3" footer="0.3"/>
  <ignoredErrors>
    <ignoredError sqref="E9:F9" formula="1"/>
  </ignoredErrors>
  <drawing r:id="rId2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EB2F6-E657-40A5-B99B-9D864B987F0F}">
  <dimension ref="B3:O161"/>
  <sheetViews>
    <sheetView showGridLines="0" workbookViewId="0">
      <selection activeCell="F22" sqref="F22"/>
    </sheetView>
  </sheetViews>
  <sheetFormatPr defaultRowHeight="14.4"/>
  <cols>
    <col min="1" max="1" width="1.88671875" customWidth="1"/>
    <col min="2" max="2" width="27.21875" bestFit="1" customWidth="1"/>
    <col min="3" max="3" width="22.88671875" bestFit="1" customWidth="1"/>
    <col min="4" max="4" width="15.77734375" style="497" customWidth="1"/>
    <col min="5" max="5" width="27.88671875" style="497" customWidth="1"/>
  </cols>
  <sheetData>
    <row r="3" spans="2:15">
      <c r="B3" s="18" t="s">
        <v>978</v>
      </c>
      <c r="G3" s="18" t="s">
        <v>979</v>
      </c>
    </row>
    <row r="4" spans="2:15" ht="15.6">
      <c r="B4" s="139" t="s">
        <v>781</v>
      </c>
      <c r="C4" s="139" t="s">
        <v>782</v>
      </c>
      <c r="D4" s="510" t="s">
        <v>783</v>
      </c>
      <c r="E4" s="496" t="s">
        <v>784</v>
      </c>
      <c r="G4" s="11" t="s">
        <v>980</v>
      </c>
      <c r="H4" s="213"/>
      <c r="I4" s="213"/>
      <c r="J4" s="213"/>
      <c r="L4" s="604" t="s">
        <v>1001</v>
      </c>
      <c r="M4" s="605"/>
      <c r="N4" s="605"/>
      <c r="O4" s="605"/>
    </row>
    <row r="5" spans="2:15">
      <c r="B5" t="s">
        <v>382</v>
      </c>
      <c r="C5" t="s">
        <v>812</v>
      </c>
      <c r="D5" s="497" t="s">
        <v>801</v>
      </c>
      <c r="E5" s="509">
        <v>2.160985823777507E-2</v>
      </c>
      <c r="F5" s="267"/>
      <c r="G5" s="517" t="s">
        <v>981</v>
      </c>
      <c r="H5" s="511"/>
      <c r="I5" s="512"/>
      <c r="J5" s="512"/>
      <c r="L5" s="666" t="s">
        <v>981</v>
      </c>
      <c r="M5" s="667"/>
      <c r="N5" s="514"/>
      <c r="O5" s="514"/>
    </row>
    <row r="6" spans="2:15">
      <c r="B6" t="s">
        <v>958</v>
      </c>
      <c r="C6" t="s">
        <v>791</v>
      </c>
      <c r="D6" s="497" t="s">
        <v>817</v>
      </c>
      <c r="E6" s="509">
        <v>5.8935977012113828E-3</v>
      </c>
      <c r="G6" s="513" t="s">
        <v>982</v>
      </c>
      <c r="H6" s="513" t="s">
        <v>983</v>
      </c>
      <c r="I6" s="513" t="s">
        <v>984</v>
      </c>
      <c r="J6" s="513" t="s">
        <v>985</v>
      </c>
      <c r="L6" s="514" t="s">
        <v>1002</v>
      </c>
      <c r="M6" s="514" t="s">
        <v>983</v>
      </c>
      <c r="N6" s="514" t="s">
        <v>984</v>
      </c>
      <c r="O6" s="514" t="s">
        <v>985</v>
      </c>
    </row>
    <row r="7" spans="2:15">
      <c r="B7" t="s">
        <v>959</v>
      </c>
      <c r="C7" t="s">
        <v>835</v>
      </c>
      <c r="D7" s="497" t="s">
        <v>806</v>
      </c>
      <c r="E7" s="509">
        <v>2.7000000000000001E-3</v>
      </c>
      <c r="G7" s="514">
        <v>-100000</v>
      </c>
      <c r="H7" s="514">
        <v>0.19999900000000001</v>
      </c>
      <c r="I7" s="514" t="s">
        <v>986</v>
      </c>
      <c r="J7" s="515">
        <v>0.19</v>
      </c>
      <c r="L7" s="514">
        <v>-100000</v>
      </c>
      <c r="M7" s="514">
        <v>0.49999900000000003</v>
      </c>
      <c r="N7" s="514" t="s">
        <v>986</v>
      </c>
      <c r="O7" s="515">
        <v>0.19</v>
      </c>
    </row>
    <row r="8" spans="2:15">
      <c r="B8" t="s">
        <v>785</v>
      </c>
      <c r="C8" t="s">
        <v>384</v>
      </c>
      <c r="D8" s="497" t="s">
        <v>786</v>
      </c>
      <c r="E8" s="509">
        <v>4.8535510480564323E-3</v>
      </c>
      <c r="G8" s="514">
        <v>0.2</v>
      </c>
      <c r="H8" s="514">
        <v>0.64999899999999999</v>
      </c>
      <c r="I8" s="514" t="s">
        <v>987</v>
      </c>
      <c r="J8" s="515">
        <v>0.155</v>
      </c>
      <c r="L8" s="514">
        <v>0.5</v>
      </c>
      <c r="M8" s="514">
        <v>0.79999900000000002</v>
      </c>
      <c r="N8" s="514" t="s">
        <v>987</v>
      </c>
      <c r="O8" s="515">
        <v>0.155</v>
      </c>
    </row>
    <row r="9" spans="2:15">
      <c r="B9" t="s">
        <v>787</v>
      </c>
      <c r="C9" t="s">
        <v>788</v>
      </c>
      <c r="D9" s="497" t="s">
        <v>789</v>
      </c>
      <c r="E9" s="509">
        <v>3.5361586207268286E-2</v>
      </c>
      <c r="G9" s="514">
        <v>0.65</v>
      </c>
      <c r="H9" s="514">
        <v>0.79999900000000002</v>
      </c>
      <c r="I9" s="514" t="s">
        <v>988</v>
      </c>
      <c r="J9" s="515">
        <v>0.10100000000000001</v>
      </c>
      <c r="L9" s="514">
        <v>0.8</v>
      </c>
      <c r="M9" s="514">
        <v>1.2499990000000001</v>
      </c>
      <c r="N9" s="514" t="s">
        <v>988</v>
      </c>
      <c r="O9" s="515">
        <v>0.10100000000000001</v>
      </c>
    </row>
    <row r="10" spans="2:15">
      <c r="B10" t="s">
        <v>790</v>
      </c>
      <c r="C10" t="s">
        <v>791</v>
      </c>
      <c r="D10" s="497" t="s">
        <v>792</v>
      </c>
      <c r="E10" s="509">
        <v>1.5716260536563685E-2</v>
      </c>
      <c r="G10" s="514">
        <v>0.8</v>
      </c>
      <c r="H10" s="514">
        <v>1.2499990000000001</v>
      </c>
      <c r="I10" s="514" t="s">
        <v>989</v>
      </c>
      <c r="J10" s="515">
        <v>7.2800000000000004E-2</v>
      </c>
      <c r="L10" s="514">
        <v>1.25</v>
      </c>
      <c r="M10" s="514">
        <v>1.4999990000000001</v>
      </c>
      <c r="N10" s="514" t="s">
        <v>989</v>
      </c>
      <c r="O10" s="515">
        <v>7.2800000000000004E-2</v>
      </c>
    </row>
    <row r="11" spans="2:15">
      <c r="B11" t="s">
        <v>793</v>
      </c>
      <c r="C11" t="s">
        <v>782</v>
      </c>
      <c r="D11" s="497" t="s">
        <v>794</v>
      </c>
      <c r="E11" s="509">
        <v>6.3905088799409676E-2</v>
      </c>
      <c r="G11" s="514">
        <v>1.25</v>
      </c>
      <c r="H11" s="514">
        <v>1.4999990000000001</v>
      </c>
      <c r="I11" s="514" t="s">
        <v>990</v>
      </c>
      <c r="J11" s="515">
        <v>4.4200000000000003E-2</v>
      </c>
      <c r="L11" s="514">
        <v>1.5</v>
      </c>
      <c r="M11" s="514">
        <v>1.9999990000000001</v>
      </c>
      <c r="N11" s="514" t="s">
        <v>990</v>
      </c>
      <c r="O11" s="515">
        <v>4.4200000000000003E-2</v>
      </c>
    </row>
    <row r="12" spans="2:15">
      <c r="B12" t="s">
        <v>795</v>
      </c>
      <c r="C12" t="s">
        <v>796</v>
      </c>
      <c r="D12" s="497" t="s">
        <v>797</v>
      </c>
      <c r="E12" s="509">
        <v>9.8342189092762475E-2</v>
      </c>
      <c r="G12" s="514">
        <v>1.5</v>
      </c>
      <c r="H12" s="514">
        <v>1.7499990000000001</v>
      </c>
      <c r="I12" s="514" t="s">
        <v>991</v>
      </c>
      <c r="J12" s="515">
        <v>0.03</v>
      </c>
      <c r="L12" s="514">
        <v>2</v>
      </c>
      <c r="M12" s="514">
        <v>2.4999989999999999</v>
      </c>
      <c r="N12" s="514" t="s">
        <v>991</v>
      </c>
      <c r="O12" s="515">
        <v>0.03</v>
      </c>
    </row>
    <row r="13" spans="2:15">
      <c r="B13" t="s">
        <v>798</v>
      </c>
      <c r="C13" t="s">
        <v>788</v>
      </c>
      <c r="D13" s="497" t="s">
        <v>789</v>
      </c>
      <c r="E13" s="509">
        <v>3.5361586207268286E-2</v>
      </c>
      <c r="G13" s="514">
        <v>1.75</v>
      </c>
      <c r="H13" s="514">
        <v>1.9999990000000001</v>
      </c>
      <c r="I13" s="514" t="s">
        <v>992</v>
      </c>
      <c r="J13" s="515">
        <v>2.6100000000000002E-2</v>
      </c>
      <c r="L13" s="514">
        <v>2.5</v>
      </c>
      <c r="M13" s="514">
        <v>2.9999989999999999</v>
      </c>
      <c r="N13" s="514" t="s">
        <v>992</v>
      </c>
      <c r="O13" s="515">
        <v>2.6100000000000002E-2</v>
      </c>
    </row>
    <row r="14" spans="2:15">
      <c r="B14" t="s">
        <v>799</v>
      </c>
      <c r="C14" t="s">
        <v>800</v>
      </c>
      <c r="D14" s="497" t="s">
        <v>801</v>
      </c>
      <c r="E14" s="509">
        <v>2.160985823777507E-2</v>
      </c>
      <c r="G14" s="514">
        <v>2</v>
      </c>
      <c r="H14" s="514">
        <v>2.2499999000000002</v>
      </c>
      <c r="I14" s="514" t="s">
        <v>993</v>
      </c>
      <c r="J14" s="515">
        <v>1.83E-2</v>
      </c>
      <c r="L14" s="514">
        <v>3</v>
      </c>
      <c r="M14" s="514">
        <v>3.4999989999999999</v>
      </c>
      <c r="N14" s="514" t="s">
        <v>993</v>
      </c>
      <c r="O14" s="515">
        <v>1.83E-2</v>
      </c>
    </row>
    <row r="15" spans="2:15">
      <c r="B15" t="s">
        <v>802</v>
      </c>
      <c r="C15" t="s">
        <v>803</v>
      </c>
      <c r="D15" s="497" t="s">
        <v>804</v>
      </c>
      <c r="E15" s="509">
        <v>0</v>
      </c>
      <c r="G15" s="514">
        <v>2.25</v>
      </c>
      <c r="H15" s="514">
        <v>2.4999899999999999</v>
      </c>
      <c r="I15" s="514" t="s">
        <v>994</v>
      </c>
      <c r="J15" s="515">
        <v>1.55E-2</v>
      </c>
      <c r="L15" s="514">
        <v>3.5</v>
      </c>
      <c r="M15" s="514">
        <v>3.9999999000000002</v>
      </c>
      <c r="N15" s="514" t="s">
        <v>994</v>
      </c>
      <c r="O15" s="515">
        <v>1.55E-2</v>
      </c>
    </row>
    <row r="16" spans="2:15">
      <c r="B16" t="s">
        <v>805</v>
      </c>
      <c r="C16" t="s">
        <v>791</v>
      </c>
      <c r="D16" s="497" t="s">
        <v>806</v>
      </c>
      <c r="E16" s="509">
        <v>2.7000000000000001E-3</v>
      </c>
      <c r="G16" s="514">
        <v>2.5</v>
      </c>
      <c r="H16" s="514">
        <v>2.9999989999999999</v>
      </c>
      <c r="I16" s="514" t="s">
        <v>995</v>
      </c>
      <c r="J16" s="515">
        <v>1.2E-2</v>
      </c>
      <c r="L16" s="514">
        <v>4</v>
      </c>
      <c r="M16" s="514">
        <v>4.4999989999999999</v>
      </c>
      <c r="N16" s="514" t="s">
        <v>995</v>
      </c>
      <c r="O16" s="515">
        <v>1.2E-2</v>
      </c>
    </row>
    <row r="17" spans="2:15">
      <c r="B17" t="s">
        <v>807</v>
      </c>
      <c r="C17" t="s">
        <v>788</v>
      </c>
      <c r="D17" s="497" t="s">
        <v>801</v>
      </c>
      <c r="E17" s="509">
        <v>2.160985823777507E-2</v>
      </c>
      <c r="G17" s="514">
        <v>3</v>
      </c>
      <c r="H17" s="514">
        <v>4.2499989999999999</v>
      </c>
      <c r="I17" s="514" t="s">
        <v>996</v>
      </c>
      <c r="J17" s="515">
        <v>9.4999999999999998E-3</v>
      </c>
      <c r="L17" s="514">
        <v>4.5</v>
      </c>
      <c r="M17" s="514">
        <v>5.9999989999999999</v>
      </c>
      <c r="N17" s="514" t="s">
        <v>996</v>
      </c>
      <c r="O17" s="515">
        <v>9.4999999999999998E-3</v>
      </c>
    </row>
    <row r="18" spans="2:15">
      <c r="B18" t="s">
        <v>808</v>
      </c>
      <c r="C18" t="s">
        <v>800</v>
      </c>
      <c r="D18" s="497" t="s">
        <v>809</v>
      </c>
      <c r="E18" s="509">
        <v>4.4259763128705075E-2</v>
      </c>
      <c r="G18" s="514">
        <v>4.25</v>
      </c>
      <c r="H18" s="514">
        <v>5.4999989999999999</v>
      </c>
      <c r="I18" s="514" t="s">
        <v>997</v>
      </c>
      <c r="J18" s="515">
        <v>8.5000000000000006E-3</v>
      </c>
      <c r="L18" s="514">
        <v>6</v>
      </c>
      <c r="M18" s="514">
        <v>7.4999989999999999</v>
      </c>
      <c r="N18" s="514" t="s">
        <v>997</v>
      </c>
      <c r="O18" s="515">
        <v>8.5000000000000006E-3</v>
      </c>
    </row>
    <row r="19" spans="2:15">
      <c r="B19" t="s">
        <v>810</v>
      </c>
      <c r="C19" t="s">
        <v>384</v>
      </c>
      <c r="D19" s="497" t="s">
        <v>811</v>
      </c>
      <c r="E19" s="509">
        <v>5.4082425964057379E-2</v>
      </c>
      <c r="G19" s="514">
        <v>5.5</v>
      </c>
      <c r="H19" s="514">
        <v>6.4999989999999999</v>
      </c>
      <c r="I19" s="514" t="s">
        <v>998</v>
      </c>
      <c r="J19" s="515">
        <v>7.7000000000000002E-3</v>
      </c>
      <c r="L19" s="514">
        <v>7.5</v>
      </c>
      <c r="M19" s="514">
        <v>9.4999990000000007</v>
      </c>
      <c r="N19" s="514" t="s">
        <v>998</v>
      </c>
      <c r="O19" s="515">
        <v>7.7000000000000002E-3</v>
      </c>
    </row>
    <row r="20" spans="2:15">
      <c r="B20" t="s">
        <v>383</v>
      </c>
      <c r="C20" t="s">
        <v>812</v>
      </c>
      <c r="D20" s="497" t="s">
        <v>811</v>
      </c>
      <c r="E20" s="509">
        <v>5.4082425964057379E-2</v>
      </c>
      <c r="G20" s="514">
        <v>6.5</v>
      </c>
      <c r="H20" s="514">
        <v>8.4999990000000007</v>
      </c>
      <c r="I20" s="514" t="s">
        <v>999</v>
      </c>
      <c r="J20" s="515">
        <v>6.0000000000000001E-3</v>
      </c>
      <c r="L20" s="514">
        <v>9.5</v>
      </c>
      <c r="M20" s="514">
        <v>12.499999000000001</v>
      </c>
      <c r="N20" s="514" t="s">
        <v>999</v>
      </c>
      <c r="O20" s="515">
        <v>6.0000000000000001E-3</v>
      </c>
    </row>
    <row r="21" spans="2:15">
      <c r="B21" t="s">
        <v>813</v>
      </c>
      <c r="C21" t="s">
        <v>800</v>
      </c>
      <c r="D21" s="497" t="s">
        <v>811</v>
      </c>
      <c r="E21" s="509">
        <v>5.4082425964057379E-2</v>
      </c>
      <c r="G21" s="516">
        <v>8.5</v>
      </c>
      <c r="H21" s="514">
        <v>100000</v>
      </c>
      <c r="I21" s="514" t="s">
        <v>1000</v>
      </c>
      <c r="J21" s="515">
        <v>4.4999999999999997E-3</v>
      </c>
      <c r="L21" s="514">
        <v>12.5</v>
      </c>
      <c r="M21" s="514">
        <v>100000</v>
      </c>
      <c r="N21" s="514" t="s">
        <v>1000</v>
      </c>
      <c r="O21" s="515">
        <v>4.4999999999999997E-3</v>
      </c>
    </row>
    <row r="22" spans="2:15">
      <c r="B22" t="s">
        <v>814</v>
      </c>
      <c r="C22" t="s">
        <v>788</v>
      </c>
      <c r="D22" s="497" t="s">
        <v>815</v>
      </c>
      <c r="E22" s="509">
        <v>0.17499999999999999</v>
      </c>
    </row>
    <row r="23" spans="2:15">
      <c r="B23" t="s">
        <v>816</v>
      </c>
      <c r="C23" t="s">
        <v>791</v>
      </c>
      <c r="D23" s="497" t="s">
        <v>817</v>
      </c>
      <c r="E23" s="509">
        <v>5.8935977012113828E-3</v>
      </c>
    </row>
    <row r="24" spans="2:15">
      <c r="B24" t="s">
        <v>818</v>
      </c>
      <c r="C24" t="s">
        <v>796</v>
      </c>
      <c r="D24" s="497" t="s">
        <v>819</v>
      </c>
      <c r="E24" s="509">
        <v>7.3727751634761987E-2</v>
      </c>
    </row>
    <row r="25" spans="2:15">
      <c r="B25" t="s">
        <v>820</v>
      </c>
      <c r="C25" t="s">
        <v>782</v>
      </c>
      <c r="D25" s="497" t="s">
        <v>809</v>
      </c>
      <c r="E25" s="509">
        <v>4.4259763128705075E-2</v>
      </c>
    </row>
    <row r="26" spans="2:15">
      <c r="B26" t="s">
        <v>821</v>
      </c>
      <c r="C26" t="s">
        <v>800</v>
      </c>
      <c r="D26" s="497" t="s">
        <v>822</v>
      </c>
      <c r="E26" s="509">
        <v>8.3203732252395985E-3</v>
      </c>
    </row>
    <row r="27" spans="2:15">
      <c r="B27" t="s">
        <v>823</v>
      </c>
      <c r="C27" t="s">
        <v>796</v>
      </c>
      <c r="D27" s="497" t="s">
        <v>824</v>
      </c>
      <c r="E27" s="509">
        <v>0.11798751476346708</v>
      </c>
    </row>
    <row r="28" spans="2:15">
      <c r="B28" t="s">
        <v>825</v>
      </c>
      <c r="C28" t="s">
        <v>788</v>
      </c>
      <c r="D28" s="497" t="s">
        <v>794</v>
      </c>
      <c r="E28" s="509">
        <v>6.3905088799409676E-2</v>
      </c>
    </row>
    <row r="29" spans="2:15">
      <c r="B29" t="s">
        <v>826</v>
      </c>
      <c r="C29" t="s">
        <v>782</v>
      </c>
      <c r="D29" s="497" t="s">
        <v>827</v>
      </c>
      <c r="E29" s="509">
        <v>1.1787195402422766E-2</v>
      </c>
    </row>
    <row r="30" spans="2:15">
      <c r="B30" t="s">
        <v>828</v>
      </c>
      <c r="C30" t="s">
        <v>796</v>
      </c>
      <c r="D30" s="497" t="s">
        <v>829</v>
      </c>
      <c r="E30" s="509">
        <v>2.4614437458000481E-2</v>
      </c>
    </row>
    <row r="31" spans="2:15">
      <c r="B31" t="s">
        <v>830</v>
      </c>
      <c r="C31" t="s">
        <v>788</v>
      </c>
      <c r="D31" s="497" t="s">
        <v>792</v>
      </c>
      <c r="E31" s="509">
        <v>1.5716260536563685E-2</v>
      </c>
    </row>
    <row r="32" spans="2:15">
      <c r="B32" t="s">
        <v>831</v>
      </c>
      <c r="C32" t="s">
        <v>782</v>
      </c>
      <c r="D32" s="497" t="s">
        <v>819</v>
      </c>
      <c r="E32" s="509">
        <v>7.3727751634761987E-2</v>
      </c>
    </row>
    <row r="33" spans="2:5">
      <c r="B33" t="s">
        <v>832</v>
      </c>
      <c r="C33" t="s">
        <v>812</v>
      </c>
      <c r="D33" s="497" t="s">
        <v>811</v>
      </c>
      <c r="E33" s="509">
        <v>5.4082425964057379E-2</v>
      </c>
    </row>
    <row r="34" spans="2:5">
      <c r="B34" t="s">
        <v>833</v>
      </c>
      <c r="C34" t="s">
        <v>782</v>
      </c>
      <c r="D34" s="497" t="s">
        <v>819</v>
      </c>
      <c r="E34" s="509">
        <v>7.3727751634761987E-2</v>
      </c>
    </row>
    <row r="35" spans="2:5">
      <c r="B35" t="s">
        <v>834</v>
      </c>
      <c r="C35" t="s">
        <v>835</v>
      </c>
      <c r="D35" s="497" t="s">
        <v>804</v>
      </c>
      <c r="E35" s="509">
        <v>0</v>
      </c>
    </row>
    <row r="36" spans="2:5">
      <c r="B36" t="s">
        <v>836</v>
      </c>
      <c r="C36" t="s">
        <v>782</v>
      </c>
      <c r="D36" s="497" t="s">
        <v>811</v>
      </c>
      <c r="E36" s="509">
        <v>5.4082425964057379E-2</v>
      </c>
    </row>
    <row r="37" spans="2:5">
      <c r="B37" t="s">
        <v>837</v>
      </c>
      <c r="C37" t="s">
        <v>800</v>
      </c>
      <c r="D37" s="497" t="s">
        <v>817</v>
      </c>
      <c r="E37" s="509">
        <v>5.8935977012113828E-3</v>
      </c>
    </row>
    <row r="38" spans="2:5">
      <c r="B38" t="s">
        <v>838</v>
      </c>
      <c r="C38" t="s">
        <v>796</v>
      </c>
      <c r="D38" s="497" t="s">
        <v>822</v>
      </c>
      <c r="E38" s="509">
        <v>8.3203732252395985E-3</v>
      </c>
    </row>
    <row r="39" spans="2:5">
      <c r="B39" t="s">
        <v>403</v>
      </c>
      <c r="C39" t="s">
        <v>812</v>
      </c>
      <c r="D39" s="497" t="s">
        <v>839</v>
      </c>
      <c r="E39" s="509">
        <v>6.9336443543663332E-3</v>
      </c>
    </row>
    <row r="40" spans="2:5">
      <c r="B40" t="s">
        <v>840</v>
      </c>
      <c r="C40" t="s">
        <v>796</v>
      </c>
      <c r="D40" s="497" t="s">
        <v>801</v>
      </c>
      <c r="E40" s="509">
        <v>2.160985823777507E-2</v>
      </c>
    </row>
    <row r="41" spans="2:5">
      <c r="B41" t="s">
        <v>841</v>
      </c>
      <c r="C41" t="s">
        <v>782</v>
      </c>
      <c r="D41" s="497" t="s">
        <v>794</v>
      </c>
      <c r="E41" s="509">
        <v>6.3905088799409676E-2</v>
      </c>
    </row>
    <row r="42" spans="2:5">
      <c r="B42" t="s">
        <v>842</v>
      </c>
      <c r="C42" t="s">
        <v>782</v>
      </c>
      <c r="D42" s="497" t="s">
        <v>843</v>
      </c>
      <c r="E42" s="509">
        <v>8.851952625741015E-2</v>
      </c>
    </row>
    <row r="43" spans="2:5">
      <c r="B43" t="s">
        <v>844</v>
      </c>
      <c r="C43" t="s">
        <v>803</v>
      </c>
      <c r="D43" s="497" t="s">
        <v>809</v>
      </c>
      <c r="E43" s="509">
        <v>4.4259763128705075E-2</v>
      </c>
    </row>
    <row r="44" spans="2:5">
      <c r="B44" t="s">
        <v>845</v>
      </c>
      <c r="C44" t="s">
        <v>796</v>
      </c>
      <c r="D44" s="497" t="s">
        <v>789</v>
      </c>
      <c r="E44" s="509">
        <v>3.5361586207268286E-2</v>
      </c>
    </row>
    <row r="45" spans="2:5">
      <c r="B45" t="s">
        <v>846</v>
      </c>
      <c r="C45" t="s">
        <v>782</v>
      </c>
      <c r="D45" s="497" t="s">
        <v>847</v>
      </c>
      <c r="E45" s="509">
        <v>2.9583549245296346E-2</v>
      </c>
    </row>
    <row r="46" spans="2:5">
      <c r="B46" t="s">
        <v>848</v>
      </c>
      <c r="C46" t="s">
        <v>788</v>
      </c>
      <c r="D46" s="497" t="s">
        <v>827</v>
      </c>
      <c r="E46" s="509">
        <v>1.1787195402422766E-2</v>
      </c>
    </row>
    <row r="47" spans="2:5">
      <c r="B47" t="s">
        <v>849</v>
      </c>
      <c r="C47" t="s">
        <v>800</v>
      </c>
      <c r="D47" s="497" t="s">
        <v>824</v>
      </c>
      <c r="E47" s="509">
        <v>0.11798751476346708</v>
      </c>
    </row>
    <row r="48" spans="2:5">
      <c r="B48" t="s">
        <v>850</v>
      </c>
      <c r="C48" t="s">
        <v>800</v>
      </c>
      <c r="D48" s="497" t="s">
        <v>801</v>
      </c>
      <c r="E48" s="509">
        <v>2.160985823777507E-2</v>
      </c>
    </row>
    <row r="49" spans="2:5">
      <c r="B49" t="s">
        <v>851</v>
      </c>
      <c r="C49" t="s">
        <v>791</v>
      </c>
      <c r="D49" s="497" t="s">
        <v>827</v>
      </c>
      <c r="E49" s="509">
        <v>1.1787195402422766E-2</v>
      </c>
    </row>
    <row r="50" spans="2:5">
      <c r="B50" t="s">
        <v>852</v>
      </c>
      <c r="C50" t="s">
        <v>788</v>
      </c>
      <c r="D50" s="497" t="s">
        <v>817</v>
      </c>
      <c r="E50" s="509">
        <v>5.8935977012113828E-3</v>
      </c>
    </row>
    <row r="51" spans="2:5">
      <c r="B51" t="s">
        <v>853</v>
      </c>
      <c r="C51" t="s">
        <v>791</v>
      </c>
      <c r="D51" s="497" t="s">
        <v>804</v>
      </c>
      <c r="E51" s="509">
        <v>0</v>
      </c>
    </row>
    <row r="52" spans="2:5">
      <c r="B52" t="s">
        <v>854</v>
      </c>
      <c r="C52" t="s">
        <v>800</v>
      </c>
      <c r="D52" s="497" t="s">
        <v>789</v>
      </c>
      <c r="E52" s="509">
        <v>3.5361586207268286E-2</v>
      </c>
    </row>
    <row r="53" spans="2:5">
      <c r="B53" t="s">
        <v>855</v>
      </c>
      <c r="C53" t="s">
        <v>796</v>
      </c>
      <c r="D53" s="497" t="s">
        <v>797</v>
      </c>
      <c r="E53" s="509">
        <v>9.8342189092762475E-2</v>
      </c>
    </row>
    <row r="54" spans="2:5">
      <c r="B54" t="s">
        <v>856</v>
      </c>
      <c r="C54" t="s">
        <v>782</v>
      </c>
      <c r="D54" s="497" t="s">
        <v>819</v>
      </c>
      <c r="E54" s="509">
        <v>7.3727751634761987E-2</v>
      </c>
    </row>
    <row r="55" spans="2:5">
      <c r="B55" t="s">
        <v>857</v>
      </c>
      <c r="C55" t="s">
        <v>796</v>
      </c>
      <c r="D55" s="497" t="s">
        <v>794</v>
      </c>
      <c r="E55" s="509">
        <v>6.3905088799409676E-2</v>
      </c>
    </row>
    <row r="56" spans="2:5">
      <c r="B56" t="s">
        <v>858</v>
      </c>
      <c r="C56" t="s">
        <v>788</v>
      </c>
      <c r="D56" s="497" t="s">
        <v>839</v>
      </c>
      <c r="E56" s="509">
        <v>6.9336443543663332E-3</v>
      </c>
    </row>
    <row r="57" spans="2:5">
      <c r="B57" t="s">
        <v>859</v>
      </c>
      <c r="C57" t="s">
        <v>782</v>
      </c>
      <c r="D57" s="497" t="s">
        <v>843</v>
      </c>
      <c r="E57" s="509">
        <v>8.851952625741015E-2</v>
      </c>
    </row>
    <row r="58" spans="2:5">
      <c r="B58" t="s">
        <v>860</v>
      </c>
      <c r="C58" t="s">
        <v>812</v>
      </c>
      <c r="D58" s="497" t="s">
        <v>809</v>
      </c>
      <c r="E58" s="509">
        <v>4.4259763128705075E-2</v>
      </c>
    </row>
    <row r="59" spans="2:5">
      <c r="B59" t="s">
        <v>861</v>
      </c>
      <c r="C59" t="s">
        <v>791</v>
      </c>
      <c r="D59" s="497" t="s">
        <v>806</v>
      </c>
      <c r="E59" s="509">
        <v>2.7000000000000001E-3</v>
      </c>
    </row>
    <row r="60" spans="2:5">
      <c r="B60" t="s">
        <v>862</v>
      </c>
      <c r="C60" t="s">
        <v>791</v>
      </c>
      <c r="D60" s="497" t="s">
        <v>817</v>
      </c>
      <c r="E60" s="509">
        <v>5.8935977012113828E-3</v>
      </c>
    </row>
    <row r="61" spans="2:5">
      <c r="B61" t="s">
        <v>863</v>
      </c>
      <c r="C61" t="s">
        <v>782</v>
      </c>
      <c r="D61" s="497" t="s">
        <v>843</v>
      </c>
      <c r="E61" s="509">
        <v>8.851952625741015E-2</v>
      </c>
    </row>
    <row r="62" spans="2:5">
      <c r="B62" t="s">
        <v>864</v>
      </c>
      <c r="C62" t="s">
        <v>788</v>
      </c>
      <c r="D62" s="497" t="s">
        <v>847</v>
      </c>
      <c r="E62" s="509">
        <v>2.9583549245296346E-2</v>
      </c>
    </row>
    <row r="63" spans="2:5">
      <c r="B63" t="s">
        <v>865</v>
      </c>
      <c r="C63" t="s">
        <v>791</v>
      </c>
      <c r="D63" s="497" t="s">
        <v>804</v>
      </c>
      <c r="E63" s="509">
        <v>0</v>
      </c>
    </row>
    <row r="64" spans="2:5">
      <c r="B64" t="s">
        <v>866</v>
      </c>
      <c r="C64" t="s">
        <v>782</v>
      </c>
      <c r="D64" s="497" t="s">
        <v>843</v>
      </c>
      <c r="E64" s="509">
        <v>8.851952625741015E-2</v>
      </c>
    </row>
    <row r="65" spans="2:5">
      <c r="B65" t="s">
        <v>867</v>
      </c>
      <c r="C65" t="s">
        <v>791</v>
      </c>
      <c r="D65" s="497" t="s">
        <v>801</v>
      </c>
      <c r="E65" s="509">
        <v>2.160985823777507E-2</v>
      </c>
    </row>
    <row r="66" spans="2:5">
      <c r="B66" t="s">
        <v>868</v>
      </c>
      <c r="C66" t="s">
        <v>796</v>
      </c>
      <c r="D66" s="497" t="s">
        <v>829</v>
      </c>
      <c r="E66" s="509">
        <v>2.4614437458000481E-2</v>
      </c>
    </row>
    <row r="67" spans="2:5">
      <c r="B67" t="s">
        <v>869</v>
      </c>
      <c r="C67" t="s">
        <v>791</v>
      </c>
      <c r="D67" s="497" t="s">
        <v>839</v>
      </c>
      <c r="E67" s="509">
        <v>6.9336443543663332E-3</v>
      </c>
    </row>
    <row r="68" spans="2:5">
      <c r="B68" t="s">
        <v>870</v>
      </c>
      <c r="C68" t="s">
        <v>796</v>
      </c>
      <c r="D68" s="497" t="s">
        <v>809</v>
      </c>
      <c r="E68" s="509">
        <v>4.4259763128705075E-2</v>
      </c>
    </row>
    <row r="69" spans="2:5">
      <c r="B69" t="s">
        <v>871</v>
      </c>
      <c r="C69" t="s">
        <v>812</v>
      </c>
      <c r="D69" s="497" t="s">
        <v>817</v>
      </c>
      <c r="E69" s="509">
        <v>5.8935977012113828E-3</v>
      </c>
    </row>
    <row r="70" spans="2:5">
      <c r="B70" t="s">
        <v>872</v>
      </c>
      <c r="C70" t="s">
        <v>788</v>
      </c>
      <c r="D70" s="497" t="s">
        <v>873</v>
      </c>
      <c r="E70" s="509">
        <v>1.87208397567891E-2</v>
      </c>
    </row>
    <row r="71" spans="2:5">
      <c r="B71" t="s">
        <v>874</v>
      </c>
      <c r="C71" t="s">
        <v>791</v>
      </c>
      <c r="D71" s="497" t="s">
        <v>839</v>
      </c>
      <c r="E71" s="509">
        <v>6.9336443543663332E-3</v>
      </c>
    </row>
    <row r="72" spans="2:5">
      <c r="B72" t="s">
        <v>875</v>
      </c>
      <c r="C72" t="s">
        <v>812</v>
      </c>
      <c r="D72" s="497" t="s">
        <v>873</v>
      </c>
      <c r="E72" s="509">
        <v>1.87208397567891E-2</v>
      </c>
    </row>
    <row r="73" spans="2:5">
      <c r="B73" t="s">
        <v>876</v>
      </c>
      <c r="C73" t="s">
        <v>384</v>
      </c>
      <c r="D73" s="497" t="s">
        <v>819</v>
      </c>
      <c r="E73" s="509">
        <v>7.3727751634761987E-2</v>
      </c>
    </row>
    <row r="74" spans="2:5">
      <c r="B74" t="s">
        <v>877</v>
      </c>
      <c r="C74" t="s">
        <v>791</v>
      </c>
      <c r="D74" s="497" t="s">
        <v>817</v>
      </c>
      <c r="E74" s="509">
        <v>5.8935977012113828E-3</v>
      </c>
    </row>
    <row r="75" spans="2:5">
      <c r="B75" t="s">
        <v>878</v>
      </c>
      <c r="C75" t="s">
        <v>791</v>
      </c>
      <c r="D75" s="497" t="s">
        <v>817</v>
      </c>
      <c r="E75" s="509">
        <v>5.8935977012113828E-3</v>
      </c>
    </row>
    <row r="76" spans="2:5">
      <c r="B76" t="s">
        <v>879</v>
      </c>
      <c r="C76" t="s">
        <v>384</v>
      </c>
      <c r="D76" s="497" t="s">
        <v>792</v>
      </c>
      <c r="E76" s="509">
        <v>1.5716260536563685E-2</v>
      </c>
    </row>
    <row r="77" spans="2:5">
      <c r="B77" t="s">
        <v>880</v>
      </c>
      <c r="C77" t="s">
        <v>791</v>
      </c>
      <c r="D77" s="497" t="s">
        <v>801</v>
      </c>
      <c r="E77" s="509">
        <v>2.160985823777507E-2</v>
      </c>
    </row>
    <row r="78" spans="2:5">
      <c r="B78" t="s">
        <v>881</v>
      </c>
      <c r="C78" t="s">
        <v>800</v>
      </c>
      <c r="D78" s="497" t="s">
        <v>809</v>
      </c>
      <c r="E78" s="509">
        <v>4.4259763128705075E-2</v>
      </c>
    </row>
    <row r="79" spans="2:5">
      <c r="B79" t="s">
        <v>401</v>
      </c>
      <c r="C79" t="s">
        <v>812</v>
      </c>
      <c r="D79" s="497" t="s">
        <v>839</v>
      </c>
      <c r="E79" s="509">
        <v>6.9336443543663332E-3</v>
      </c>
    </row>
    <row r="80" spans="2:5">
      <c r="B80" t="s">
        <v>882</v>
      </c>
      <c r="C80" t="s">
        <v>791</v>
      </c>
      <c r="D80" s="497" t="s">
        <v>817</v>
      </c>
      <c r="E80" s="509">
        <v>5.8935977012113828E-3</v>
      </c>
    </row>
    <row r="81" spans="2:5">
      <c r="B81" t="s">
        <v>883</v>
      </c>
      <c r="C81" t="s">
        <v>384</v>
      </c>
      <c r="D81" s="497" t="s">
        <v>789</v>
      </c>
      <c r="E81" s="509">
        <v>3.5361586207268286E-2</v>
      </c>
    </row>
    <row r="82" spans="2:5">
      <c r="B82" t="s">
        <v>884</v>
      </c>
      <c r="C82" t="s">
        <v>788</v>
      </c>
      <c r="D82" s="497" t="s">
        <v>792</v>
      </c>
      <c r="E82" s="509">
        <v>1.5716260536563685E-2</v>
      </c>
    </row>
    <row r="83" spans="2:5">
      <c r="B83" t="s">
        <v>885</v>
      </c>
      <c r="C83" t="s">
        <v>782</v>
      </c>
      <c r="D83" s="497" t="s">
        <v>819</v>
      </c>
      <c r="E83" s="509">
        <v>7.3727751634761987E-2</v>
      </c>
    </row>
    <row r="84" spans="2:5">
      <c r="B84" t="s">
        <v>886</v>
      </c>
      <c r="C84" t="s">
        <v>812</v>
      </c>
      <c r="D84" s="497" t="s">
        <v>786</v>
      </c>
      <c r="E84" s="509">
        <v>4.8535510480564323E-3</v>
      </c>
    </row>
    <row r="85" spans="2:5">
      <c r="B85" t="s">
        <v>887</v>
      </c>
      <c r="C85" t="s">
        <v>384</v>
      </c>
      <c r="D85" s="497" t="s">
        <v>839</v>
      </c>
      <c r="E85" s="509">
        <v>6.9336443543663332E-3</v>
      </c>
    </row>
    <row r="86" spans="2:5">
      <c r="B86" t="s">
        <v>888</v>
      </c>
      <c r="C86" t="s">
        <v>788</v>
      </c>
      <c r="D86" s="497" t="s">
        <v>794</v>
      </c>
      <c r="E86" s="509">
        <v>6.3905088799409676E-2</v>
      </c>
    </row>
    <row r="87" spans="2:5">
      <c r="B87" t="s">
        <v>889</v>
      </c>
      <c r="C87" t="s">
        <v>812</v>
      </c>
      <c r="D87" s="497" t="s">
        <v>797</v>
      </c>
      <c r="E87" s="509">
        <v>9.8342189092762475E-2</v>
      </c>
    </row>
    <row r="88" spans="2:5">
      <c r="B88" t="s">
        <v>890</v>
      </c>
      <c r="C88" t="s">
        <v>788</v>
      </c>
      <c r="D88" s="497" t="s">
        <v>827</v>
      </c>
      <c r="E88" s="509">
        <v>1.1787195402422766E-2</v>
      </c>
    </row>
    <row r="89" spans="2:5">
      <c r="B89" t="s">
        <v>891</v>
      </c>
      <c r="C89" t="s">
        <v>384</v>
      </c>
      <c r="D89" s="497" t="s">
        <v>815</v>
      </c>
      <c r="E89" s="509">
        <v>0.17499999999999999</v>
      </c>
    </row>
    <row r="90" spans="2:5">
      <c r="B90" t="s">
        <v>892</v>
      </c>
      <c r="C90" t="s">
        <v>791</v>
      </c>
      <c r="D90" s="497" t="s">
        <v>804</v>
      </c>
      <c r="E90" s="509">
        <v>0</v>
      </c>
    </row>
    <row r="91" spans="2:5">
      <c r="B91" t="s">
        <v>893</v>
      </c>
      <c r="C91" t="s">
        <v>788</v>
      </c>
      <c r="D91" s="497" t="s">
        <v>822</v>
      </c>
      <c r="E91" s="509">
        <v>8.3203732252395985E-3</v>
      </c>
    </row>
    <row r="92" spans="2:5">
      <c r="B92" t="s">
        <v>894</v>
      </c>
      <c r="C92" t="s">
        <v>791</v>
      </c>
      <c r="D92" s="497" t="s">
        <v>804</v>
      </c>
      <c r="E92" s="509">
        <v>0</v>
      </c>
    </row>
    <row r="93" spans="2:5">
      <c r="B93" t="s">
        <v>895</v>
      </c>
      <c r="C93" t="s">
        <v>812</v>
      </c>
      <c r="D93" s="497" t="s">
        <v>817</v>
      </c>
      <c r="E93" s="509">
        <v>5.8935977012113828E-3</v>
      </c>
    </row>
    <row r="94" spans="2:5">
      <c r="B94" t="s">
        <v>896</v>
      </c>
      <c r="C94" t="s">
        <v>788</v>
      </c>
      <c r="D94" s="497" t="s">
        <v>789</v>
      </c>
      <c r="E94" s="509">
        <v>3.5361586207268286E-2</v>
      </c>
    </row>
    <row r="95" spans="2:5">
      <c r="B95" t="s">
        <v>897</v>
      </c>
      <c r="C95" t="s">
        <v>812</v>
      </c>
      <c r="D95" s="497" t="s">
        <v>827</v>
      </c>
      <c r="E95" s="509">
        <v>1.1787195402422766E-2</v>
      </c>
    </row>
    <row r="96" spans="2:5">
      <c r="B96" t="s">
        <v>898</v>
      </c>
      <c r="C96" t="s">
        <v>812</v>
      </c>
      <c r="D96" s="497" t="s">
        <v>843</v>
      </c>
      <c r="E96" s="509">
        <v>8.851952625741015E-2</v>
      </c>
    </row>
    <row r="97" spans="2:5">
      <c r="B97" t="s">
        <v>899</v>
      </c>
      <c r="C97" t="s">
        <v>782</v>
      </c>
      <c r="D97" s="497" t="s">
        <v>843</v>
      </c>
      <c r="E97" s="509">
        <v>8.851952625741015E-2</v>
      </c>
    </row>
    <row r="98" spans="2:5">
      <c r="B98" t="s">
        <v>900</v>
      </c>
      <c r="C98" t="s">
        <v>791</v>
      </c>
      <c r="D98" s="497" t="s">
        <v>822</v>
      </c>
      <c r="E98" s="509">
        <v>8.3203732252395985E-3</v>
      </c>
    </row>
    <row r="99" spans="2:5">
      <c r="B99" t="s">
        <v>901</v>
      </c>
      <c r="C99" t="s">
        <v>782</v>
      </c>
      <c r="D99" s="497" t="s">
        <v>801</v>
      </c>
      <c r="E99" s="509">
        <v>2.160985823777507E-2</v>
      </c>
    </row>
    <row r="100" spans="2:5">
      <c r="B100" t="s">
        <v>902</v>
      </c>
      <c r="C100" t="s">
        <v>796</v>
      </c>
      <c r="D100" s="497" t="s">
        <v>873</v>
      </c>
      <c r="E100" s="509">
        <v>1.87208397567891E-2</v>
      </c>
    </row>
    <row r="101" spans="2:5">
      <c r="B101" t="s">
        <v>903</v>
      </c>
      <c r="C101" t="s">
        <v>788</v>
      </c>
      <c r="D101" s="497" t="s">
        <v>794</v>
      </c>
      <c r="E101" s="509">
        <v>6.3905088799409676E-2</v>
      </c>
    </row>
    <row r="102" spans="2:5">
      <c r="B102" t="s">
        <v>904</v>
      </c>
      <c r="C102" t="s">
        <v>812</v>
      </c>
      <c r="D102" s="497" t="s">
        <v>811</v>
      </c>
      <c r="E102" s="509">
        <v>5.4082425964057379E-2</v>
      </c>
    </row>
    <row r="103" spans="2:5">
      <c r="B103" t="s">
        <v>905</v>
      </c>
      <c r="C103" t="s">
        <v>788</v>
      </c>
      <c r="D103" s="497" t="s">
        <v>809</v>
      </c>
      <c r="E103" s="509">
        <v>4.4259763128705075E-2</v>
      </c>
    </row>
    <row r="104" spans="2:5">
      <c r="B104" t="s">
        <v>906</v>
      </c>
      <c r="C104" t="s">
        <v>800</v>
      </c>
      <c r="D104" s="497" t="s">
        <v>801</v>
      </c>
      <c r="E104" s="509">
        <v>2.160985823777507E-2</v>
      </c>
    </row>
    <row r="105" spans="2:5">
      <c r="B105" t="s">
        <v>907</v>
      </c>
      <c r="C105" t="s">
        <v>782</v>
      </c>
      <c r="D105" s="497" t="s">
        <v>829</v>
      </c>
      <c r="E105" s="509">
        <v>2.4614437458000481E-2</v>
      </c>
    </row>
    <row r="106" spans="2:5">
      <c r="B106" t="s">
        <v>908</v>
      </c>
      <c r="C106" t="s">
        <v>782</v>
      </c>
      <c r="D106" s="497" t="s">
        <v>797</v>
      </c>
      <c r="E106" s="509">
        <v>9.8342189092762475E-2</v>
      </c>
    </row>
    <row r="107" spans="2:5">
      <c r="B107" t="s">
        <v>909</v>
      </c>
      <c r="C107" t="s">
        <v>782</v>
      </c>
      <c r="D107" s="497" t="s">
        <v>809</v>
      </c>
      <c r="E107" s="509">
        <v>4.4259763128705075E-2</v>
      </c>
    </row>
    <row r="108" spans="2:5">
      <c r="B108" t="s">
        <v>910</v>
      </c>
      <c r="C108" t="s">
        <v>812</v>
      </c>
      <c r="D108" s="497" t="s">
        <v>789</v>
      </c>
      <c r="E108" s="509">
        <v>3.5361586207268286E-2</v>
      </c>
    </row>
    <row r="109" spans="2:5">
      <c r="B109" t="s">
        <v>911</v>
      </c>
      <c r="C109" t="s">
        <v>791</v>
      </c>
      <c r="D109" s="497" t="s">
        <v>804</v>
      </c>
      <c r="E109" s="509">
        <v>0</v>
      </c>
    </row>
    <row r="110" spans="2:5">
      <c r="B110" t="s">
        <v>912</v>
      </c>
      <c r="C110" t="s">
        <v>803</v>
      </c>
      <c r="D110" s="497" t="s">
        <v>804</v>
      </c>
      <c r="E110" s="509">
        <v>0</v>
      </c>
    </row>
    <row r="111" spans="2:5">
      <c r="B111" t="s">
        <v>913</v>
      </c>
      <c r="C111" t="s">
        <v>796</v>
      </c>
      <c r="D111" s="497" t="s">
        <v>811</v>
      </c>
      <c r="E111" s="509">
        <v>5.4082425964057379E-2</v>
      </c>
    </row>
    <row r="112" spans="2:5">
      <c r="B112" t="s">
        <v>914</v>
      </c>
      <c r="C112" t="s">
        <v>782</v>
      </c>
      <c r="D112" s="497" t="s">
        <v>797</v>
      </c>
      <c r="E112" s="509">
        <v>9.8342189092762475E-2</v>
      </c>
    </row>
    <row r="113" spans="2:5">
      <c r="B113" t="s">
        <v>915</v>
      </c>
      <c r="C113" t="s">
        <v>782</v>
      </c>
      <c r="D113" s="497" t="s">
        <v>794</v>
      </c>
      <c r="E113" s="509">
        <v>6.3905088799409676E-2</v>
      </c>
    </row>
    <row r="114" spans="2:5">
      <c r="B114" t="s">
        <v>916</v>
      </c>
      <c r="C114" t="s">
        <v>791</v>
      </c>
      <c r="D114" s="497" t="s">
        <v>804</v>
      </c>
      <c r="E114" s="509">
        <v>0</v>
      </c>
    </row>
    <row r="115" spans="2:5">
      <c r="B115" t="s">
        <v>917</v>
      </c>
      <c r="C115" t="s">
        <v>384</v>
      </c>
      <c r="D115" s="497" t="s">
        <v>829</v>
      </c>
      <c r="E115" s="509">
        <v>2.4614437458000481E-2</v>
      </c>
    </row>
    <row r="116" spans="2:5">
      <c r="B116" t="s">
        <v>918</v>
      </c>
      <c r="C116" t="s">
        <v>812</v>
      </c>
      <c r="D116" s="497" t="s">
        <v>843</v>
      </c>
      <c r="E116" s="509">
        <v>8.851952625741015E-2</v>
      </c>
    </row>
    <row r="117" spans="2:5">
      <c r="B117" t="s">
        <v>919</v>
      </c>
      <c r="C117" t="s">
        <v>796</v>
      </c>
      <c r="D117" s="497" t="s">
        <v>801</v>
      </c>
      <c r="E117" s="509">
        <v>2.160985823777507E-2</v>
      </c>
    </row>
    <row r="118" spans="2:5">
      <c r="B118" t="s">
        <v>920</v>
      </c>
      <c r="C118" t="s">
        <v>812</v>
      </c>
      <c r="D118" s="497" t="s">
        <v>811</v>
      </c>
      <c r="E118" s="509">
        <v>5.4082425964057379E-2</v>
      </c>
    </row>
    <row r="119" spans="2:5">
      <c r="B119" t="s">
        <v>921</v>
      </c>
      <c r="C119" t="s">
        <v>796</v>
      </c>
      <c r="D119" s="497" t="s">
        <v>801</v>
      </c>
      <c r="E119" s="509">
        <v>2.160985823777507E-2</v>
      </c>
    </row>
    <row r="120" spans="2:5">
      <c r="B120" t="s">
        <v>922</v>
      </c>
      <c r="C120" t="s">
        <v>796</v>
      </c>
      <c r="D120" s="497" t="s">
        <v>792</v>
      </c>
      <c r="E120" s="509">
        <v>1.5716260536563685E-2</v>
      </c>
    </row>
    <row r="121" spans="2:5">
      <c r="B121" t="s">
        <v>923</v>
      </c>
      <c r="C121" t="s">
        <v>812</v>
      </c>
      <c r="D121" s="497" t="s">
        <v>873</v>
      </c>
      <c r="E121" s="509">
        <v>1.87208397567891E-2</v>
      </c>
    </row>
    <row r="122" spans="2:5">
      <c r="B122" t="s">
        <v>924</v>
      </c>
      <c r="C122" t="s">
        <v>788</v>
      </c>
      <c r="D122" s="497" t="s">
        <v>822</v>
      </c>
      <c r="E122" s="509">
        <v>8.3203732252395985E-3</v>
      </c>
    </row>
    <row r="123" spans="2:5">
      <c r="B123" t="s">
        <v>925</v>
      </c>
      <c r="C123" t="s">
        <v>791</v>
      </c>
      <c r="D123" s="497" t="s">
        <v>827</v>
      </c>
      <c r="E123" s="509">
        <v>1.1787195402422766E-2</v>
      </c>
    </row>
    <row r="124" spans="2:5">
      <c r="B124" t="s">
        <v>926</v>
      </c>
      <c r="C124" t="s">
        <v>384</v>
      </c>
      <c r="D124" s="497" t="s">
        <v>786</v>
      </c>
      <c r="E124" s="509">
        <v>4.8535510480564323E-3</v>
      </c>
    </row>
    <row r="125" spans="2:5">
      <c r="B125" t="s">
        <v>927</v>
      </c>
      <c r="C125" t="s">
        <v>384</v>
      </c>
      <c r="D125" s="497" t="s">
        <v>827</v>
      </c>
      <c r="E125" s="509">
        <v>1.1787195402422766E-2</v>
      </c>
    </row>
    <row r="126" spans="2:5">
      <c r="B126" t="s">
        <v>928</v>
      </c>
      <c r="C126" t="s">
        <v>788</v>
      </c>
      <c r="D126" s="497" t="s">
        <v>801</v>
      </c>
      <c r="E126" s="509">
        <v>2.160985823777507E-2</v>
      </c>
    </row>
    <row r="127" spans="2:5">
      <c r="B127" t="s">
        <v>929</v>
      </c>
      <c r="C127" t="s">
        <v>782</v>
      </c>
      <c r="D127" s="497" t="s">
        <v>811</v>
      </c>
      <c r="E127" s="509">
        <v>5.4082425964057379E-2</v>
      </c>
    </row>
    <row r="128" spans="2:5">
      <c r="B128" t="s">
        <v>930</v>
      </c>
      <c r="C128" t="s">
        <v>384</v>
      </c>
      <c r="D128" s="497" t="s">
        <v>817</v>
      </c>
      <c r="E128" s="509">
        <v>5.8935977012113828E-3</v>
      </c>
    </row>
    <row r="129" spans="2:5">
      <c r="B129" t="s">
        <v>931</v>
      </c>
      <c r="C129" t="s">
        <v>782</v>
      </c>
      <c r="D129" s="497" t="s">
        <v>794</v>
      </c>
      <c r="E129" s="509">
        <v>6.3905088799409676E-2</v>
      </c>
    </row>
    <row r="130" spans="2:5">
      <c r="B130" t="s">
        <v>932</v>
      </c>
      <c r="C130" t="s">
        <v>788</v>
      </c>
      <c r="D130" s="497" t="s">
        <v>847</v>
      </c>
      <c r="E130" s="509">
        <v>2.9583549245296346E-2</v>
      </c>
    </row>
    <row r="131" spans="2:5">
      <c r="B131" t="s">
        <v>933</v>
      </c>
      <c r="C131" t="s">
        <v>384</v>
      </c>
      <c r="D131" s="497" t="s">
        <v>829</v>
      </c>
      <c r="E131" s="509">
        <v>2.4614437458000481E-2</v>
      </c>
    </row>
    <row r="132" spans="2:5">
      <c r="B132" t="s">
        <v>934</v>
      </c>
      <c r="C132" t="s">
        <v>812</v>
      </c>
      <c r="D132" s="497" t="s">
        <v>804</v>
      </c>
      <c r="E132" s="509">
        <v>0</v>
      </c>
    </row>
    <row r="133" spans="2:5">
      <c r="B133" t="s">
        <v>935</v>
      </c>
      <c r="C133" t="s">
        <v>788</v>
      </c>
      <c r="D133" s="497" t="s">
        <v>827</v>
      </c>
      <c r="E133" s="509">
        <v>1.1787195402422766E-2</v>
      </c>
    </row>
    <row r="134" spans="2:5">
      <c r="B134" t="s">
        <v>936</v>
      </c>
      <c r="C134" t="s">
        <v>788</v>
      </c>
      <c r="D134" s="497" t="s">
        <v>827</v>
      </c>
      <c r="E134" s="509">
        <v>1.1787195402422766E-2</v>
      </c>
    </row>
    <row r="135" spans="2:5">
      <c r="B135" t="s">
        <v>937</v>
      </c>
      <c r="C135" t="s">
        <v>812</v>
      </c>
      <c r="D135" s="497" t="s">
        <v>819</v>
      </c>
      <c r="E135" s="509">
        <v>7.3727751634761987E-2</v>
      </c>
    </row>
    <row r="136" spans="2:5">
      <c r="B136" t="s">
        <v>535</v>
      </c>
      <c r="C136" t="s">
        <v>782</v>
      </c>
      <c r="D136" s="497" t="s">
        <v>847</v>
      </c>
      <c r="E136" s="509">
        <v>2.9583549245296346E-2</v>
      </c>
    </row>
    <row r="137" spans="2:5">
      <c r="B137" t="s">
        <v>938</v>
      </c>
      <c r="C137" t="s">
        <v>791</v>
      </c>
      <c r="D137" s="497" t="s">
        <v>792</v>
      </c>
      <c r="E137" s="509">
        <v>1.5716260536563685E-2</v>
      </c>
    </row>
    <row r="138" spans="2:5">
      <c r="B138" t="s">
        <v>939</v>
      </c>
      <c r="C138" t="s">
        <v>812</v>
      </c>
      <c r="D138" s="497" t="s">
        <v>824</v>
      </c>
      <c r="E138" s="509">
        <v>0.11798751476346708</v>
      </c>
    </row>
    <row r="139" spans="2:5">
      <c r="B139" t="s">
        <v>940</v>
      </c>
      <c r="C139" t="s">
        <v>800</v>
      </c>
      <c r="D139" s="497" t="s">
        <v>847</v>
      </c>
      <c r="E139" s="509">
        <v>2.9583549245296346E-2</v>
      </c>
    </row>
    <row r="140" spans="2:5">
      <c r="B140" t="s">
        <v>941</v>
      </c>
      <c r="C140" t="s">
        <v>800</v>
      </c>
      <c r="D140" s="497" t="s">
        <v>794</v>
      </c>
      <c r="E140" s="509">
        <v>6.3905088799409676E-2</v>
      </c>
    </row>
    <row r="141" spans="2:5">
      <c r="B141" t="s">
        <v>942</v>
      </c>
      <c r="C141" t="s">
        <v>796</v>
      </c>
      <c r="D141" s="497" t="s">
        <v>819</v>
      </c>
      <c r="E141" s="509">
        <v>7.3727751634761987E-2</v>
      </c>
    </row>
    <row r="142" spans="2:5">
      <c r="B142" t="s">
        <v>943</v>
      </c>
      <c r="C142" t="s">
        <v>782</v>
      </c>
      <c r="D142" s="497" t="s">
        <v>811</v>
      </c>
      <c r="E142" s="509">
        <v>5.4082425964057379E-2</v>
      </c>
    </row>
    <row r="143" spans="2:5">
      <c r="B143" t="s">
        <v>944</v>
      </c>
      <c r="C143" t="s">
        <v>791</v>
      </c>
      <c r="D143" s="497" t="s">
        <v>804</v>
      </c>
      <c r="E143" s="509">
        <v>0</v>
      </c>
    </row>
    <row r="144" spans="2:5">
      <c r="B144" t="s">
        <v>945</v>
      </c>
      <c r="C144" t="s">
        <v>791</v>
      </c>
      <c r="D144" s="497" t="s">
        <v>804</v>
      </c>
      <c r="E144" s="509">
        <v>0</v>
      </c>
    </row>
    <row r="145" spans="2:5">
      <c r="B145" t="s">
        <v>946</v>
      </c>
      <c r="C145" t="s">
        <v>812</v>
      </c>
      <c r="D145" s="497" t="s">
        <v>817</v>
      </c>
      <c r="E145" s="509">
        <v>5.8935977012113828E-3</v>
      </c>
    </row>
    <row r="146" spans="2:5">
      <c r="B146" t="s">
        <v>947</v>
      </c>
      <c r="C146" t="s">
        <v>788</v>
      </c>
      <c r="D146" s="497" t="s">
        <v>794</v>
      </c>
      <c r="E146" s="509">
        <v>6.3905088799409676E-2</v>
      </c>
    </row>
    <row r="147" spans="2:5">
      <c r="B147" t="s">
        <v>948</v>
      </c>
      <c r="C147" t="s">
        <v>782</v>
      </c>
      <c r="D147" s="497" t="s">
        <v>809</v>
      </c>
      <c r="E147" s="509">
        <v>4.4259763128705075E-2</v>
      </c>
    </row>
    <row r="148" spans="2:5">
      <c r="B148" t="s">
        <v>949</v>
      </c>
      <c r="C148" t="s">
        <v>812</v>
      </c>
      <c r="D148" s="497" t="s">
        <v>792</v>
      </c>
      <c r="E148" s="509">
        <v>1.5716260536563685E-2</v>
      </c>
    </row>
    <row r="149" spans="2:5">
      <c r="B149" t="s">
        <v>950</v>
      </c>
      <c r="C149" t="s">
        <v>782</v>
      </c>
      <c r="D149" s="497" t="s">
        <v>794</v>
      </c>
      <c r="E149" s="509">
        <v>6.3905088799409676E-2</v>
      </c>
    </row>
    <row r="150" spans="2:5">
      <c r="B150" t="s">
        <v>951</v>
      </c>
      <c r="C150" t="s">
        <v>800</v>
      </c>
      <c r="D150" s="497" t="s">
        <v>847</v>
      </c>
      <c r="E150" s="509">
        <v>2.9583549245296346E-2</v>
      </c>
    </row>
    <row r="151" spans="2:5">
      <c r="B151" t="s">
        <v>952</v>
      </c>
      <c r="C151" t="s">
        <v>782</v>
      </c>
      <c r="D151" s="497" t="s">
        <v>819</v>
      </c>
      <c r="E151" s="509">
        <v>7.3727751634761987E-2</v>
      </c>
    </row>
    <row r="152" spans="2:5">
      <c r="B152" t="s">
        <v>953</v>
      </c>
      <c r="C152" t="s">
        <v>791</v>
      </c>
      <c r="D152" s="497" t="s">
        <v>809</v>
      </c>
      <c r="E152" s="509">
        <v>4.4259763128705075E-2</v>
      </c>
    </row>
    <row r="153" spans="2:5">
      <c r="B153" t="s">
        <v>954</v>
      </c>
      <c r="C153" t="s">
        <v>800</v>
      </c>
      <c r="D153" s="497" t="s">
        <v>792</v>
      </c>
      <c r="E153" s="509">
        <v>1.5716260536563685E-2</v>
      </c>
    </row>
    <row r="154" spans="2:5">
      <c r="B154" t="s">
        <v>955</v>
      </c>
      <c r="C154" t="s">
        <v>782</v>
      </c>
      <c r="D154" s="497" t="s">
        <v>794</v>
      </c>
      <c r="E154" s="509">
        <v>6.3905088799409676E-2</v>
      </c>
    </row>
    <row r="155" spans="2:5">
      <c r="B155" t="s">
        <v>956</v>
      </c>
      <c r="C155" t="s">
        <v>788</v>
      </c>
      <c r="D155" s="497" t="s">
        <v>824</v>
      </c>
      <c r="E155" s="509">
        <v>0.11798751476346708</v>
      </c>
    </row>
    <row r="156" spans="2:5">
      <c r="B156" t="s">
        <v>957</v>
      </c>
      <c r="C156" t="s">
        <v>384</v>
      </c>
      <c r="D156" s="497" t="s">
        <v>786</v>
      </c>
      <c r="E156" s="509">
        <v>4.8535510480564323E-3</v>
      </c>
    </row>
    <row r="157" spans="2:5">
      <c r="B157" t="s">
        <v>960</v>
      </c>
      <c r="C157" t="s">
        <v>796</v>
      </c>
      <c r="D157" s="497" t="s">
        <v>792</v>
      </c>
      <c r="E157" s="509">
        <v>1.5716260536563685E-2</v>
      </c>
    </row>
    <row r="158" spans="2:5">
      <c r="B158" t="s">
        <v>961</v>
      </c>
      <c r="C158" t="s">
        <v>788</v>
      </c>
      <c r="D158" s="497" t="s">
        <v>789</v>
      </c>
      <c r="E158" s="509">
        <v>3.5361586207268286E-2</v>
      </c>
    </row>
    <row r="159" spans="2:5">
      <c r="B159" t="s">
        <v>962</v>
      </c>
      <c r="C159" t="s">
        <v>796</v>
      </c>
      <c r="D159" s="497" t="s">
        <v>815</v>
      </c>
      <c r="E159" s="509">
        <v>0.17499999999999999</v>
      </c>
    </row>
    <row r="160" spans="2:5">
      <c r="B160" t="s">
        <v>536</v>
      </c>
      <c r="C160" t="s">
        <v>812</v>
      </c>
      <c r="D160" s="497" t="s">
        <v>847</v>
      </c>
      <c r="E160" s="509">
        <v>2.9583549245296346E-2</v>
      </c>
    </row>
    <row r="161" spans="2:5">
      <c r="B161" t="s">
        <v>963</v>
      </c>
      <c r="C161" t="s">
        <v>782</v>
      </c>
      <c r="D161" s="497" t="s">
        <v>843</v>
      </c>
      <c r="E161" s="509">
        <v>8.851952625741015E-2</v>
      </c>
    </row>
  </sheetData>
  <mergeCells count="1">
    <mergeCell ref="L5:M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63026-F127-488A-BBF0-C781C92F2DD7}">
  <sheetPr codeName="Sheet3"/>
  <dimension ref="A2:AK756"/>
  <sheetViews>
    <sheetView showGridLines="0" topLeftCell="A641" zoomScaleNormal="100" workbookViewId="0">
      <selection activeCell="B651" sqref="B651:I652"/>
    </sheetView>
  </sheetViews>
  <sheetFormatPr defaultRowHeight="14.4"/>
  <cols>
    <col min="1" max="1" width="2.77734375" customWidth="1"/>
    <col min="2" max="2" width="36.88671875" customWidth="1"/>
    <col min="3" max="3" width="21.44140625" customWidth="1"/>
    <col min="4" max="4" width="14.33203125" customWidth="1"/>
    <col min="5" max="10" width="12.77734375" customWidth="1"/>
    <col min="11" max="12" width="12.77734375" style="336" customWidth="1"/>
    <col min="13" max="13" width="12.77734375" customWidth="1"/>
    <col min="14" max="14" width="16.77734375" customWidth="1"/>
    <col min="15" max="15" width="13.5546875" customWidth="1"/>
    <col min="16" max="16" width="13.6640625" customWidth="1"/>
    <col min="17" max="17" width="10.21875" bestFit="1" customWidth="1"/>
    <col min="18" max="18" width="23.109375" bestFit="1" customWidth="1"/>
    <col min="19" max="25" width="10.21875" bestFit="1" customWidth="1"/>
  </cols>
  <sheetData>
    <row r="2" spans="1:12" ht="21">
      <c r="A2" s="369" t="s">
        <v>21</v>
      </c>
      <c r="B2" s="228" t="s">
        <v>291</v>
      </c>
    </row>
    <row r="4" spans="1:12" ht="15.6">
      <c r="B4" s="370" t="s">
        <v>292</v>
      </c>
    </row>
    <row r="5" spans="1:12">
      <c r="C5" s="138"/>
      <c r="D5" s="138"/>
      <c r="E5" s="138"/>
      <c r="F5" s="138"/>
      <c r="G5" s="138"/>
      <c r="H5" s="138"/>
      <c r="I5" s="138"/>
      <c r="J5" s="138"/>
      <c r="K5" s="337" t="s">
        <v>64</v>
      </c>
      <c r="L5" s="337"/>
    </row>
    <row r="6" spans="1:12" ht="15.6">
      <c r="B6" s="11" t="str">
        <f>'P&amp;l 25-24'!B3</f>
        <v>Particulars</v>
      </c>
      <c r="C6" s="401">
        <f>'P&amp;l 25-24'!D3</f>
        <v>43525</v>
      </c>
      <c r="D6" s="401">
        <f>'P&amp;l 25-24'!E3</f>
        <v>43891</v>
      </c>
      <c r="E6" s="401">
        <f>'P&amp;l 25-24'!F3</f>
        <v>44256</v>
      </c>
      <c r="F6" s="401">
        <f>'P&amp;l 25-24'!G3</f>
        <v>44621</v>
      </c>
      <c r="G6" s="401">
        <f>'P&amp;l 25-24'!H3</f>
        <v>44986</v>
      </c>
      <c r="H6" s="401">
        <f>'P&amp;l 25-24'!I3</f>
        <v>45382</v>
      </c>
      <c r="I6" s="401">
        <f>'P&amp;l 25-24'!J3</f>
        <v>45717</v>
      </c>
      <c r="J6" s="289"/>
      <c r="K6" s="337" t="s">
        <v>295</v>
      </c>
      <c r="L6" s="337" t="s">
        <v>296</v>
      </c>
    </row>
    <row r="7" spans="1:12">
      <c r="B7" s="102" t="s">
        <v>294</v>
      </c>
      <c r="C7" s="141">
        <v>7334</v>
      </c>
      <c r="D7" s="141">
        <v>7315</v>
      </c>
      <c r="E7" s="141">
        <v>8048</v>
      </c>
      <c r="F7" s="141">
        <v>9512</v>
      </c>
      <c r="G7" s="141">
        <v>9764</v>
      </c>
      <c r="H7" s="141">
        <v>9653</v>
      </c>
      <c r="I7" s="141">
        <v>10831</v>
      </c>
      <c r="J7" s="141"/>
      <c r="K7" s="338">
        <f>_xlfn.RRI(3,F7,I7)</f>
        <v>4.423658505185224E-2</v>
      </c>
      <c r="L7" s="338">
        <f>_xlfn.RRI(5,D7,I7)</f>
        <v>8.1660187706478649E-2</v>
      </c>
    </row>
    <row r="8" spans="1:12">
      <c r="B8" t="s">
        <v>293</v>
      </c>
      <c r="C8" s="44">
        <f>'P&amp;l 25-24'!D8</f>
        <v>0.1600759253400823</v>
      </c>
      <c r="D8" s="44">
        <f>'P&amp;l 25-24'!E8</f>
        <v>-2.5906735751295429E-3</v>
      </c>
      <c r="E8" s="44">
        <f>'P&amp;l 25-24'!F8</f>
        <v>0.10020505809979485</v>
      </c>
      <c r="F8" s="44">
        <f>'P&amp;l 25-24'!G8</f>
        <v>0.18190854870775341</v>
      </c>
      <c r="G8" s="44">
        <f>'P&amp;l 25-24'!H8</f>
        <v>2.6492851135407891E-2</v>
      </c>
      <c r="H8" s="44">
        <f>'P&amp;l 25-24'!I8</f>
        <v>-1.1368291683736209E-2</v>
      </c>
      <c r="I8" s="44">
        <f>'P&amp;l 25-24'!J8</f>
        <v>0.12203460064228744</v>
      </c>
      <c r="J8" s="44"/>
    </row>
    <row r="11" spans="1:12" ht="15.6">
      <c r="B11" s="371" t="s">
        <v>358</v>
      </c>
    </row>
    <row r="12" spans="1:12">
      <c r="B12" s="142"/>
    </row>
    <row r="13" spans="1:12">
      <c r="B13" s="379" t="s">
        <v>343</v>
      </c>
      <c r="C13" s="149" t="s">
        <v>311</v>
      </c>
    </row>
    <row r="15" spans="1:12">
      <c r="B15" s="207" t="s">
        <v>298</v>
      </c>
      <c r="C15" s="142" t="s">
        <v>297</v>
      </c>
    </row>
    <row r="16" spans="1:12">
      <c r="B16" s="373" t="s">
        <v>306</v>
      </c>
      <c r="C16" s="143" t="s">
        <v>307</v>
      </c>
      <c r="D16" s="143" t="s">
        <v>308</v>
      </c>
    </row>
    <row r="17" spans="2:4">
      <c r="B17" s="373" t="s">
        <v>299</v>
      </c>
      <c r="C17" s="145" t="s">
        <v>301</v>
      </c>
      <c r="D17" s="144" t="s">
        <v>300</v>
      </c>
    </row>
    <row r="18" spans="2:4">
      <c r="B18" s="375" t="s">
        <v>302</v>
      </c>
      <c r="C18" s="143" t="s">
        <v>303</v>
      </c>
      <c r="D18" s="146" t="s">
        <v>309</v>
      </c>
    </row>
    <row r="19" spans="2:4">
      <c r="B19" s="373" t="s">
        <v>304</v>
      </c>
      <c r="C19" s="143" t="s">
        <v>305</v>
      </c>
      <c r="D19" s="146" t="s">
        <v>310</v>
      </c>
    </row>
    <row r="20" spans="2:4">
      <c r="B20" s="147"/>
      <c r="D20" s="148"/>
    </row>
    <row r="22" spans="2:4">
      <c r="B22" s="11" t="s">
        <v>312</v>
      </c>
      <c r="C22" s="151" t="s">
        <v>322</v>
      </c>
    </row>
    <row r="23" spans="2:4">
      <c r="B23" s="373" t="s">
        <v>681</v>
      </c>
      <c r="C23" s="142" t="s">
        <v>314</v>
      </c>
      <c r="D23" s="142" t="s">
        <v>315</v>
      </c>
    </row>
    <row r="24" spans="2:4">
      <c r="B24" s="207" t="s">
        <v>317</v>
      </c>
      <c r="C24" s="142" t="s">
        <v>316</v>
      </c>
    </row>
    <row r="25" spans="2:4">
      <c r="B25" s="373" t="s">
        <v>320</v>
      </c>
      <c r="C25" s="165" t="s">
        <v>319</v>
      </c>
    </row>
    <row r="26" spans="2:4">
      <c r="B26" s="207" t="s">
        <v>318</v>
      </c>
      <c r="C26" s="142" t="s">
        <v>321</v>
      </c>
    </row>
    <row r="28" spans="2:4">
      <c r="B28" s="11" t="s">
        <v>323</v>
      </c>
      <c r="C28" s="151" t="s">
        <v>329</v>
      </c>
    </row>
    <row r="29" spans="2:4">
      <c r="B29" s="374" t="s">
        <v>328</v>
      </c>
      <c r="C29" s="165" t="s">
        <v>324</v>
      </c>
    </row>
    <row r="30" spans="2:4">
      <c r="B30" s="374" t="s">
        <v>327</v>
      </c>
      <c r="C30" s="165" t="s">
        <v>325</v>
      </c>
    </row>
    <row r="31" spans="2:4">
      <c r="B31" s="374" t="s">
        <v>326</v>
      </c>
      <c r="C31" s="166">
        <v>0.17330000000000001</v>
      </c>
    </row>
    <row r="33" spans="2:37">
      <c r="B33" s="380" t="s">
        <v>331</v>
      </c>
      <c r="C33" s="151" t="s">
        <v>330</v>
      </c>
    </row>
    <row r="34" spans="2:37">
      <c r="B34" s="207" t="s">
        <v>332</v>
      </c>
      <c r="C34" s="142" t="s">
        <v>406</v>
      </c>
      <c r="D34" s="142" t="s">
        <v>407</v>
      </c>
    </row>
    <row r="36" spans="2:37" ht="15.6">
      <c r="B36" s="372" t="s">
        <v>359</v>
      </c>
    </row>
    <row r="38" spans="2:37">
      <c r="B38" s="11" t="s">
        <v>341</v>
      </c>
      <c r="C38" s="151" t="s">
        <v>340</v>
      </c>
    </row>
    <row r="39" spans="2:37">
      <c r="B39" s="376" t="s">
        <v>42</v>
      </c>
      <c r="C39" s="167" t="s">
        <v>333</v>
      </c>
      <c r="D39" s="167" t="s">
        <v>334</v>
      </c>
    </row>
    <row r="40" spans="2:37">
      <c r="B40" s="376" t="s">
        <v>335</v>
      </c>
      <c r="C40" s="167" t="s">
        <v>336</v>
      </c>
      <c r="D40" s="168"/>
    </row>
    <row r="41" spans="2:37">
      <c r="B41" s="376" t="s">
        <v>337</v>
      </c>
      <c r="C41" s="167" t="s">
        <v>338</v>
      </c>
      <c r="D41" s="168"/>
    </row>
    <row r="42" spans="2:37">
      <c r="B42" s="376" t="s">
        <v>342</v>
      </c>
      <c r="C42" s="167" t="s">
        <v>339</v>
      </c>
      <c r="D42" s="168"/>
    </row>
    <row r="45" spans="2:37">
      <c r="B45" s="379" t="s">
        <v>343</v>
      </c>
      <c r="C45" s="151" t="s">
        <v>344</v>
      </c>
    </row>
    <row r="46" spans="2:37">
      <c r="AK46" t="s">
        <v>348</v>
      </c>
    </row>
    <row r="47" spans="2:37">
      <c r="B47" s="377" t="s">
        <v>345</v>
      </c>
      <c r="C47" s="167" t="s">
        <v>346</v>
      </c>
      <c r="D47" s="167" t="s">
        <v>347</v>
      </c>
    </row>
    <row r="50" spans="2:3" ht="15.6">
      <c r="B50" s="137" t="s">
        <v>360</v>
      </c>
    </row>
    <row r="52" spans="2:3">
      <c r="B52" s="11" t="s">
        <v>323</v>
      </c>
      <c r="C52" s="151" t="s">
        <v>357</v>
      </c>
    </row>
    <row r="54" spans="2:3">
      <c r="B54" s="378" t="s">
        <v>328</v>
      </c>
      <c r="C54" s="168" t="s">
        <v>349</v>
      </c>
    </row>
    <row r="55" spans="2:3">
      <c r="B55" s="378" t="s">
        <v>327</v>
      </c>
      <c r="C55" s="168" t="s">
        <v>350</v>
      </c>
    </row>
    <row r="56" spans="2:3">
      <c r="B56" s="378" t="s">
        <v>326</v>
      </c>
      <c r="C56" s="169">
        <v>1.3100000000000001E-2</v>
      </c>
    </row>
    <row r="59" spans="2:3">
      <c r="B59" s="381" t="s">
        <v>356</v>
      </c>
      <c r="C59" s="151" t="s">
        <v>351</v>
      </c>
    </row>
    <row r="61" spans="2:3">
      <c r="B61" s="142" t="s">
        <v>352</v>
      </c>
      <c r="C61" s="142" t="s">
        <v>408</v>
      </c>
    </row>
    <row r="62" spans="2:3">
      <c r="B62" s="142" t="s">
        <v>353</v>
      </c>
      <c r="C62" s="142" t="s">
        <v>354</v>
      </c>
    </row>
    <row r="63" spans="2:3">
      <c r="B63" s="165"/>
      <c r="C63" s="142" t="s">
        <v>355</v>
      </c>
    </row>
    <row r="66" spans="2:11" ht="15.6">
      <c r="B66" s="137" t="s">
        <v>464</v>
      </c>
    </row>
    <row r="68" spans="2:11" ht="14.4" customHeight="1">
      <c r="B68" s="668" t="s">
        <v>361</v>
      </c>
      <c r="C68" s="668"/>
      <c r="D68" s="668"/>
      <c r="E68" s="668"/>
      <c r="F68" s="668"/>
      <c r="G68" s="668"/>
      <c r="H68" s="668"/>
      <c r="I68" s="668"/>
      <c r="J68" s="320"/>
    </row>
    <row r="69" spans="2:11">
      <c r="B69" s="668"/>
      <c r="C69" s="668"/>
      <c r="D69" s="668"/>
      <c r="E69" s="668"/>
      <c r="F69" s="668"/>
      <c r="G69" s="668"/>
      <c r="H69" s="668"/>
      <c r="I69" s="668"/>
      <c r="J69" s="320"/>
    </row>
    <row r="70" spans="2:11">
      <c r="B70" s="668"/>
      <c r="C70" s="668"/>
      <c r="D70" s="668"/>
      <c r="E70" s="668"/>
      <c r="F70" s="668"/>
      <c r="G70" s="668"/>
      <c r="H70" s="668"/>
      <c r="I70" s="668"/>
      <c r="J70" s="320"/>
    </row>
    <row r="72" spans="2:11">
      <c r="B72" s="209" t="s">
        <v>465</v>
      </c>
    </row>
    <row r="73" spans="2:11">
      <c r="B73" s="209" t="s">
        <v>466</v>
      </c>
    </row>
    <row r="74" spans="2:11">
      <c r="B74" s="669" t="s">
        <v>467</v>
      </c>
      <c r="C74" s="669"/>
      <c r="D74" s="669"/>
      <c r="E74" s="669"/>
      <c r="F74" s="669"/>
      <c r="G74" s="669"/>
      <c r="H74" s="669"/>
      <c r="I74" s="669"/>
      <c r="J74" s="669"/>
      <c r="K74" s="669"/>
    </row>
    <row r="75" spans="2:11">
      <c r="B75" s="669"/>
      <c r="C75" s="669"/>
      <c r="D75" s="669"/>
      <c r="E75" s="669"/>
      <c r="F75" s="669"/>
      <c r="G75" s="669"/>
      <c r="H75" s="669"/>
      <c r="I75" s="669"/>
      <c r="J75" s="669"/>
      <c r="K75" s="669"/>
    </row>
    <row r="76" spans="2:11">
      <c r="B76" s="208" t="s">
        <v>362</v>
      </c>
    </row>
    <row r="77" spans="2:11">
      <c r="B77" s="209" t="s">
        <v>468</v>
      </c>
    </row>
    <row r="78" spans="2:11">
      <c r="B78" s="209" t="s">
        <v>469</v>
      </c>
    </row>
    <row r="79" spans="2:11">
      <c r="B79" s="209" t="s">
        <v>363</v>
      </c>
    </row>
    <row r="80" spans="2:11">
      <c r="B80" s="209" t="s">
        <v>364</v>
      </c>
    </row>
    <row r="81" spans="2:2">
      <c r="B81" s="209" t="s">
        <v>365</v>
      </c>
    </row>
    <row r="82" spans="2:2">
      <c r="B82" s="209" t="s">
        <v>366</v>
      </c>
    </row>
    <row r="83" spans="2:2">
      <c r="B83" s="209" t="s">
        <v>367</v>
      </c>
    </row>
    <row r="84" spans="2:2">
      <c r="B84" s="210" t="s">
        <v>368</v>
      </c>
    </row>
    <row r="85" spans="2:2">
      <c r="B85" s="210" t="s">
        <v>369</v>
      </c>
    </row>
    <row r="86" spans="2:2">
      <c r="B86" s="210" t="s">
        <v>370</v>
      </c>
    </row>
    <row r="97" spans="1:12">
      <c r="B97" s="210"/>
      <c r="C97" s="210"/>
      <c r="D97" s="210"/>
      <c r="E97" s="210"/>
    </row>
    <row r="98" spans="1:12">
      <c r="B98" s="210"/>
      <c r="C98" s="210"/>
      <c r="D98" s="210"/>
      <c r="E98" s="210"/>
    </row>
    <row r="99" spans="1:12">
      <c r="B99" s="210"/>
      <c r="C99" s="210"/>
      <c r="D99" s="210"/>
      <c r="E99" s="210"/>
    </row>
    <row r="100" spans="1:12">
      <c r="B100" s="210"/>
      <c r="C100" s="210"/>
      <c r="D100" s="210"/>
      <c r="E100" s="210"/>
    </row>
    <row r="101" spans="1:12">
      <c r="B101" s="210"/>
      <c r="C101" s="210"/>
      <c r="D101" s="210"/>
      <c r="E101" s="210"/>
    </row>
    <row r="102" spans="1:12">
      <c r="B102" s="210"/>
      <c r="C102" s="210"/>
      <c r="D102" s="210"/>
      <c r="E102" s="210"/>
    </row>
    <row r="103" spans="1:12">
      <c r="B103" s="210"/>
      <c r="C103" s="210"/>
      <c r="D103" s="210"/>
      <c r="E103" s="210"/>
    </row>
    <row r="104" spans="1:12" ht="21">
      <c r="A104" s="382" t="s">
        <v>21</v>
      </c>
      <c r="B104" s="228" t="s">
        <v>409</v>
      </c>
    </row>
    <row r="106" spans="1:12" ht="15.6">
      <c r="B106" s="139" t="s">
        <v>292</v>
      </c>
      <c r="C106" s="139"/>
      <c r="D106" s="139"/>
      <c r="E106" s="139"/>
      <c r="F106" s="139"/>
      <c r="G106" s="139"/>
      <c r="H106" s="139"/>
      <c r="I106" s="139"/>
    </row>
    <row r="107" spans="1:12">
      <c r="C107" s="138"/>
      <c r="D107" s="138"/>
      <c r="E107" s="138"/>
      <c r="F107" s="138"/>
      <c r="G107" s="138"/>
      <c r="H107" s="138"/>
      <c r="I107" s="138"/>
      <c r="J107" s="138"/>
      <c r="K107" s="337" t="s">
        <v>64</v>
      </c>
      <c r="L107" s="337"/>
    </row>
    <row r="108" spans="1:12" ht="15.6">
      <c r="B108" s="11" t="s">
        <v>154</v>
      </c>
      <c r="C108" s="401">
        <f>'P&amp;l 25-24'!D3</f>
        <v>43525</v>
      </c>
      <c r="D108" s="401">
        <f>'P&amp;l 25-24'!E3</f>
        <v>43891</v>
      </c>
      <c r="E108" s="401">
        <f>'P&amp;l 25-24'!F3</f>
        <v>44256</v>
      </c>
      <c r="F108" s="401">
        <f>'P&amp;l 25-24'!G3</f>
        <v>44621</v>
      </c>
      <c r="G108" s="401">
        <f>'P&amp;l 25-24'!H3</f>
        <v>44986</v>
      </c>
      <c r="H108" s="401">
        <f>'P&amp;l 25-24'!I3</f>
        <v>45382</v>
      </c>
      <c r="I108" s="401">
        <f>'P&amp;l 25-24'!J3</f>
        <v>45717</v>
      </c>
      <c r="J108" s="289"/>
      <c r="K108" s="337" t="s">
        <v>416</v>
      </c>
      <c r="L108" s="337" t="s">
        <v>417</v>
      </c>
    </row>
    <row r="109" spans="1:12">
      <c r="B109" s="102" t="s">
        <v>410</v>
      </c>
      <c r="C109" s="175">
        <f>'P&amp;l 25-24'!D23</f>
        <v>0.45227706572129811</v>
      </c>
      <c r="D109" s="175">
        <f>'P&amp;l 25-24'!E23</f>
        <v>0.48803827751196172</v>
      </c>
      <c r="E109" s="175">
        <f>'P&amp;l 25-24'!F23</f>
        <v>0.46943339960238573</v>
      </c>
      <c r="F109" s="175">
        <f>'P&amp;l 25-24'!G23</f>
        <v>0.42851135407905805</v>
      </c>
      <c r="G109" s="175">
        <f>'P&amp;l 25-24'!H23</f>
        <v>0.45196640721015979</v>
      </c>
      <c r="H109" s="175">
        <f>'P&amp;l 25-24'!I23</f>
        <v>0.50813218688490625</v>
      </c>
      <c r="I109" s="175">
        <f>'P&amp;l 25-24'!J23</f>
        <v>0.50253900840180954</v>
      </c>
      <c r="J109" s="71"/>
      <c r="K109" s="338">
        <f>MEDIAN(C109:I109)</f>
        <v>0.46943339960238573</v>
      </c>
      <c r="L109" s="338">
        <f>AVERAGE(C109:I109)</f>
        <v>0.47155681420165418</v>
      </c>
    </row>
    <row r="110" spans="1:12">
      <c r="B110" t="s">
        <v>411</v>
      </c>
      <c r="C110" s="53">
        <f>'P&amp;l 25-24'!D126</f>
        <v>0</v>
      </c>
      <c r="D110" s="53">
        <f>D109/C109-1</f>
        <v>7.9069257543782578E-2</v>
      </c>
      <c r="E110" s="53">
        <f t="shared" ref="E110:H110" si="0">E109/D109-1</f>
        <v>-3.812175963824882E-2</v>
      </c>
      <c r="F110" s="53">
        <f t="shared" si="0"/>
        <v>-8.7173272200037344E-2</v>
      </c>
      <c r="G110" s="53">
        <f t="shared" si="0"/>
        <v>5.4736129878076412E-2</v>
      </c>
      <c r="H110" s="53">
        <f t="shared" si="0"/>
        <v>0.12426981027514716</v>
      </c>
      <c r="I110" s="153">
        <f>I109/H109-1</f>
        <v>-1.1007329642677366E-2</v>
      </c>
      <c r="J110" s="153"/>
      <c r="K110" s="339">
        <f>MEDIAN(D110:I110)</f>
        <v>2.1864400117699523E-2</v>
      </c>
    </row>
    <row r="113" spans="2:4">
      <c r="B113" t="s">
        <v>419</v>
      </c>
    </row>
    <row r="116" spans="2:4" ht="15.6">
      <c r="B116" s="137" t="s">
        <v>420</v>
      </c>
    </row>
    <row r="118" spans="2:4">
      <c r="B118" s="11" t="s">
        <v>421</v>
      </c>
    </row>
    <row r="119" spans="2:4">
      <c r="B119" s="176" t="s">
        <v>418</v>
      </c>
      <c r="C119" s="177">
        <v>0.52</v>
      </c>
    </row>
    <row r="120" spans="2:4">
      <c r="D120" t="s">
        <v>470</v>
      </c>
    </row>
    <row r="121" spans="2:4">
      <c r="B121" s="11" t="s">
        <v>422</v>
      </c>
    </row>
    <row r="122" spans="2:4">
      <c r="B122" s="176" t="s">
        <v>418</v>
      </c>
      <c r="C122" s="177">
        <v>0.47997572612572992</v>
      </c>
    </row>
    <row r="124" spans="2:4">
      <c r="B124" s="11" t="s">
        <v>423</v>
      </c>
    </row>
    <row r="125" spans="2:4">
      <c r="B125" s="176" t="s">
        <v>418</v>
      </c>
      <c r="C125" s="177">
        <v>0.51807656094814636</v>
      </c>
    </row>
    <row r="131" spans="2:5">
      <c r="B131" s="671" t="s">
        <v>425</v>
      </c>
      <c r="C131" s="671"/>
      <c r="D131" s="671"/>
      <c r="E131" s="671"/>
    </row>
    <row r="132" spans="2:5">
      <c r="B132" s="671"/>
      <c r="C132" s="671"/>
      <c r="D132" s="671"/>
      <c r="E132" s="671"/>
    </row>
    <row r="133" spans="2:5" ht="14.4" customHeight="1">
      <c r="B133" s="671" t="s">
        <v>424</v>
      </c>
      <c r="C133" s="671"/>
      <c r="D133" s="671"/>
      <c r="E133" s="671"/>
    </row>
    <row r="134" spans="2:5">
      <c r="B134" s="671"/>
      <c r="C134" s="671"/>
      <c r="D134" s="671"/>
      <c r="E134" s="671"/>
    </row>
    <row r="135" spans="2:5">
      <c r="B135" s="671"/>
      <c r="C135" s="671"/>
      <c r="D135" s="671"/>
      <c r="E135" s="671"/>
    </row>
    <row r="169" spans="1:12" ht="21">
      <c r="A169" s="369" t="s">
        <v>21</v>
      </c>
      <c r="B169" s="228" t="s">
        <v>430</v>
      </c>
    </row>
    <row r="170" spans="1:12">
      <c r="C170" s="138"/>
      <c r="D170" s="138"/>
      <c r="E170" s="138"/>
      <c r="F170" s="138"/>
      <c r="G170" s="138"/>
      <c r="H170" s="138"/>
      <c r="I170" s="138"/>
      <c r="J170" s="138"/>
      <c r="K170" s="337" t="s">
        <v>64</v>
      </c>
      <c r="L170" s="337"/>
    </row>
    <row r="171" spans="1:12" ht="15.6">
      <c r="B171" s="11" t="s">
        <v>154</v>
      </c>
      <c r="C171" s="401">
        <v>43525</v>
      </c>
      <c r="D171" s="401">
        <v>43891</v>
      </c>
      <c r="E171" s="401">
        <v>44256</v>
      </c>
      <c r="F171" s="401">
        <v>44621</v>
      </c>
      <c r="G171" s="401">
        <v>44986</v>
      </c>
      <c r="H171" s="401">
        <v>45382</v>
      </c>
      <c r="I171" s="401">
        <v>45717</v>
      </c>
      <c r="J171" s="289"/>
      <c r="K171" s="337" t="s">
        <v>295</v>
      </c>
      <c r="L171" s="337" t="s">
        <v>296</v>
      </c>
    </row>
    <row r="172" spans="1:12">
      <c r="B172" s="102" t="s">
        <v>294</v>
      </c>
      <c r="C172" s="141">
        <v>7334</v>
      </c>
      <c r="D172" s="141">
        <v>7315</v>
      </c>
      <c r="E172" s="141">
        <v>8048</v>
      </c>
      <c r="F172" s="141">
        <v>9512</v>
      </c>
      <c r="G172" s="141">
        <v>9764</v>
      </c>
      <c r="H172" s="141">
        <v>9653</v>
      </c>
      <c r="I172" s="141">
        <v>10831</v>
      </c>
      <c r="J172" s="141"/>
      <c r="K172" s="338">
        <f>_xlfn.RRI(3,F172,I172)</f>
        <v>4.423658505185224E-2</v>
      </c>
      <c r="L172" s="338">
        <f>_xlfn.RRI(5,D172,I172)</f>
        <v>8.1660187706478649E-2</v>
      </c>
    </row>
    <row r="173" spans="1:12">
      <c r="B173" s="136" t="s">
        <v>432</v>
      </c>
      <c r="C173" s="53">
        <f>'P&amp;l 25-24'!D8</f>
        <v>0.1600759253400823</v>
      </c>
      <c r="D173" s="53">
        <f>'P&amp;l 25-24'!E8</f>
        <v>-2.5906735751295429E-3</v>
      </c>
      <c r="E173" s="53">
        <f>'P&amp;l 25-24'!F8</f>
        <v>0.10020505809979485</v>
      </c>
      <c r="F173" s="53">
        <f>'P&amp;l 25-24'!G8</f>
        <v>0.18190854870775341</v>
      </c>
      <c r="G173" s="53">
        <f>'P&amp;l 25-24'!H8</f>
        <v>2.6492851135407891E-2</v>
      </c>
      <c r="H173" s="53">
        <f>'P&amp;l 25-24'!I8</f>
        <v>-1.1368291683736209E-2</v>
      </c>
      <c r="I173" s="53">
        <f>'P&amp;l 25-24'!J8</f>
        <v>0.12203460064228744</v>
      </c>
      <c r="J173" s="53"/>
    </row>
    <row r="174" spans="1:12">
      <c r="C174" s="53"/>
      <c r="D174" s="53"/>
      <c r="E174" s="53"/>
      <c r="F174" s="53"/>
      <c r="G174" s="53"/>
      <c r="H174" s="53"/>
      <c r="I174" s="53"/>
      <c r="J174" s="53"/>
    </row>
    <row r="175" spans="1:12">
      <c r="B175" t="s">
        <v>430</v>
      </c>
      <c r="C175">
        <f>-'P&amp;l 25-24'!D32</f>
        <v>1992</v>
      </c>
      <c r="D175">
        <f>-'P&amp;l 25-24'!E32</f>
        <v>2130</v>
      </c>
      <c r="E175">
        <f>-'P&amp;l 25-24'!F32</f>
        <v>2176</v>
      </c>
      <c r="F175">
        <f>-'P&amp;l 25-24'!G32</f>
        <v>2395</v>
      </c>
      <c r="G175">
        <f>-'P&amp;l 25-24'!H32</f>
        <v>2603</v>
      </c>
      <c r="H175">
        <f>-'P&amp;l 25-24'!I32</f>
        <v>2879</v>
      </c>
      <c r="I175">
        <f>-'P&amp;l 25-24'!J32</f>
        <v>3304</v>
      </c>
      <c r="K175" s="338">
        <f>_xlfn.RRI(3,F175,I175)</f>
        <v>0.11321275466858616</v>
      </c>
      <c r="L175" s="338">
        <f>_xlfn.RRI(5,D175,I175)</f>
        <v>9.1772339403009884E-2</v>
      </c>
    </row>
    <row r="176" spans="1:12">
      <c r="B176" s="136" t="s">
        <v>431</v>
      </c>
      <c r="C176" s="53"/>
      <c r="D176" s="53">
        <f>D175/C175-1</f>
        <v>6.9277108433734913E-2</v>
      </c>
      <c r="E176" s="53">
        <f t="shared" ref="E176:H176" si="1">E175/D175-1</f>
        <v>2.1596244131455444E-2</v>
      </c>
      <c r="F176" s="53">
        <f t="shared" si="1"/>
        <v>0.10064338235294112</v>
      </c>
      <c r="G176" s="53">
        <f t="shared" si="1"/>
        <v>8.6847599164926903E-2</v>
      </c>
      <c r="H176" s="53">
        <f t="shared" si="1"/>
        <v>0.10603150211294654</v>
      </c>
      <c r="I176" s="53">
        <f>I175/H175-1</f>
        <v>0.14762070163251129</v>
      </c>
      <c r="J176" s="53"/>
    </row>
    <row r="177" spans="2:12">
      <c r="C177" s="53"/>
      <c r="D177" s="53"/>
      <c r="E177" s="53"/>
      <c r="F177" s="53"/>
      <c r="G177" s="53"/>
      <c r="H177" s="53"/>
      <c r="I177" s="53"/>
      <c r="J177" s="53"/>
    </row>
    <row r="178" spans="2:12">
      <c r="B178" t="s">
        <v>433</v>
      </c>
      <c r="C178" s="53">
        <f>C175/C172</f>
        <v>0.27161167166621214</v>
      </c>
      <c r="D178" s="53">
        <f t="shared" ref="D178:I178" si="2">D175/D172</f>
        <v>0.29118250170881749</v>
      </c>
      <c r="E178" s="53">
        <f t="shared" si="2"/>
        <v>0.27037773359840955</v>
      </c>
      <c r="F178" s="53">
        <f t="shared" si="2"/>
        <v>0.25178721614802357</v>
      </c>
      <c r="G178" s="53">
        <f t="shared" si="2"/>
        <v>0.26659156083572305</v>
      </c>
      <c r="H178" s="53">
        <f t="shared" si="2"/>
        <v>0.29824924893815397</v>
      </c>
      <c r="I178" s="53">
        <f t="shared" si="2"/>
        <v>0.30505031853014497</v>
      </c>
      <c r="J178" s="53"/>
      <c r="K178" s="339">
        <f>MEDIAN(C178:I178)</f>
        <v>0.27161167166621214</v>
      </c>
      <c r="L178" s="339">
        <f>AVERAGE(C178:I178)</f>
        <v>0.2792643216322121</v>
      </c>
    </row>
    <row r="179" spans="2:12">
      <c r="C179" s="53"/>
      <c r="D179" s="53"/>
      <c r="E179" s="53"/>
      <c r="F179" s="53"/>
      <c r="G179" s="53"/>
      <c r="H179" s="53"/>
      <c r="I179" s="53"/>
      <c r="J179" s="53"/>
    </row>
    <row r="180" spans="2:12">
      <c r="C180" s="53"/>
      <c r="D180" s="53"/>
      <c r="E180" s="53"/>
      <c r="F180" s="53"/>
      <c r="G180" s="53"/>
      <c r="H180" s="53"/>
      <c r="I180" s="53"/>
      <c r="J180" s="53"/>
    </row>
    <row r="181" spans="2:12">
      <c r="C181" s="53"/>
      <c r="D181" s="53"/>
      <c r="E181" s="53"/>
      <c r="F181" s="53"/>
      <c r="G181" s="53"/>
      <c r="H181" s="53"/>
      <c r="I181" s="53"/>
      <c r="J181" s="53"/>
    </row>
    <row r="182" spans="2:12">
      <c r="B182" s="211" t="s">
        <v>472</v>
      </c>
      <c r="C182" s="211"/>
      <c r="D182" s="211"/>
      <c r="E182" s="211"/>
      <c r="F182" s="211"/>
      <c r="G182" s="211"/>
      <c r="H182" s="211"/>
      <c r="I182" s="211"/>
      <c r="J182" s="211"/>
    </row>
    <row r="183" spans="2:12">
      <c r="B183" s="211" t="s">
        <v>429</v>
      </c>
      <c r="C183" s="211"/>
      <c r="D183" s="211"/>
      <c r="E183" s="211"/>
      <c r="F183" s="211"/>
      <c r="G183" s="211"/>
      <c r="H183" s="211"/>
      <c r="I183" s="211"/>
      <c r="J183" s="211"/>
    </row>
    <row r="184" spans="2:12">
      <c r="B184" s="211" t="s">
        <v>471</v>
      </c>
      <c r="C184" s="211"/>
      <c r="D184" s="211"/>
      <c r="E184" s="211"/>
      <c r="F184" s="211"/>
      <c r="G184" s="211"/>
      <c r="H184" s="211"/>
      <c r="I184" s="211"/>
      <c r="J184" s="211"/>
    </row>
    <row r="185" spans="2:12">
      <c r="B185" s="212" t="s">
        <v>473</v>
      </c>
      <c r="C185" s="211"/>
      <c r="D185" s="211"/>
      <c r="E185" s="211"/>
      <c r="F185" s="211"/>
      <c r="G185" s="211"/>
      <c r="H185" s="211"/>
      <c r="I185" s="211"/>
      <c r="J185" s="211"/>
    </row>
    <row r="186" spans="2:12">
      <c r="B186" s="212" t="s">
        <v>474</v>
      </c>
      <c r="C186" s="211"/>
      <c r="D186" s="211"/>
      <c r="E186" s="211"/>
      <c r="F186" s="211"/>
      <c r="G186" s="211"/>
      <c r="H186" s="211"/>
      <c r="I186" s="211"/>
      <c r="J186" s="211"/>
    </row>
    <row r="187" spans="2:12">
      <c r="B187" s="672" t="s">
        <v>475</v>
      </c>
      <c r="C187" s="672"/>
      <c r="D187" s="672"/>
      <c r="E187" s="672"/>
      <c r="F187" s="672"/>
      <c r="G187" s="672"/>
      <c r="H187" s="672"/>
      <c r="I187" s="672"/>
      <c r="J187" s="322"/>
    </row>
    <row r="188" spans="2:12">
      <c r="B188" s="672"/>
      <c r="C188" s="672"/>
      <c r="D188" s="672"/>
      <c r="E188" s="672"/>
      <c r="F188" s="672"/>
      <c r="G188" s="672"/>
      <c r="H188" s="672"/>
      <c r="I188" s="672"/>
      <c r="J188" s="322"/>
    </row>
    <row r="189" spans="2:12">
      <c r="B189" s="670" t="s">
        <v>476</v>
      </c>
      <c r="C189" s="670"/>
      <c r="D189" s="670"/>
      <c r="E189" s="670"/>
      <c r="F189" s="670"/>
      <c r="G189" s="670"/>
      <c r="H189" s="670"/>
      <c r="I189" s="670"/>
      <c r="J189" s="321"/>
    </row>
    <row r="190" spans="2:12">
      <c r="B190" s="670"/>
      <c r="C190" s="670"/>
      <c r="D190" s="670"/>
      <c r="E190" s="670"/>
      <c r="F190" s="670"/>
      <c r="G190" s="670"/>
      <c r="H190" s="670"/>
      <c r="I190" s="670"/>
      <c r="J190" s="321"/>
    </row>
    <row r="192" spans="2:12">
      <c r="B192" s="192" t="s">
        <v>434</v>
      </c>
    </row>
    <row r="193" spans="2:10">
      <c r="B193" s="193" t="s">
        <v>435</v>
      </c>
    </row>
    <row r="194" spans="2:10">
      <c r="B194" s="193" t="s">
        <v>436</v>
      </c>
    </row>
    <row r="195" spans="2:10">
      <c r="B195" s="193" t="s">
        <v>437</v>
      </c>
    </row>
    <row r="198" spans="2:10" ht="15.6">
      <c r="B198" s="399" t="s">
        <v>452</v>
      </c>
      <c r="C198" s="392"/>
      <c r="D198" s="392"/>
      <c r="E198" s="392"/>
      <c r="F198" s="392"/>
      <c r="G198" s="392"/>
      <c r="H198" s="392"/>
      <c r="I198" s="392"/>
    </row>
    <row r="200" spans="2:10">
      <c r="B200" s="11" t="s">
        <v>154</v>
      </c>
      <c r="C200" s="11">
        <v>2019</v>
      </c>
      <c r="D200" s="11">
        <f>C200+1</f>
        <v>2020</v>
      </c>
      <c r="E200" s="11">
        <f t="shared" ref="E200:I200" si="3">D200+1</f>
        <v>2021</v>
      </c>
      <c r="F200" s="11">
        <f t="shared" si="3"/>
        <v>2022</v>
      </c>
      <c r="G200" s="11">
        <f t="shared" si="3"/>
        <v>2023</v>
      </c>
      <c r="H200" s="11">
        <f t="shared" si="3"/>
        <v>2024</v>
      </c>
      <c r="I200" s="11">
        <f t="shared" si="3"/>
        <v>2025</v>
      </c>
      <c r="J200" s="195"/>
    </row>
    <row r="201" spans="2:10">
      <c r="B201" s="195"/>
      <c r="C201" s="195"/>
      <c r="D201" s="195"/>
      <c r="E201" s="195"/>
      <c r="F201" s="195"/>
      <c r="G201" s="195"/>
      <c r="H201" s="195"/>
      <c r="I201" s="195"/>
      <c r="J201" s="195"/>
    </row>
    <row r="202" spans="2:10" ht="15.6">
      <c r="B202" s="152" t="s">
        <v>42</v>
      </c>
      <c r="C202" s="197">
        <f t="shared" ref="C202:H202" si="4">C172</f>
        <v>7334</v>
      </c>
      <c r="D202" s="197">
        <f t="shared" si="4"/>
        <v>7315</v>
      </c>
      <c r="E202" s="197">
        <f t="shared" si="4"/>
        <v>8048</v>
      </c>
      <c r="F202" s="197">
        <f t="shared" si="4"/>
        <v>9512</v>
      </c>
      <c r="G202" s="197">
        <f t="shared" si="4"/>
        <v>9764</v>
      </c>
      <c r="H202" s="197">
        <f t="shared" si="4"/>
        <v>9653</v>
      </c>
      <c r="I202" s="197">
        <f>I172</f>
        <v>10831</v>
      </c>
      <c r="J202" s="197"/>
    </row>
    <row r="203" spans="2:10">
      <c r="B203" s="198" t="s">
        <v>438</v>
      </c>
      <c r="C203" s="198">
        <v>466</v>
      </c>
      <c r="D203" s="198">
        <v>478</v>
      </c>
      <c r="E203" s="198">
        <v>570</v>
      </c>
      <c r="F203" s="198">
        <v>586</v>
      </c>
      <c r="G203" s="198">
        <v>653</v>
      </c>
      <c r="H203" s="198">
        <v>743</v>
      </c>
      <c r="I203" s="198">
        <v>831</v>
      </c>
      <c r="J203" s="196"/>
    </row>
    <row r="204" spans="2:10">
      <c r="B204" s="198" t="s">
        <v>439</v>
      </c>
      <c r="C204" s="198">
        <v>659</v>
      </c>
      <c r="D204" s="198">
        <v>727</v>
      </c>
      <c r="E204" s="198">
        <v>698</v>
      </c>
      <c r="F204" s="198">
        <v>796</v>
      </c>
      <c r="G204" s="198">
        <v>842</v>
      </c>
      <c r="H204" s="198">
        <v>952</v>
      </c>
      <c r="I204" s="198">
        <v>1128</v>
      </c>
      <c r="J204" s="196"/>
    </row>
    <row r="205" spans="2:10">
      <c r="B205" s="198" t="s">
        <v>440</v>
      </c>
      <c r="C205" s="198">
        <v>287</v>
      </c>
      <c r="D205" s="198">
        <v>294</v>
      </c>
      <c r="E205" s="198">
        <v>305</v>
      </c>
      <c r="F205" s="198">
        <v>354</v>
      </c>
      <c r="G205" s="198">
        <v>387</v>
      </c>
      <c r="H205" s="198">
        <v>416</v>
      </c>
      <c r="I205" s="198">
        <v>449</v>
      </c>
      <c r="J205" s="196"/>
    </row>
    <row r="206" spans="2:10">
      <c r="B206" s="196" t="s">
        <v>441</v>
      </c>
      <c r="C206" s="196">
        <v>250</v>
      </c>
      <c r="D206" s="196">
        <v>255</v>
      </c>
      <c r="E206" s="196">
        <v>240</v>
      </c>
      <c r="F206" s="196">
        <v>251</v>
      </c>
      <c r="G206" s="196">
        <v>238</v>
      </c>
      <c r="H206" s="196">
        <v>243</v>
      </c>
      <c r="I206" s="196">
        <v>274</v>
      </c>
      <c r="J206" s="196"/>
    </row>
    <row r="207" spans="2:10">
      <c r="B207" t="s">
        <v>442</v>
      </c>
      <c r="C207">
        <v>11</v>
      </c>
      <c r="D207">
        <v>16</v>
      </c>
      <c r="E207">
        <v>20</v>
      </c>
      <c r="F207">
        <v>20</v>
      </c>
      <c r="G207">
        <v>20</v>
      </c>
      <c r="H207">
        <v>33</v>
      </c>
      <c r="I207">
        <v>43</v>
      </c>
    </row>
    <row r="208" spans="2:10">
      <c r="B208" t="s">
        <v>443</v>
      </c>
      <c r="C208">
        <v>48</v>
      </c>
      <c r="D208">
        <v>54</v>
      </c>
      <c r="E208">
        <v>61</v>
      </c>
      <c r="F208">
        <v>73</v>
      </c>
      <c r="G208">
        <v>101</v>
      </c>
      <c r="H208">
        <v>76</v>
      </c>
      <c r="I208">
        <v>88</v>
      </c>
    </row>
    <row r="209" spans="2:12">
      <c r="B209" t="s">
        <v>444</v>
      </c>
      <c r="C209">
        <v>44</v>
      </c>
      <c r="D209">
        <v>49</v>
      </c>
      <c r="E209">
        <v>50</v>
      </c>
      <c r="F209">
        <v>50</v>
      </c>
      <c r="G209">
        <v>50</v>
      </c>
      <c r="H209">
        <v>54</v>
      </c>
      <c r="I209">
        <v>56</v>
      </c>
    </row>
    <row r="210" spans="2:12">
      <c r="B210" t="s">
        <v>445</v>
      </c>
      <c r="C210">
        <v>39</v>
      </c>
      <c r="D210">
        <v>43</v>
      </c>
      <c r="E210">
        <v>47</v>
      </c>
      <c r="F210">
        <v>51</v>
      </c>
      <c r="G210">
        <v>59</v>
      </c>
      <c r="H210">
        <v>81</v>
      </c>
      <c r="I210">
        <v>95</v>
      </c>
    </row>
    <row r="211" spans="2:12">
      <c r="B211" t="s">
        <v>446</v>
      </c>
      <c r="C211">
        <v>37</v>
      </c>
      <c r="D211">
        <v>36</v>
      </c>
      <c r="E211">
        <v>27</v>
      </c>
      <c r="F211">
        <v>32</v>
      </c>
      <c r="G211">
        <v>35</v>
      </c>
      <c r="H211">
        <v>37</v>
      </c>
      <c r="I211">
        <v>38</v>
      </c>
    </row>
    <row r="212" spans="2:12">
      <c r="B212" t="s">
        <v>447</v>
      </c>
      <c r="C212">
        <v>45</v>
      </c>
      <c r="D212">
        <v>45</v>
      </c>
      <c r="E212">
        <v>25</v>
      </c>
      <c r="F212">
        <v>34</v>
      </c>
      <c r="G212">
        <v>55</v>
      </c>
      <c r="H212">
        <v>62</v>
      </c>
      <c r="I212">
        <v>69</v>
      </c>
    </row>
    <row r="213" spans="2:12">
      <c r="B213" t="s">
        <v>448</v>
      </c>
      <c r="C213">
        <v>23</v>
      </c>
      <c r="D213">
        <v>23</v>
      </c>
      <c r="E213">
        <v>18</v>
      </c>
      <c r="F213">
        <v>18</v>
      </c>
      <c r="G213">
        <v>20</v>
      </c>
      <c r="H213">
        <v>19</v>
      </c>
      <c r="I213">
        <v>26</v>
      </c>
    </row>
    <row r="214" spans="2:12">
      <c r="B214" t="s">
        <v>244</v>
      </c>
      <c r="C214">
        <v>12</v>
      </c>
      <c r="D214">
        <v>25.999999999999318</v>
      </c>
      <c r="E214">
        <v>-8.000000000000167</v>
      </c>
      <c r="F214">
        <v>7</v>
      </c>
      <c r="G214">
        <v>2</v>
      </c>
      <c r="H214">
        <v>8</v>
      </c>
      <c r="I214">
        <v>4</v>
      </c>
    </row>
    <row r="215" spans="2:12">
      <c r="B215" t="s">
        <v>450</v>
      </c>
      <c r="C215">
        <v>71</v>
      </c>
      <c r="D215">
        <v>84</v>
      </c>
      <c r="E215">
        <v>123</v>
      </c>
      <c r="F215">
        <v>123</v>
      </c>
      <c r="G215">
        <v>141</v>
      </c>
      <c r="H215">
        <v>155</v>
      </c>
      <c r="I215">
        <v>203</v>
      </c>
    </row>
    <row r="216" spans="2:12" ht="15" thickBot="1">
      <c r="B216" s="81" t="s">
        <v>449</v>
      </c>
      <c r="C216" s="81">
        <f t="shared" ref="C216:H216" si="5">SUM(C203:C215)</f>
        <v>1992</v>
      </c>
      <c r="D216" s="81">
        <f t="shared" si="5"/>
        <v>2129.9999999999991</v>
      </c>
      <c r="E216" s="81">
        <f t="shared" si="5"/>
        <v>2176</v>
      </c>
      <c r="F216" s="81">
        <f>SUM(F203:F215)</f>
        <v>2395</v>
      </c>
      <c r="G216" s="81">
        <f t="shared" si="5"/>
        <v>2603</v>
      </c>
      <c r="H216" s="81">
        <f t="shared" si="5"/>
        <v>2879</v>
      </c>
      <c r="I216" s="81">
        <f>SUM(I203:I215)</f>
        <v>3304</v>
      </c>
    </row>
    <row r="218" spans="2:12" ht="15.6">
      <c r="B218" s="137" t="s">
        <v>453</v>
      </c>
      <c r="C218" s="200">
        <f>C216/C202</f>
        <v>0.27161167166621214</v>
      </c>
      <c r="D218" s="200">
        <f t="shared" ref="D218:I218" si="6">D216/D202</f>
        <v>0.29118250170881738</v>
      </c>
      <c r="E218" s="200">
        <f t="shared" si="6"/>
        <v>0.27037773359840955</v>
      </c>
      <c r="F218" s="200">
        <f t="shared" si="6"/>
        <v>0.25178721614802357</v>
      </c>
      <c r="G218" s="200">
        <f t="shared" si="6"/>
        <v>0.26659156083572305</v>
      </c>
      <c r="H218" s="200">
        <f t="shared" si="6"/>
        <v>0.29824924893815397</v>
      </c>
      <c r="I218" s="200">
        <f t="shared" si="6"/>
        <v>0.30505031853014497</v>
      </c>
      <c r="J218" s="323"/>
    </row>
    <row r="220" spans="2:12">
      <c r="B220" s="213" t="s">
        <v>451</v>
      </c>
    </row>
    <row r="222" spans="2:12">
      <c r="B222" s="11" t="s">
        <v>154</v>
      </c>
      <c r="C222" s="11">
        <v>2019</v>
      </c>
      <c r="D222" s="11">
        <f>C222+1</f>
        <v>2020</v>
      </c>
      <c r="E222" s="11">
        <f t="shared" ref="E222:I222" si="7">D222+1</f>
        <v>2021</v>
      </c>
      <c r="F222" s="11">
        <f t="shared" si="7"/>
        <v>2022</v>
      </c>
      <c r="G222" s="11">
        <f t="shared" si="7"/>
        <v>2023</v>
      </c>
      <c r="H222" s="11">
        <f t="shared" si="7"/>
        <v>2024</v>
      </c>
      <c r="I222" s="11">
        <f t="shared" si="7"/>
        <v>2025</v>
      </c>
      <c r="J222" s="195"/>
      <c r="K222" s="337" t="s">
        <v>416</v>
      </c>
      <c r="L222" s="337" t="s">
        <v>417</v>
      </c>
    </row>
    <row r="223" spans="2:12">
      <c r="B223" s="16" t="s">
        <v>438</v>
      </c>
      <c r="C223" s="48">
        <f t="shared" ref="C223:I236" si="8">C203/C$216</f>
        <v>0.23393574297188754</v>
      </c>
      <c r="D223" s="48">
        <f t="shared" si="8"/>
        <v>0.22441314553990621</v>
      </c>
      <c r="E223" s="48">
        <f t="shared" si="8"/>
        <v>0.26194852941176472</v>
      </c>
      <c r="F223" s="48">
        <f t="shared" si="8"/>
        <v>0.24467640918580374</v>
      </c>
      <c r="G223" s="48">
        <f t="shared" si="8"/>
        <v>0.25086438724548599</v>
      </c>
      <c r="H223" s="48">
        <f t="shared" si="8"/>
        <v>0.25807572073636681</v>
      </c>
      <c r="I223" s="48">
        <f t="shared" si="8"/>
        <v>0.25151331719128328</v>
      </c>
      <c r="J223" s="74"/>
      <c r="K223" s="340">
        <f t="shared" ref="K223:K235" si="9">MEDIAN(C223:I223)</f>
        <v>0.25086438724548599</v>
      </c>
      <c r="L223" s="340">
        <f t="shared" ref="L223:L235" si="10">AVERAGE(C223:I223)</f>
        <v>0.24648960746892837</v>
      </c>
    </row>
    <row r="224" spans="2:12">
      <c r="B224" s="16" t="s">
        <v>439</v>
      </c>
      <c r="C224" s="48">
        <f t="shared" si="8"/>
        <v>0.33082329317269077</v>
      </c>
      <c r="D224" s="48">
        <f t="shared" si="8"/>
        <v>0.34131455399061045</v>
      </c>
      <c r="E224" s="48">
        <f t="shared" si="8"/>
        <v>0.32077205882352944</v>
      </c>
      <c r="F224" s="48">
        <f t="shared" si="8"/>
        <v>0.33235908141962422</v>
      </c>
      <c r="G224" s="48">
        <f t="shared" si="8"/>
        <v>0.32347291586630811</v>
      </c>
      <c r="H224" s="48">
        <f t="shared" si="8"/>
        <v>0.33067037165682528</v>
      </c>
      <c r="I224" s="48">
        <f t="shared" si="8"/>
        <v>0.34140435835351091</v>
      </c>
      <c r="J224" s="74"/>
      <c r="K224" s="340">
        <f t="shared" si="9"/>
        <v>0.33082329317269077</v>
      </c>
      <c r="L224" s="340">
        <f t="shared" si="10"/>
        <v>0.3315452333261571</v>
      </c>
    </row>
    <row r="225" spans="2:12">
      <c r="B225" s="16" t="s">
        <v>440</v>
      </c>
      <c r="C225" s="48">
        <f t="shared" si="8"/>
        <v>0.14407630522088352</v>
      </c>
      <c r="D225" s="48">
        <f t="shared" si="8"/>
        <v>0.13802816901408457</v>
      </c>
      <c r="E225" s="48">
        <f t="shared" si="8"/>
        <v>0.14016544117647059</v>
      </c>
      <c r="F225" s="48">
        <f t="shared" si="8"/>
        <v>0.1478079331941545</v>
      </c>
      <c r="G225" s="48">
        <f t="shared" si="8"/>
        <v>0.14867460622358816</v>
      </c>
      <c r="H225" s="48">
        <f t="shared" si="8"/>
        <v>0.14449461618617576</v>
      </c>
      <c r="I225" s="48">
        <f t="shared" si="8"/>
        <v>0.13589588377723971</v>
      </c>
      <c r="J225" s="74"/>
      <c r="K225" s="340">
        <f t="shared" si="9"/>
        <v>0.14407630522088352</v>
      </c>
      <c r="L225" s="340">
        <f t="shared" si="10"/>
        <v>0.14273470782751382</v>
      </c>
    </row>
    <row r="226" spans="2:12">
      <c r="B226" t="s">
        <v>441</v>
      </c>
      <c r="C226" s="74">
        <f t="shared" si="8"/>
        <v>0.12550200803212852</v>
      </c>
      <c r="D226" s="74">
        <f t="shared" si="8"/>
        <v>0.11971830985915498</v>
      </c>
      <c r="E226" s="74">
        <f t="shared" si="8"/>
        <v>0.11029411764705882</v>
      </c>
      <c r="F226" s="74">
        <f t="shared" si="8"/>
        <v>0.10480167014613778</v>
      </c>
      <c r="G226" s="74">
        <f t="shared" si="8"/>
        <v>9.1432961966961199E-2</v>
      </c>
      <c r="H226" s="74">
        <f t="shared" si="8"/>
        <v>8.4404307051059391E-2</v>
      </c>
      <c r="I226" s="74">
        <f t="shared" si="8"/>
        <v>8.292978208232446E-2</v>
      </c>
      <c r="J226" s="74"/>
      <c r="K226" s="339">
        <f t="shared" si="9"/>
        <v>0.10480167014613778</v>
      </c>
      <c r="L226" s="339">
        <f t="shared" si="10"/>
        <v>0.10272616525497502</v>
      </c>
    </row>
    <row r="227" spans="2:12">
      <c r="B227" t="s">
        <v>442</v>
      </c>
      <c r="C227" s="194">
        <f t="shared" si="8"/>
        <v>5.5220883534136548E-3</v>
      </c>
      <c r="D227" s="194">
        <f t="shared" si="8"/>
        <v>7.5117370892018812E-3</v>
      </c>
      <c r="E227" s="194">
        <f t="shared" si="8"/>
        <v>9.1911764705882356E-3</v>
      </c>
      <c r="F227" s="194">
        <f t="shared" si="8"/>
        <v>8.350730688935281E-3</v>
      </c>
      <c r="G227" s="194">
        <f t="shared" si="8"/>
        <v>7.6834421820975796E-3</v>
      </c>
      <c r="H227" s="194">
        <f t="shared" si="8"/>
        <v>1.1462313303230288E-2</v>
      </c>
      <c r="I227" s="194">
        <f t="shared" si="8"/>
        <v>1.301452784503632E-2</v>
      </c>
      <c r="J227" s="74"/>
      <c r="K227" s="339">
        <f t="shared" si="9"/>
        <v>8.350730688935281E-3</v>
      </c>
      <c r="L227" s="339">
        <f t="shared" si="10"/>
        <v>8.962287990357606E-3</v>
      </c>
    </row>
    <row r="228" spans="2:12">
      <c r="B228" t="s">
        <v>443</v>
      </c>
      <c r="C228" s="194">
        <f t="shared" si="8"/>
        <v>2.4096385542168676E-2</v>
      </c>
      <c r="D228" s="194">
        <f t="shared" si="8"/>
        <v>2.5352112676056349E-2</v>
      </c>
      <c r="E228" s="194">
        <f t="shared" si="8"/>
        <v>2.8033088235294119E-2</v>
      </c>
      <c r="F228" s="194">
        <f t="shared" si="8"/>
        <v>3.0480167014613778E-2</v>
      </c>
      <c r="G228" s="194">
        <f t="shared" si="8"/>
        <v>3.8801383019592781E-2</v>
      </c>
      <c r="H228" s="194">
        <f t="shared" si="8"/>
        <v>2.6398054880166725E-2</v>
      </c>
      <c r="I228" s="194">
        <f t="shared" si="8"/>
        <v>2.6634382566585957E-2</v>
      </c>
      <c r="J228" s="74"/>
      <c r="K228" s="339">
        <f t="shared" si="9"/>
        <v>2.6634382566585957E-2</v>
      </c>
      <c r="L228" s="339">
        <f t="shared" si="10"/>
        <v>2.8542224847782627E-2</v>
      </c>
    </row>
    <row r="229" spans="2:12">
      <c r="B229" t="s">
        <v>444</v>
      </c>
      <c r="C229" s="194">
        <f t="shared" si="8"/>
        <v>2.2088353413654619E-2</v>
      </c>
      <c r="D229" s="194">
        <f t="shared" si="8"/>
        <v>2.300469483568076E-2</v>
      </c>
      <c r="E229" s="194">
        <f t="shared" si="8"/>
        <v>2.297794117647059E-2</v>
      </c>
      <c r="F229" s="194">
        <f t="shared" si="8"/>
        <v>2.0876826722338204E-2</v>
      </c>
      <c r="G229" s="194">
        <f t="shared" si="8"/>
        <v>1.920860545524395E-2</v>
      </c>
      <c r="H229" s="194">
        <f t="shared" si="8"/>
        <v>1.8756512678013201E-2</v>
      </c>
      <c r="I229" s="194">
        <f t="shared" si="8"/>
        <v>1.6949152542372881E-2</v>
      </c>
      <c r="J229" s="74"/>
      <c r="K229" s="339">
        <f t="shared" si="9"/>
        <v>2.0876826722338204E-2</v>
      </c>
      <c r="L229" s="339">
        <f t="shared" si="10"/>
        <v>2.0551726689110601E-2</v>
      </c>
    </row>
    <row r="230" spans="2:12">
      <c r="B230" t="s">
        <v>445</v>
      </c>
      <c r="C230" s="194">
        <f t="shared" si="8"/>
        <v>1.9578313253012049E-2</v>
      </c>
      <c r="D230" s="194">
        <f t="shared" si="8"/>
        <v>2.0187793427230056E-2</v>
      </c>
      <c r="E230" s="194">
        <f t="shared" si="8"/>
        <v>2.1599264705882353E-2</v>
      </c>
      <c r="F230" s="194">
        <f t="shared" si="8"/>
        <v>2.1294363256784968E-2</v>
      </c>
      <c r="G230" s="194">
        <f t="shared" si="8"/>
        <v>2.266615443718786E-2</v>
      </c>
      <c r="H230" s="194">
        <f t="shared" si="8"/>
        <v>2.8134769017019799E-2</v>
      </c>
      <c r="I230" s="194">
        <f t="shared" si="8"/>
        <v>2.8753026634382568E-2</v>
      </c>
      <c r="J230" s="74"/>
      <c r="K230" s="339">
        <f t="shared" si="9"/>
        <v>2.1599264705882353E-2</v>
      </c>
      <c r="L230" s="339">
        <f t="shared" si="10"/>
        <v>2.3173383533071381E-2</v>
      </c>
    </row>
    <row r="231" spans="2:12">
      <c r="B231" t="s">
        <v>446</v>
      </c>
      <c r="C231" s="194">
        <f t="shared" si="8"/>
        <v>1.8574297188755019E-2</v>
      </c>
      <c r="D231" s="194">
        <f t="shared" si="8"/>
        <v>1.6901408450704234E-2</v>
      </c>
      <c r="E231" s="194">
        <f t="shared" si="8"/>
        <v>1.2408088235294117E-2</v>
      </c>
      <c r="F231" s="194">
        <f t="shared" si="8"/>
        <v>1.3361169102296452E-2</v>
      </c>
      <c r="G231" s="194">
        <f t="shared" si="8"/>
        <v>1.3446023818670765E-2</v>
      </c>
      <c r="H231" s="194">
        <f t="shared" si="8"/>
        <v>1.2851684612712747E-2</v>
      </c>
      <c r="I231" s="194">
        <f t="shared" si="8"/>
        <v>1.1501210653753027E-2</v>
      </c>
      <c r="J231" s="74"/>
      <c r="K231" s="339">
        <f t="shared" si="9"/>
        <v>1.3361169102296452E-2</v>
      </c>
      <c r="L231" s="339">
        <f t="shared" si="10"/>
        <v>1.4149126008883765E-2</v>
      </c>
    </row>
    <row r="232" spans="2:12">
      <c r="B232" t="s">
        <v>447</v>
      </c>
      <c r="C232" s="194">
        <f t="shared" si="8"/>
        <v>2.2590361445783132E-2</v>
      </c>
      <c r="D232" s="194">
        <f t="shared" si="8"/>
        <v>2.1126760563380292E-2</v>
      </c>
      <c r="E232" s="194">
        <f t="shared" si="8"/>
        <v>1.1488970588235295E-2</v>
      </c>
      <c r="F232" s="194">
        <f t="shared" si="8"/>
        <v>1.4196242171189978E-2</v>
      </c>
      <c r="G232" s="194">
        <f t="shared" si="8"/>
        <v>2.1129466000768343E-2</v>
      </c>
      <c r="H232" s="194">
        <f t="shared" si="8"/>
        <v>2.1535255296978119E-2</v>
      </c>
      <c r="I232" s="194">
        <f t="shared" si="8"/>
        <v>2.0883777239709442E-2</v>
      </c>
      <c r="J232" s="74"/>
      <c r="K232" s="339">
        <f t="shared" si="9"/>
        <v>2.1126760563380292E-2</v>
      </c>
      <c r="L232" s="339">
        <f t="shared" si="10"/>
        <v>1.89929761865778E-2</v>
      </c>
    </row>
    <row r="233" spans="2:12">
      <c r="B233" t="s">
        <v>448</v>
      </c>
      <c r="C233" s="194">
        <f t="shared" si="8"/>
        <v>1.1546184738955823E-2</v>
      </c>
      <c r="D233" s="194">
        <f t="shared" si="8"/>
        <v>1.0798122065727705E-2</v>
      </c>
      <c r="E233" s="194">
        <f t="shared" si="8"/>
        <v>8.2720588235294119E-3</v>
      </c>
      <c r="F233" s="194">
        <f t="shared" si="8"/>
        <v>7.5156576200417534E-3</v>
      </c>
      <c r="G233" s="194">
        <f t="shared" si="8"/>
        <v>7.6834421820975796E-3</v>
      </c>
      <c r="H233" s="194">
        <f t="shared" si="8"/>
        <v>6.5995137200416812E-3</v>
      </c>
      <c r="I233" s="194">
        <f t="shared" si="8"/>
        <v>7.8692493946731241E-3</v>
      </c>
      <c r="J233" s="74"/>
      <c r="K233" s="339">
        <f t="shared" si="9"/>
        <v>7.8692493946731241E-3</v>
      </c>
      <c r="L233" s="339">
        <f t="shared" si="10"/>
        <v>8.6120326492952967E-3</v>
      </c>
    </row>
    <row r="234" spans="2:12">
      <c r="B234" t="s">
        <v>244</v>
      </c>
      <c r="C234" s="194">
        <f t="shared" si="8"/>
        <v>6.024096385542169E-3</v>
      </c>
      <c r="D234" s="194">
        <f t="shared" si="8"/>
        <v>1.2206572769952736E-2</v>
      </c>
      <c r="E234" s="194">
        <f t="shared" si="8"/>
        <v>-3.6764705882353708E-3</v>
      </c>
      <c r="F234" s="194">
        <f t="shared" si="8"/>
        <v>2.9227557411273487E-3</v>
      </c>
      <c r="G234" s="194">
        <f t="shared" si="8"/>
        <v>7.68344218209758E-4</v>
      </c>
      <c r="H234" s="194">
        <f t="shared" si="8"/>
        <v>2.7787426189649182E-3</v>
      </c>
      <c r="I234" s="194">
        <f t="shared" si="8"/>
        <v>1.2106537530266344E-3</v>
      </c>
      <c r="J234" s="74"/>
      <c r="K234" s="339">
        <f t="shared" si="9"/>
        <v>2.7787426189649182E-3</v>
      </c>
      <c r="L234" s="339">
        <f t="shared" si="10"/>
        <v>3.176384985512599E-3</v>
      </c>
    </row>
    <row r="235" spans="2:12">
      <c r="B235" t="s">
        <v>450</v>
      </c>
      <c r="C235" s="194">
        <f t="shared" si="8"/>
        <v>3.5642570281124497E-2</v>
      </c>
      <c r="D235" s="194">
        <f t="shared" si="8"/>
        <v>3.9436619718309876E-2</v>
      </c>
      <c r="E235" s="194">
        <f t="shared" si="8"/>
        <v>5.6525735294117647E-2</v>
      </c>
      <c r="F235" s="194">
        <f t="shared" si="8"/>
        <v>5.1356993736951982E-2</v>
      </c>
      <c r="G235" s="194">
        <f t="shared" si="8"/>
        <v>5.4168267383787938E-2</v>
      </c>
      <c r="H235" s="194">
        <f t="shared" si="8"/>
        <v>5.3838138242445294E-2</v>
      </c>
      <c r="I235" s="194">
        <f t="shared" si="8"/>
        <v>6.1440677966101698E-2</v>
      </c>
      <c r="J235" s="74"/>
      <c r="K235" s="339">
        <f t="shared" si="9"/>
        <v>5.3838138242445294E-2</v>
      </c>
      <c r="L235" s="339">
        <f t="shared" si="10"/>
        <v>5.0344143231834136E-2</v>
      </c>
    </row>
    <row r="236" spans="2:12" ht="15" thickBot="1">
      <c r="B236" s="81" t="s">
        <v>449</v>
      </c>
      <c r="C236" s="402">
        <f t="shared" si="8"/>
        <v>1</v>
      </c>
      <c r="D236" s="402">
        <f t="shared" si="8"/>
        <v>1</v>
      </c>
      <c r="E236" s="402">
        <f t="shared" si="8"/>
        <v>1</v>
      </c>
      <c r="F236" s="402">
        <f t="shared" si="8"/>
        <v>1</v>
      </c>
      <c r="G236" s="402">
        <f t="shared" si="8"/>
        <v>1</v>
      </c>
      <c r="H236" s="402">
        <f t="shared" si="8"/>
        <v>1</v>
      </c>
      <c r="I236" s="402">
        <f t="shared" si="8"/>
        <v>1</v>
      </c>
      <c r="J236" s="298"/>
    </row>
    <row r="237" spans="2:12">
      <c r="C237" s="214"/>
      <c r="D237" s="214"/>
      <c r="E237" s="214"/>
      <c r="F237" s="214"/>
      <c r="G237" s="214"/>
      <c r="H237" s="214"/>
      <c r="I237" s="214"/>
      <c r="J237" s="298"/>
    </row>
    <row r="238" spans="2:12" ht="15.6">
      <c r="B238" s="139" t="s">
        <v>477</v>
      </c>
    </row>
    <row r="240" spans="2:12">
      <c r="B240" s="11" t="s">
        <v>154</v>
      </c>
      <c r="C240" s="11">
        <v>2019</v>
      </c>
      <c r="D240" s="11">
        <f>C240+1</f>
        <v>2020</v>
      </c>
      <c r="E240" s="11">
        <f t="shared" ref="E240:I240" si="11">D240+1</f>
        <v>2021</v>
      </c>
      <c r="F240" s="11">
        <f t="shared" si="11"/>
        <v>2022</v>
      </c>
      <c r="G240" s="11">
        <f t="shared" si="11"/>
        <v>2023</v>
      </c>
      <c r="H240" s="11">
        <f t="shared" si="11"/>
        <v>2024</v>
      </c>
      <c r="I240" s="11">
        <f t="shared" si="11"/>
        <v>2025</v>
      </c>
      <c r="J240" s="195"/>
      <c r="K240" s="337" t="s">
        <v>416</v>
      </c>
      <c r="L240" s="337" t="s">
        <v>417</v>
      </c>
    </row>
    <row r="242" spans="2:12">
      <c r="B242" s="18" t="s">
        <v>42</v>
      </c>
      <c r="C242" s="18">
        <v>7334</v>
      </c>
      <c r="D242" s="18">
        <v>7315</v>
      </c>
      <c r="E242" s="18">
        <v>8048</v>
      </c>
      <c r="F242" s="18">
        <v>9512</v>
      </c>
      <c r="G242" s="18">
        <v>9764</v>
      </c>
      <c r="H242" s="18">
        <v>9653</v>
      </c>
      <c r="I242" s="18">
        <v>10831</v>
      </c>
      <c r="J242" s="18"/>
    </row>
    <row r="244" spans="2:12">
      <c r="B244" s="196" t="s">
        <v>438</v>
      </c>
      <c r="C244" s="196">
        <v>466</v>
      </c>
      <c r="D244" s="196">
        <v>478</v>
      </c>
      <c r="E244" s="196">
        <v>570</v>
      </c>
      <c r="F244" s="196">
        <v>586</v>
      </c>
      <c r="G244" s="196">
        <v>653</v>
      </c>
      <c r="H244" s="196">
        <v>743</v>
      </c>
      <c r="I244" s="196">
        <v>831</v>
      </c>
      <c r="J244" s="196"/>
    </row>
    <row r="245" spans="2:12">
      <c r="B245" s="198" t="s">
        <v>455</v>
      </c>
      <c r="C245" s="403">
        <f>C244/C$242</f>
        <v>6.3539678211071718E-2</v>
      </c>
      <c r="D245" s="403">
        <f t="shared" ref="D245:H245" si="12">D244/D242</f>
        <v>6.5345181134654817E-2</v>
      </c>
      <c r="E245" s="403">
        <f t="shared" si="12"/>
        <v>7.0825049701789267E-2</v>
      </c>
      <c r="F245" s="403">
        <f t="shared" si="12"/>
        <v>6.1606391925988227E-2</v>
      </c>
      <c r="G245" s="403">
        <f t="shared" si="12"/>
        <v>6.6878328553871366E-2</v>
      </c>
      <c r="H245" s="403">
        <f t="shared" si="12"/>
        <v>7.6970889878794163E-2</v>
      </c>
      <c r="I245" s="403">
        <f>I244/I242</f>
        <v>7.6724217523774355E-2</v>
      </c>
      <c r="J245" s="199"/>
      <c r="K245" s="404">
        <f>MEDIAN(C245:I245)</f>
        <v>6.6878328553871366E-2</v>
      </c>
      <c r="L245" s="404">
        <f>AVERAGE(C245:I245)</f>
        <v>6.884139098999198E-2</v>
      </c>
    </row>
    <row r="246" spans="2:12">
      <c r="B246" s="196"/>
      <c r="C246" s="196"/>
      <c r="D246" s="196"/>
      <c r="E246" s="196"/>
      <c r="F246" s="196"/>
      <c r="G246" s="196"/>
      <c r="H246" s="196"/>
      <c r="I246" s="196"/>
      <c r="J246" s="196"/>
      <c r="K246" s="341"/>
      <c r="L246" s="341"/>
    </row>
    <row r="247" spans="2:12" ht="13.8" customHeight="1">
      <c r="B247" s="196" t="s">
        <v>439</v>
      </c>
      <c r="C247" s="196">
        <v>659</v>
      </c>
      <c r="D247" s="196">
        <v>727</v>
      </c>
      <c r="E247" s="196">
        <v>698</v>
      </c>
      <c r="F247" s="196">
        <v>796</v>
      </c>
      <c r="G247" s="196">
        <v>842</v>
      </c>
      <c r="H247" s="196">
        <v>952</v>
      </c>
      <c r="I247" s="196">
        <v>1128</v>
      </c>
      <c r="J247" s="196"/>
      <c r="K247" s="341"/>
      <c r="L247" s="341"/>
    </row>
    <row r="248" spans="2:12" ht="13.8" customHeight="1">
      <c r="B248" s="198" t="s">
        <v>454</v>
      </c>
      <c r="C248" s="403">
        <f>C247/C$242</f>
        <v>8.9855467684755927E-2</v>
      </c>
      <c r="D248" s="403">
        <f t="shared" ref="D248:H248" si="13">D247/D$242</f>
        <v>9.9384825700615173E-2</v>
      </c>
      <c r="E248" s="403">
        <f t="shared" si="13"/>
        <v>8.6729622266401588E-2</v>
      </c>
      <c r="F248" s="403">
        <f t="shared" si="13"/>
        <v>8.3683767872161474E-2</v>
      </c>
      <c r="G248" s="403">
        <f t="shared" si="13"/>
        <v>8.6235149528881602E-2</v>
      </c>
      <c r="H248" s="403">
        <f t="shared" si="13"/>
        <v>9.8622189992748369E-2</v>
      </c>
      <c r="I248" s="403">
        <f>I247/I$242</f>
        <v>0.10414550826331825</v>
      </c>
      <c r="J248" s="199"/>
      <c r="K248" s="404">
        <f>MEDIAN(C248:I248)</f>
        <v>8.9855467684755927E-2</v>
      </c>
      <c r="L248" s="404">
        <f>AVERAGE(C248:I248)</f>
        <v>9.2665218758411785E-2</v>
      </c>
    </row>
    <row r="249" spans="2:12" ht="13.8" customHeight="1">
      <c r="B249" s="196"/>
      <c r="C249" s="196"/>
      <c r="D249" s="205"/>
      <c r="E249" s="205"/>
      <c r="F249" s="205"/>
      <c r="G249" s="205"/>
      <c r="H249" s="205"/>
      <c r="I249" s="205"/>
      <c r="J249" s="324"/>
      <c r="K249" s="341"/>
      <c r="L249" s="341"/>
    </row>
    <row r="250" spans="2:12">
      <c r="B250" s="196" t="s">
        <v>457</v>
      </c>
      <c r="C250" s="196">
        <v>287</v>
      </c>
      <c r="D250" s="196">
        <v>294</v>
      </c>
      <c r="E250" s="196">
        <v>305</v>
      </c>
      <c r="F250" s="196">
        <v>354</v>
      </c>
      <c r="G250" s="196">
        <v>387</v>
      </c>
      <c r="H250" s="196">
        <v>416</v>
      </c>
      <c r="I250" s="196">
        <v>449</v>
      </c>
      <c r="J250" s="196"/>
      <c r="K250" s="341"/>
      <c r="L250" s="341"/>
    </row>
    <row r="251" spans="2:12">
      <c r="B251" s="198" t="s">
        <v>458</v>
      </c>
      <c r="C251" s="403">
        <f>C250/C$242</f>
        <v>3.9132806108535589E-2</v>
      </c>
      <c r="D251" s="403">
        <f t="shared" ref="D251:I251" si="14">D250/D$242</f>
        <v>4.0191387559808611E-2</v>
      </c>
      <c r="E251" s="403">
        <f t="shared" si="14"/>
        <v>3.7897614314115306E-2</v>
      </c>
      <c r="F251" s="403">
        <f t="shared" si="14"/>
        <v>3.7216148023549202E-2</v>
      </c>
      <c r="G251" s="403">
        <f t="shared" si="14"/>
        <v>3.9635395329782878E-2</v>
      </c>
      <c r="H251" s="403">
        <f t="shared" si="14"/>
        <v>4.3095410753133744E-2</v>
      </c>
      <c r="I251" s="403">
        <f t="shared" si="14"/>
        <v>4.1455082633182531E-2</v>
      </c>
      <c r="J251" s="199"/>
      <c r="K251" s="404">
        <f>MEDIAN(C251:I251)</f>
        <v>3.9635395329782878E-2</v>
      </c>
      <c r="L251" s="404">
        <f>AVERAGE(C251:I251)</f>
        <v>3.9803406388872552E-2</v>
      </c>
    </row>
    <row r="252" spans="2:12">
      <c r="B252" s="196"/>
      <c r="C252" s="196"/>
      <c r="D252" s="196"/>
      <c r="E252" s="196"/>
      <c r="F252" s="196"/>
      <c r="G252" s="196"/>
      <c r="H252" s="196"/>
      <c r="I252" s="196"/>
      <c r="J252" s="196"/>
      <c r="K252" s="341"/>
      <c r="L252" s="341"/>
    </row>
    <row r="253" spans="2:12">
      <c r="B253" s="196" t="s">
        <v>460</v>
      </c>
      <c r="C253">
        <f t="shared" ref="C253:I253" si="15">SUM(C206:C215)</f>
        <v>580</v>
      </c>
      <c r="D253">
        <f t="shared" si="15"/>
        <v>630.99999999999932</v>
      </c>
      <c r="E253">
        <f t="shared" si="15"/>
        <v>602.99999999999977</v>
      </c>
      <c r="F253">
        <f t="shared" si="15"/>
        <v>659</v>
      </c>
      <c r="G253">
        <f t="shared" si="15"/>
        <v>721</v>
      </c>
      <c r="H253">
        <f t="shared" si="15"/>
        <v>768</v>
      </c>
      <c r="I253">
        <f t="shared" si="15"/>
        <v>896</v>
      </c>
      <c r="K253" s="341"/>
      <c r="L253" s="341"/>
    </row>
    <row r="254" spans="2:12">
      <c r="B254" s="198" t="s">
        <v>459</v>
      </c>
      <c r="C254" s="48">
        <f t="shared" ref="C254:I254" si="16">C253/C242</f>
        <v>7.908371966184892E-2</v>
      </c>
      <c r="D254" s="48">
        <f t="shared" si="16"/>
        <v>8.6261107313738802E-2</v>
      </c>
      <c r="E254" s="48">
        <f t="shared" si="16"/>
        <v>7.4925447316103358E-2</v>
      </c>
      <c r="F254" s="48">
        <f t="shared" si="16"/>
        <v>6.9280908326324636E-2</v>
      </c>
      <c r="G254" s="48">
        <f t="shared" si="16"/>
        <v>7.3842687423187212E-2</v>
      </c>
      <c r="H254" s="48">
        <f t="shared" si="16"/>
        <v>7.956075831347767E-2</v>
      </c>
      <c r="I254" s="48">
        <f t="shared" si="16"/>
        <v>8.2725510109869824E-2</v>
      </c>
      <c r="J254" s="74"/>
      <c r="K254" s="404">
        <f>MEDIAN(C254:I254)</f>
        <v>7.908371966184892E-2</v>
      </c>
      <c r="L254" s="404">
        <f>AVERAGE(C254:I254)</f>
        <v>7.7954305494935774E-2</v>
      </c>
    </row>
    <row r="255" spans="2:12">
      <c r="K255" s="341"/>
      <c r="L255" s="341"/>
    </row>
    <row r="256" spans="2:12">
      <c r="B256" s="38" t="s">
        <v>456</v>
      </c>
      <c r="C256" s="231">
        <f>C254+C251+C248+C245</f>
        <v>0.27161167166621214</v>
      </c>
      <c r="D256" s="231">
        <f t="shared" ref="D256:H256" si="17">D254+D251+D248+D245</f>
        <v>0.29118250170881743</v>
      </c>
      <c r="E256" s="231">
        <f t="shared" si="17"/>
        <v>0.2703777335984095</v>
      </c>
      <c r="F256" s="231">
        <f t="shared" si="17"/>
        <v>0.25178721614802352</v>
      </c>
      <c r="G256" s="231">
        <f t="shared" si="17"/>
        <v>0.26659156083572305</v>
      </c>
      <c r="H256" s="231">
        <f t="shared" si="17"/>
        <v>0.29824924893815397</v>
      </c>
      <c r="I256" s="231">
        <f>I254+I251+I248+I245</f>
        <v>0.30505031853014497</v>
      </c>
      <c r="J256" s="405"/>
      <c r="K256" s="400">
        <f>MEDIAN(C256:I256)</f>
        <v>0.27161167166621214</v>
      </c>
      <c r="L256" s="400">
        <f>AVERAGE(C256:I256)</f>
        <v>0.27926432163221204</v>
      </c>
    </row>
    <row r="258" spans="9:10">
      <c r="I258" s="44"/>
      <c r="J258" s="44"/>
    </row>
    <row r="259" spans="9:10">
      <c r="I259" s="35"/>
      <c r="J259" s="325"/>
    </row>
    <row r="278" spans="1:12" ht="21">
      <c r="A278" s="228" t="s">
        <v>21</v>
      </c>
      <c r="B278" s="228" t="s">
        <v>668</v>
      </c>
    </row>
    <row r="279" spans="1:12" ht="15.6">
      <c r="A279" s="137"/>
      <c r="B279" s="137"/>
    </row>
    <row r="280" spans="1:12" ht="15.6">
      <c r="A280" s="137"/>
      <c r="B280" s="399" t="s">
        <v>1146</v>
      </c>
      <c r="C280" s="266"/>
      <c r="D280" s="266"/>
      <c r="E280" s="266"/>
      <c r="F280" s="266"/>
      <c r="G280" s="266"/>
      <c r="H280" s="266"/>
      <c r="I280" s="266"/>
    </row>
    <row r="281" spans="1:12">
      <c r="K281" s="337" t="s">
        <v>64</v>
      </c>
      <c r="L281" s="337"/>
    </row>
    <row r="282" spans="1:12">
      <c r="B282" s="11" t="s">
        <v>154</v>
      </c>
      <c r="C282" s="11">
        <v>2019</v>
      </c>
      <c r="D282" s="11">
        <f>C282+1</f>
        <v>2020</v>
      </c>
      <c r="E282" s="11">
        <f t="shared" ref="E282" si="18">D282+1</f>
        <v>2021</v>
      </c>
      <c r="F282" s="11">
        <f t="shared" ref="F282" si="19">E282+1</f>
        <v>2022</v>
      </c>
      <c r="G282" s="11">
        <f t="shared" ref="G282" si="20">F282+1</f>
        <v>2023</v>
      </c>
      <c r="H282" s="11">
        <f t="shared" ref="H282" si="21">G282+1</f>
        <v>2024</v>
      </c>
      <c r="I282" s="11">
        <f t="shared" ref="I282" si="22">H282+1</f>
        <v>2025</v>
      </c>
      <c r="J282" s="195"/>
      <c r="K282" s="337" t="s">
        <v>295</v>
      </c>
      <c r="L282" s="337" t="s">
        <v>296</v>
      </c>
    </row>
    <row r="283" spans="1:12">
      <c r="B283" s="215" t="s">
        <v>192</v>
      </c>
      <c r="C283" s="141">
        <v>1411</v>
      </c>
      <c r="D283" s="141">
        <v>1380</v>
      </c>
      <c r="E283" s="141">
        <v>1126</v>
      </c>
      <c r="F283" s="141">
        <v>1412</v>
      </c>
      <c r="G283" s="141">
        <v>1225</v>
      </c>
      <c r="H283" s="141">
        <v>1336</v>
      </c>
      <c r="I283" s="141">
        <v>1235</v>
      </c>
      <c r="J283" s="100"/>
      <c r="K283" s="338">
        <f>_xlfn.RRI(3,F283,I283)</f>
        <v>-4.36634514636427E-2</v>
      </c>
      <c r="L283" s="338">
        <f>_xlfn.RRI(5,D283,I283)</f>
        <v>-2.1957844230847234E-2</v>
      </c>
    </row>
    <row r="284" spans="1:12">
      <c r="B284" s="216" t="s">
        <v>193</v>
      </c>
      <c r="C284" s="141">
        <v>517</v>
      </c>
      <c r="D284" s="141">
        <v>539</v>
      </c>
      <c r="E284" s="141">
        <v>388</v>
      </c>
      <c r="F284" s="141">
        <v>652</v>
      </c>
      <c r="G284" s="141">
        <v>1015</v>
      </c>
      <c r="H284" s="141">
        <v>1069</v>
      </c>
      <c r="I284" s="141">
        <v>1271</v>
      </c>
      <c r="J284" s="100"/>
      <c r="K284" s="338">
        <f>_xlfn.RRI(3,F284,I284)</f>
        <v>0.24920194458220224</v>
      </c>
      <c r="L284" s="338">
        <f>_xlfn.RRI(5,D284,I284)</f>
        <v>0.18716574576751088</v>
      </c>
    </row>
    <row r="285" spans="1:12">
      <c r="B285" s="216" t="s">
        <v>194</v>
      </c>
      <c r="C285" s="141">
        <v>720</v>
      </c>
      <c r="D285" s="141">
        <v>984</v>
      </c>
      <c r="E285" s="141">
        <v>878</v>
      </c>
      <c r="F285" s="141">
        <v>862</v>
      </c>
      <c r="G285" s="141">
        <v>824</v>
      </c>
      <c r="H285" s="141">
        <v>655</v>
      </c>
      <c r="I285" s="141">
        <v>1800</v>
      </c>
      <c r="J285" s="100"/>
      <c r="K285" s="338">
        <f>_xlfn.RRI(3,F285,I285)</f>
        <v>0.27816939110591865</v>
      </c>
      <c r="L285" s="338">
        <f>_xlfn.RRI(5,D285,I285)</f>
        <v>0.12838026357723709</v>
      </c>
    </row>
    <row r="286" spans="1:12">
      <c r="B286" s="217" t="s">
        <v>482</v>
      </c>
      <c r="C286" s="141">
        <v>552</v>
      </c>
      <c r="D286" s="141">
        <v>279</v>
      </c>
      <c r="E286" s="141">
        <v>944</v>
      </c>
      <c r="F286" s="141">
        <v>579</v>
      </c>
      <c r="G286" s="141">
        <v>756</v>
      </c>
      <c r="H286" s="141">
        <v>943</v>
      </c>
      <c r="I286" s="141">
        <v>777</v>
      </c>
      <c r="J286" s="141"/>
      <c r="K286" s="338">
        <f>_xlfn.RRI(3,F286,I286)</f>
        <v>0.10301347579383657</v>
      </c>
      <c r="L286" s="338">
        <f>_xlfn.RRI(5,D286,I286)</f>
        <v>0.22733568928352099</v>
      </c>
    </row>
    <row r="287" spans="1:12" ht="15" thickBot="1">
      <c r="B287" s="114" t="s">
        <v>203</v>
      </c>
      <c r="C287" s="115">
        <f>SUM(C283:C286)</f>
        <v>3200</v>
      </c>
      <c r="D287" s="115">
        <f t="shared" ref="D287:I287" si="23">SUM(D283:D286)</f>
        <v>3182</v>
      </c>
      <c r="E287" s="115">
        <f t="shared" si="23"/>
        <v>3336</v>
      </c>
      <c r="F287" s="115">
        <f t="shared" si="23"/>
        <v>3505</v>
      </c>
      <c r="G287" s="115">
        <f t="shared" si="23"/>
        <v>3820</v>
      </c>
      <c r="H287" s="115">
        <f t="shared" si="23"/>
        <v>4003</v>
      </c>
      <c r="I287" s="115">
        <f t="shared" si="23"/>
        <v>5083</v>
      </c>
      <c r="J287" s="113"/>
      <c r="K287" s="338">
        <f>_xlfn.RRI(3,F287,I287)</f>
        <v>0.13190686990283207</v>
      </c>
      <c r="L287" s="338">
        <f>_xlfn.RRI(5,D287,I287)</f>
        <v>9.8206441892287444E-2</v>
      </c>
    </row>
    <row r="289" spans="2:12">
      <c r="B289" s="18" t="s">
        <v>12</v>
      </c>
      <c r="C289" s="18">
        <f>'Balance Sheet'!C42</f>
        <v>4909</v>
      </c>
      <c r="D289" s="18">
        <f>'Balance Sheet'!D42</f>
        <v>5002</v>
      </c>
      <c r="E289" s="18">
        <f>'Balance Sheet'!E42</f>
        <v>5510</v>
      </c>
      <c r="F289" s="18">
        <f>'Balance Sheet'!F42</f>
        <v>5786</v>
      </c>
      <c r="G289" s="18">
        <f>'Balance Sheet'!G42</f>
        <v>6946</v>
      </c>
      <c r="H289" s="18">
        <f>'Balance Sheet'!H42</f>
        <v>7421</v>
      </c>
      <c r="I289" s="18">
        <f>'Balance Sheet'!I42</f>
        <v>8338</v>
      </c>
      <c r="J289" s="18"/>
      <c r="K289" s="338">
        <f>_xlfn.RRI(3,F289,I289)</f>
        <v>0.1295214615046687</v>
      </c>
      <c r="L289" s="338">
        <f>_xlfn.RRI(5,D289,I289)</f>
        <v>0.10760176893382822</v>
      </c>
    </row>
    <row r="290" spans="2:12">
      <c r="B290" s="18"/>
      <c r="C290" s="18"/>
      <c r="D290" s="18"/>
      <c r="E290" s="18"/>
      <c r="F290" s="18"/>
      <c r="G290" s="18"/>
      <c r="H290" s="18"/>
      <c r="I290" s="18"/>
      <c r="J290" s="18"/>
    </row>
    <row r="291" spans="2:12">
      <c r="B291" s="15" t="s">
        <v>484</v>
      </c>
      <c r="C291" s="227">
        <f>C287/C289</f>
        <v>0.65186392340598898</v>
      </c>
      <c r="D291" s="227">
        <f t="shared" ref="D291:I291" si="24">D287/D289</f>
        <v>0.63614554178328664</v>
      </c>
      <c r="E291" s="227">
        <f t="shared" si="24"/>
        <v>0.60544464609800364</v>
      </c>
      <c r="F291" s="227">
        <f t="shared" si="24"/>
        <v>0.60577255444175593</v>
      </c>
      <c r="G291" s="227">
        <f t="shared" si="24"/>
        <v>0.5499568096746329</v>
      </c>
      <c r="H291" s="227">
        <f t="shared" si="24"/>
        <v>0.5394151731572564</v>
      </c>
      <c r="I291" s="227">
        <f t="shared" si="24"/>
        <v>0.60961861357639724</v>
      </c>
      <c r="J291" s="326"/>
      <c r="K291" s="338">
        <f>_xlfn.RRI(3,F291,I291)</f>
        <v>2.1118752316451328E-3</v>
      </c>
      <c r="L291" s="338">
        <f>_xlfn.RRI(5,D291,I291)</f>
        <v>-8.4825858039074831E-3</v>
      </c>
    </row>
    <row r="294" spans="2:12" ht="15" customHeight="1">
      <c r="B294" s="139" t="s">
        <v>483</v>
      </c>
      <c r="C294" s="266"/>
      <c r="D294" s="266"/>
      <c r="E294" s="266"/>
      <c r="F294" s="266"/>
      <c r="G294" s="266"/>
      <c r="H294" s="266"/>
      <c r="I294" s="266"/>
    </row>
    <row r="296" spans="2:12">
      <c r="B296" s="11" t="s">
        <v>154</v>
      </c>
      <c r="C296" s="11">
        <v>2019</v>
      </c>
      <c r="D296" s="11">
        <f>C296+1</f>
        <v>2020</v>
      </c>
      <c r="E296" s="11">
        <f t="shared" ref="E296" si="25">D296+1</f>
        <v>2021</v>
      </c>
      <c r="F296" s="11">
        <f t="shared" ref="F296" si="26">E296+1</f>
        <v>2022</v>
      </c>
      <c r="G296" s="11">
        <f t="shared" ref="G296" si="27">F296+1</f>
        <v>2023</v>
      </c>
      <c r="H296" s="11">
        <f t="shared" ref="H296" si="28">G296+1</f>
        <v>2024</v>
      </c>
      <c r="I296" s="11">
        <f t="shared" ref="I296" si="29">H296+1</f>
        <v>2025</v>
      </c>
      <c r="J296" s="195"/>
    </row>
    <row r="297" spans="2:12">
      <c r="B297" s="215" t="s">
        <v>192</v>
      </c>
      <c r="C297" s="205">
        <f>C283/C$287</f>
        <v>0.44093749999999998</v>
      </c>
      <c r="D297" s="205">
        <f t="shared" ref="D297:I297" si="30">D283/D$287</f>
        <v>0.43368950345694529</v>
      </c>
      <c r="E297" s="205">
        <f t="shared" si="30"/>
        <v>0.33752997601918466</v>
      </c>
      <c r="F297" s="205">
        <f t="shared" si="30"/>
        <v>0.40285306704707563</v>
      </c>
      <c r="G297" s="205">
        <f t="shared" si="30"/>
        <v>0.3206806282722513</v>
      </c>
      <c r="H297" s="205">
        <f t="shared" si="30"/>
        <v>0.33374968773419933</v>
      </c>
      <c r="I297" s="205">
        <f t="shared" si="30"/>
        <v>0.24296675191815856</v>
      </c>
      <c r="J297" s="324"/>
    </row>
    <row r="298" spans="2:12">
      <c r="B298" s="216" t="s">
        <v>193</v>
      </c>
      <c r="C298" s="205">
        <f t="shared" ref="C298:I298" si="31">C284/C$287</f>
        <v>0.1615625</v>
      </c>
      <c r="D298" s="205">
        <f t="shared" si="31"/>
        <v>0.16939032055311126</v>
      </c>
      <c r="E298" s="205">
        <f t="shared" si="31"/>
        <v>0.11630695443645084</v>
      </c>
      <c r="F298" s="205">
        <f t="shared" si="31"/>
        <v>0.18601997146932953</v>
      </c>
      <c r="G298" s="205">
        <f t="shared" si="31"/>
        <v>0.26570680628272253</v>
      </c>
      <c r="H298" s="205">
        <f t="shared" si="31"/>
        <v>0.26704971271546341</v>
      </c>
      <c r="I298" s="205">
        <f t="shared" si="31"/>
        <v>0.25004918355301986</v>
      </c>
      <c r="J298" s="324"/>
    </row>
    <row r="299" spans="2:12">
      <c r="B299" s="216" t="s">
        <v>194</v>
      </c>
      <c r="C299" s="205">
        <f t="shared" ref="C299:I299" si="32">C285/C$287</f>
        <v>0.22500000000000001</v>
      </c>
      <c r="D299" s="205">
        <f t="shared" si="32"/>
        <v>0.30923947203016972</v>
      </c>
      <c r="E299" s="205">
        <f t="shared" si="32"/>
        <v>0.26318944844124698</v>
      </c>
      <c r="F299" s="205">
        <f t="shared" si="32"/>
        <v>0.24593437945791727</v>
      </c>
      <c r="G299" s="205">
        <f t="shared" si="32"/>
        <v>0.21570680628272251</v>
      </c>
      <c r="H299" s="205">
        <f t="shared" si="32"/>
        <v>0.16362727954034473</v>
      </c>
      <c r="I299" s="205">
        <f t="shared" si="32"/>
        <v>0.35412158174306513</v>
      </c>
      <c r="J299" s="324"/>
    </row>
    <row r="300" spans="2:12">
      <c r="B300" s="217" t="s">
        <v>482</v>
      </c>
      <c r="C300" s="205">
        <f t="shared" ref="C300:I300" si="33">C286/C$287</f>
        <v>0.17249999999999999</v>
      </c>
      <c r="D300" s="205">
        <f t="shared" si="33"/>
        <v>8.7680703959773731E-2</v>
      </c>
      <c r="E300" s="205">
        <f t="shared" si="33"/>
        <v>0.28297362110311752</v>
      </c>
      <c r="F300" s="205">
        <f t="shared" si="33"/>
        <v>0.1651925820256776</v>
      </c>
      <c r="G300" s="205">
        <f t="shared" si="33"/>
        <v>0.19790575916230366</v>
      </c>
      <c r="H300" s="205">
        <f t="shared" si="33"/>
        <v>0.23557332000999251</v>
      </c>
      <c r="I300" s="205">
        <f t="shared" si="33"/>
        <v>0.15286248278575645</v>
      </c>
      <c r="J300" s="324"/>
    </row>
    <row r="301" spans="2:12" ht="15" thickBot="1">
      <c r="B301" s="114" t="s">
        <v>203</v>
      </c>
      <c r="C301" s="218">
        <f t="shared" ref="C301:I301" si="34">C287/C$287</f>
        <v>1</v>
      </c>
      <c r="D301" s="218">
        <f t="shared" si="34"/>
        <v>1</v>
      </c>
      <c r="E301" s="218">
        <f t="shared" si="34"/>
        <v>1</v>
      </c>
      <c r="F301" s="218">
        <f t="shared" si="34"/>
        <v>1</v>
      </c>
      <c r="G301" s="218">
        <f t="shared" si="34"/>
        <v>1</v>
      </c>
      <c r="H301" s="218">
        <f t="shared" si="34"/>
        <v>1</v>
      </c>
      <c r="I301" s="218">
        <f t="shared" si="34"/>
        <v>1</v>
      </c>
      <c r="J301" s="327"/>
    </row>
    <row r="303" spans="2:12" ht="21">
      <c r="B303" s="383" t="s">
        <v>6</v>
      </c>
    </row>
    <row r="305" spans="2:12" ht="15.6">
      <c r="B305" s="11" t="s">
        <v>154</v>
      </c>
      <c r="C305" s="401">
        <v>43525</v>
      </c>
      <c r="D305" s="401">
        <v>43891</v>
      </c>
      <c r="E305" s="401">
        <v>44256</v>
      </c>
      <c r="F305" s="401">
        <v>44621</v>
      </c>
      <c r="G305" s="401">
        <v>44986</v>
      </c>
      <c r="H305" s="401">
        <v>45382</v>
      </c>
      <c r="I305" s="401">
        <v>45717</v>
      </c>
      <c r="J305" s="289"/>
      <c r="K305" s="337" t="s">
        <v>416</v>
      </c>
      <c r="L305" s="337" t="s">
        <v>505</v>
      </c>
    </row>
    <row r="306" spans="2:12">
      <c r="B306" s="93" t="s">
        <v>294</v>
      </c>
      <c r="C306" s="141">
        <v>7334</v>
      </c>
      <c r="D306" s="141">
        <v>7315</v>
      </c>
      <c r="E306" s="141">
        <v>8048</v>
      </c>
      <c r="F306" s="141">
        <v>9512</v>
      </c>
      <c r="G306" s="141">
        <v>9764</v>
      </c>
      <c r="H306" s="141">
        <v>9653</v>
      </c>
      <c r="I306" s="141">
        <v>10831</v>
      </c>
      <c r="J306" s="388"/>
    </row>
    <row r="307" spans="2:12">
      <c r="B307" s="257" t="s">
        <v>293</v>
      </c>
      <c r="C307" s="384">
        <v>0.1600759253400823</v>
      </c>
      <c r="D307" s="384">
        <f>D306/C306-1</f>
        <v>-2.5906735751295429E-3</v>
      </c>
      <c r="E307" s="384">
        <f t="shared" ref="E307:I307" si="35">E306/D306-1</f>
        <v>0.10020505809979485</v>
      </c>
      <c r="F307" s="384">
        <f t="shared" si="35"/>
        <v>0.18190854870775341</v>
      </c>
      <c r="G307" s="384">
        <f t="shared" si="35"/>
        <v>2.6492851135407891E-2</v>
      </c>
      <c r="H307" s="384">
        <f t="shared" si="35"/>
        <v>-1.1368291683736209E-2</v>
      </c>
      <c r="I307" s="384">
        <f t="shared" si="35"/>
        <v>0.12203460064228744</v>
      </c>
      <c r="J307" s="389"/>
      <c r="K307" s="385">
        <f>MEDIAN(C307:I307)</f>
        <v>0.10020505809979485</v>
      </c>
      <c r="L307" s="385">
        <f>AVERAGE(C307:I307)</f>
        <v>8.239400266663717E-2</v>
      </c>
    </row>
    <row r="308" spans="2:12">
      <c r="B308" s="18"/>
      <c r="J308" s="284"/>
    </row>
    <row r="309" spans="2:12">
      <c r="B309" s="18" t="s">
        <v>485</v>
      </c>
      <c r="C309" s="46">
        <f>C283</f>
        <v>1411</v>
      </c>
      <c r="D309" s="46">
        <f t="shared" ref="D309:I309" si="36">D283</f>
        <v>1380</v>
      </c>
      <c r="E309" s="46">
        <f t="shared" si="36"/>
        <v>1126</v>
      </c>
      <c r="F309" s="46">
        <f t="shared" si="36"/>
        <v>1412</v>
      </c>
      <c r="G309" s="46">
        <f t="shared" si="36"/>
        <v>1225</v>
      </c>
      <c r="H309" s="46">
        <f t="shared" si="36"/>
        <v>1336</v>
      </c>
      <c r="I309" s="46">
        <f t="shared" si="36"/>
        <v>1235</v>
      </c>
      <c r="J309" s="285"/>
    </row>
    <row r="310" spans="2:12">
      <c r="B310" s="257" t="s">
        <v>486</v>
      </c>
      <c r="C310" s="240"/>
      <c r="D310" s="384">
        <f>D309/C309-1</f>
        <v>-2.1970233876683176E-2</v>
      </c>
      <c r="E310" s="384">
        <f t="shared" ref="E310:I310" si="37">E309/D309-1</f>
        <v>-0.18405797101449273</v>
      </c>
      <c r="F310" s="384">
        <f t="shared" si="37"/>
        <v>0.25399644760213147</v>
      </c>
      <c r="G310" s="384">
        <f t="shared" si="37"/>
        <v>-0.13243626062322944</v>
      </c>
      <c r="H310" s="384">
        <f t="shared" si="37"/>
        <v>9.061224489795916E-2</v>
      </c>
      <c r="I310" s="384">
        <f t="shared" si="37"/>
        <v>-7.5598802395209552E-2</v>
      </c>
      <c r="J310" s="389"/>
      <c r="K310" s="385">
        <f>MEDIAN(C310:I310)</f>
        <v>-4.8784518135946364E-2</v>
      </c>
      <c r="L310" s="385">
        <f>AVERAGE(C310:I310)</f>
        <v>-1.1575762568254044E-2</v>
      </c>
    </row>
    <row r="311" spans="2:12">
      <c r="B311" s="18"/>
      <c r="J311" s="284"/>
    </row>
    <row r="312" spans="2:12">
      <c r="B312" s="18" t="s">
        <v>487</v>
      </c>
      <c r="C312" s="46">
        <f>C309</f>
        <v>1411</v>
      </c>
      <c r="D312" s="46">
        <f>AVERAGE(C309:D309)</f>
        <v>1395.5</v>
      </c>
      <c r="E312" s="46">
        <f t="shared" ref="E312:I312" si="38">AVERAGE(D309:E309)</f>
        <v>1253</v>
      </c>
      <c r="F312" s="46">
        <f t="shared" si="38"/>
        <v>1269</v>
      </c>
      <c r="G312" s="46">
        <f t="shared" si="38"/>
        <v>1318.5</v>
      </c>
      <c r="H312" s="46">
        <f t="shared" si="38"/>
        <v>1280.5</v>
      </c>
      <c r="I312" s="46">
        <f t="shared" si="38"/>
        <v>1285.5</v>
      </c>
      <c r="J312" s="285"/>
    </row>
    <row r="313" spans="2:12">
      <c r="B313" s="18"/>
      <c r="J313" s="284"/>
    </row>
    <row r="314" spans="2:12">
      <c r="B314" s="15" t="s">
        <v>488</v>
      </c>
      <c r="C314" s="34">
        <f>C312/C306</f>
        <v>0.19239160076356696</v>
      </c>
      <c r="D314" s="34">
        <f>D312/D306</f>
        <v>0.19077238550922762</v>
      </c>
      <c r="E314" s="34">
        <f t="shared" ref="E314:I314" si="39">E312/E306</f>
        <v>0.15569085487077536</v>
      </c>
      <c r="F314" s="34">
        <f t="shared" si="39"/>
        <v>0.13341042893187552</v>
      </c>
      <c r="G314" s="34">
        <f t="shared" si="39"/>
        <v>0.1350368701351905</v>
      </c>
      <c r="H314" s="34">
        <f t="shared" si="39"/>
        <v>0.1326530612244898</v>
      </c>
      <c r="I314" s="34">
        <f t="shared" si="39"/>
        <v>0.1186871018373188</v>
      </c>
      <c r="J314" s="390"/>
      <c r="K314" s="386">
        <f>MEDIAN(C314:I314)</f>
        <v>0.1350368701351905</v>
      </c>
      <c r="L314" s="386">
        <f>AVERAGE(C314:I314)</f>
        <v>0.15123461475320638</v>
      </c>
    </row>
    <row r="315" spans="2:12">
      <c r="B315" s="18"/>
      <c r="J315" s="284"/>
    </row>
    <row r="316" spans="2:12">
      <c r="B316" s="18" t="s">
        <v>52</v>
      </c>
      <c r="C316">
        <f>'P&amp;l 25-24'!D16*-1</f>
        <v>4017</v>
      </c>
      <c r="D316">
        <f>'P&amp;l 25-24'!E16*-1</f>
        <v>3745</v>
      </c>
      <c r="E316">
        <f>'P&amp;l 25-24'!F16*-1</f>
        <v>4270</v>
      </c>
      <c r="F316">
        <f>'P&amp;l 25-24'!G16*-1</f>
        <v>5436</v>
      </c>
      <c r="G316">
        <f>'P&amp;l 25-24'!H16*-1</f>
        <v>5351</v>
      </c>
      <c r="H316">
        <f>'P&amp;l 25-24'!I16*-1</f>
        <v>4748</v>
      </c>
      <c r="I316">
        <f>'P&amp;l 25-24'!J16*-1</f>
        <v>5388</v>
      </c>
      <c r="J316" s="284"/>
    </row>
    <row r="317" spans="2:12">
      <c r="B317" s="18"/>
      <c r="J317" s="284"/>
    </row>
    <row r="318" spans="2:12">
      <c r="B318" s="15" t="s">
        <v>489</v>
      </c>
      <c r="C318" s="275">
        <f>C316/C309</f>
        <v>2.8469170800850461</v>
      </c>
      <c r="D318" s="275">
        <f t="shared" ref="D318:I318" si="40">D316/D309</f>
        <v>2.7137681159420288</v>
      </c>
      <c r="E318" s="275">
        <f t="shared" si="40"/>
        <v>3.7921847246891653</v>
      </c>
      <c r="F318" s="275">
        <f t="shared" si="40"/>
        <v>3.8498583569405098</v>
      </c>
      <c r="G318" s="275">
        <f t="shared" si="40"/>
        <v>4.3681632653061229</v>
      </c>
      <c r="H318" s="275">
        <f t="shared" si="40"/>
        <v>3.5538922155688621</v>
      </c>
      <c r="I318" s="275">
        <f t="shared" si="40"/>
        <v>4.3627530364372467</v>
      </c>
      <c r="J318" s="391"/>
      <c r="K318" s="387">
        <f>MEDIAN(C318:I318)</f>
        <v>3.7921847246891653</v>
      </c>
      <c r="L318" s="387">
        <f>AVERAGE(C318:I318)</f>
        <v>3.6410766849955691</v>
      </c>
    </row>
    <row r="319" spans="2:12">
      <c r="B319" s="15" t="s">
        <v>490</v>
      </c>
      <c r="C319" s="275">
        <f>C306/C312</f>
        <v>5.1977321048901493</v>
      </c>
      <c r="D319" s="275">
        <f t="shared" ref="D319:H319" si="41">D306/D312</f>
        <v>5.241848799713364</v>
      </c>
      <c r="E319" s="275">
        <f t="shared" si="41"/>
        <v>6.4229848363926578</v>
      </c>
      <c r="F319" s="275">
        <f t="shared" si="41"/>
        <v>7.4956658786446022</v>
      </c>
      <c r="G319" s="275">
        <f t="shared" si="41"/>
        <v>7.405384907091392</v>
      </c>
      <c r="H319" s="275">
        <f t="shared" si="41"/>
        <v>7.5384615384615383</v>
      </c>
      <c r="I319" s="275">
        <f>I306/I312</f>
        <v>8.4255153636717228</v>
      </c>
      <c r="J319" s="391"/>
      <c r="K319" s="387">
        <f>MEDIAN(C319:I319)</f>
        <v>7.405384907091392</v>
      </c>
      <c r="L319" s="387">
        <f>AVERAGE(C319:I319)</f>
        <v>6.818227632695061</v>
      </c>
    </row>
    <row r="320" spans="2:12">
      <c r="B320" s="18"/>
    </row>
    <row r="321" spans="2:19">
      <c r="B321" s="15" t="s">
        <v>491</v>
      </c>
      <c r="C321" s="221">
        <f>$B$323/C318</f>
        <v>128.20886233507593</v>
      </c>
      <c r="D321" s="221">
        <f t="shared" ref="D321:I321" si="42">$B$323/D318</f>
        <v>134.49933244325769</v>
      </c>
      <c r="E321" s="221">
        <f t="shared" si="42"/>
        <v>96.250585480093676</v>
      </c>
      <c r="F321" s="221">
        <f t="shared" si="42"/>
        <v>94.808682855040473</v>
      </c>
      <c r="G321" s="221">
        <f t="shared" si="42"/>
        <v>83.559147822836849</v>
      </c>
      <c r="H321" s="221">
        <f t="shared" si="42"/>
        <v>102.70429654591408</v>
      </c>
      <c r="I321" s="221">
        <f t="shared" si="42"/>
        <v>83.66276911655531</v>
      </c>
      <c r="J321" s="270"/>
      <c r="K321" s="342">
        <f>MEDIAN(C321:I321)</f>
        <v>96.250585480093676</v>
      </c>
      <c r="L321" s="342">
        <f>AVERAGE(C321:I321)</f>
        <v>103.38481094268199</v>
      </c>
    </row>
    <row r="322" spans="2:19">
      <c r="B322" s="15" t="s">
        <v>492</v>
      </c>
      <c r="C322" s="221">
        <f>$B$323/C319</f>
        <v>70.222934278701928</v>
      </c>
      <c r="D322" s="221">
        <f t="shared" ref="D322:H322" si="43">$B$323/D319</f>
        <v>69.631920710868087</v>
      </c>
      <c r="E322" s="221">
        <f t="shared" si="43"/>
        <v>56.827162027832998</v>
      </c>
      <c r="F322" s="221">
        <f t="shared" si="43"/>
        <v>48.694806560134566</v>
      </c>
      <c r="G322" s="221">
        <f t="shared" si="43"/>
        <v>49.288457599344532</v>
      </c>
      <c r="H322" s="221">
        <f t="shared" si="43"/>
        <v>48.41836734693878</v>
      </c>
      <c r="I322" s="221">
        <f>$B$323/I319</f>
        <v>43.320792170621367</v>
      </c>
      <c r="J322" s="270"/>
      <c r="K322" s="342">
        <f>MEDIAN(C322:I322)</f>
        <v>49.288457599344532</v>
      </c>
      <c r="L322" s="342">
        <f>AVERAGE(C322:I322)</f>
        <v>55.20063438492032</v>
      </c>
    </row>
    <row r="323" spans="2:19">
      <c r="B323" s="220">
        <v>365</v>
      </c>
    </row>
    <row r="325" spans="2:19" ht="15.6">
      <c r="B325" s="11" t="s">
        <v>493</v>
      </c>
      <c r="C325" s="401">
        <v>43525</v>
      </c>
      <c r="D325" s="401">
        <v>43891</v>
      </c>
      <c r="E325" s="401">
        <v>44256</v>
      </c>
      <c r="F325" s="401">
        <v>44621</v>
      </c>
      <c r="G325" s="401">
        <v>44986</v>
      </c>
      <c r="H325" s="401">
        <v>45382</v>
      </c>
      <c r="I325" s="401">
        <v>45717</v>
      </c>
      <c r="J325" s="289"/>
    </row>
    <row r="326" spans="2:19">
      <c r="B326" t="s">
        <v>494</v>
      </c>
      <c r="C326" s="24">
        <f>C322</f>
        <v>70.222934278701928</v>
      </c>
      <c r="D326" s="24">
        <f t="shared" ref="D326:I326" si="44">D322</f>
        <v>69.631920710868087</v>
      </c>
      <c r="E326" s="24">
        <f t="shared" si="44"/>
        <v>56.827162027832998</v>
      </c>
      <c r="F326" s="24">
        <f t="shared" si="44"/>
        <v>48.694806560134566</v>
      </c>
      <c r="G326" s="24">
        <f t="shared" si="44"/>
        <v>49.288457599344532</v>
      </c>
      <c r="H326" s="24">
        <f t="shared" si="44"/>
        <v>48.41836734693878</v>
      </c>
      <c r="I326" s="24">
        <f t="shared" si="44"/>
        <v>43.320792170621367</v>
      </c>
      <c r="J326" s="24"/>
      <c r="K326" s="343"/>
      <c r="L326" s="343"/>
      <c r="M326" s="24"/>
      <c r="N326" s="24"/>
      <c r="O326" s="24"/>
      <c r="P326" s="24"/>
      <c r="Q326" s="24"/>
      <c r="R326" s="24"/>
      <c r="S326" s="24"/>
    </row>
    <row r="327" spans="2:19">
      <c r="B327" t="s">
        <v>495</v>
      </c>
      <c r="C327">
        <v>42</v>
      </c>
      <c r="D327">
        <v>44</v>
      </c>
      <c r="E327">
        <v>63</v>
      </c>
      <c r="F327">
        <v>52</v>
      </c>
      <c r="G327">
        <v>55</v>
      </c>
      <c r="H327">
        <v>51</v>
      </c>
      <c r="I327">
        <v>81</v>
      </c>
      <c r="K327" s="343"/>
      <c r="L327" s="343"/>
      <c r="M327" s="24"/>
      <c r="N327" s="24"/>
      <c r="O327" s="24"/>
      <c r="P327" s="24"/>
      <c r="Q327" s="24"/>
      <c r="R327" s="24"/>
      <c r="S327" s="24"/>
    </row>
    <row r="328" spans="2:19">
      <c r="B328" t="s">
        <v>503</v>
      </c>
      <c r="C328">
        <v>59</v>
      </c>
      <c r="D328">
        <v>65</v>
      </c>
      <c r="E328">
        <v>66</v>
      </c>
      <c r="F328">
        <v>65</v>
      </c>
      <c r="G328">
        <v>55</v>
      </c>
      <c r="H328">
        <v>55</v>
      </c>
      <c r="I328">
        <v>59</v>
      </c>
      <c r="K328" s="343"/>
      <c r="L328" s="343"/>
      <c r="M328" s="24"/>
      <c r="N328" s="24"/>
      <c r="O328" s="24"/>
      <c r="P328" s="24"/>
      <c r="Q328" s="24"/>
      <c r="R328" s="24"/>
      <c r="S328" s="24"/>
    </row>
    <row r="329" spans="2:19">
      <c r="B329" t="s">
        <v>504</v>
      </c>
      <c r="C329">
        <v>154</v>
      </c>
      <c r="D329">
        <v>164</v>
      </c>
      <c r="E329">
        <v>178</v>
      </c>
      <c r="F329">
        <v>169</v>
      </c>
      <c r="G329">
        <v>158</v>
      </c>
      <c r="H329">
        <v>149</v>
      </c>
      <c r="I329">
        <v>175</v>
      </c>
      <c r="K329" s="343"/>
      <c r="L329" s="343"/>
      <c r="M329" s="24"/>
      <c r="N329" s="24"/>
      <c r="O329" s="24"/>
      <c r="P329" s="24"/>
      <c r="Q329" s="24"/>
      <c r="R329" s="24"/>
      <c r="S329" s="24"/>
    </row>
    <row r="330" spans="2:19">
      <c r="K330" s="343"/>
      <c r="L330" s="343"/>
      <c r="M330" s="24"/>
      <c r="N330" s="24"/>
      <c r="O330" s="24"/>
      <c r="P330" s="24"/>
      <c r="Q330" s="24"/>
      <c r="R330" s="24"/>
      <c r="S330" s="24"/>
    </row>
    <row r="331" spans="2:19">
      <c r="B331" s="15" t="s">
        <v>416</v>
      </c>
      <c r="C331" s="225">
        <f>MEDIAN(C327:C329)</f>
        <v>59</v>
      </c>
      <c r="D331" s="225">
        <f t="shared" ref="D331:I331" si="45">MEDIAN(D327:D329)</f>
        <v>65</v>
      </c>
      <c r="E331" s="225">
        <f t="shared" si="45"/>
        <v>66</v>
      </c>
      <c r="F331" s="225">
        <f t="shared" si="45"/>
        <v>65</v>
      </c>
      <c r="G331" s="225">
        <f t="shared" si="45"/>
        <v>55</v>
      </c>
      <c r="H331" s="225">
        <f t="shared" si="45"/>
        <v>55</v>
      </c>
      <c r="I331" s="225">
        <f t="shared" si="45"/>
        <v>81</v>
      </c>
      <c r="J331" s="24"/>
      <c r="K331" s="343"/>
      <c r="L331" s="343"/>
      <c r="M331" s="24"/>
      <c r="N331" s="24"/>
      <c r="O331" s="24"/>
      <c r="P331" s="24"/>
      <c r="Q331" s="24"/>
      <c r="R331" s="24"/>
      <c r="S331" s="24"/>
    </row>
    <row r="332" spans="2:19">
      <c r="B332" s="15" t="s">
        <v>505</v>
      </c>
      <c r="C332" s="225">
        <f>AVERAGE(C327:C329)</f>
        <v>85</v>
      </c>
      <c r="D332" s="225">
        <f t="shared" ref="D332:H332" si="46">AVERAGE(D327:D329)</f>
        <v>91</v>
      </c>
      <c r="E332" s="225">
        <f t="shared" si="46"/>
        <v>102.33333333333333</v>
      </c>
      <c r="F332" s="225">
        <f t="shared" si="46"/>
        <v>95.333333333333329</v>
      </c>
      <c r="G332" s="225">
        <f t="shared" si="46"/>
        <v>89.333333333333329</v>
      </c>
      <c r="H332" s="225">
        <f t="shared" si="46"/>
        <v>85</v>
      </c>
      <c r="I332" s="225">
        <f>AVERAGE(I327:I329)</f>
        <v>105</v>
      </c>
      <c r="J332" s="24"/>
      <c r="K332" s="343"/>
      <c r="L332" s="343"/>
      <c r="M332" s="24"/>
      <c r="N332" s="24"/>
      <c r="O332" s="24"/>
      <c r="P332" s="24"/>
      <c r="Q332" s="24"/>
      <c r="R332" s="24"/>
      <c r="S332" s="24"/>
    </row>
    <row r="335" spans="2:19" ht="15.6">
      <c r="B335" s="139" t="s">
        <v>506</v>
      </c>
      <c r="C335" s="266"/>
      <c r="D335" s="266"/>
      <c r="E335" s="266"/>
      <c r="F335" s="266"/>
      <c r="G335" s="266"/>
      <c r="H335" s="266"/>
      <c r="I335" s="266"/>
    </row>
    <row r="337" spans="2:9" ht="15.6">
      <c r="B337" s="11" t="s">
        <v>154</v>
      </c>
      <c r="C337" s="11">
        <v>2026</v>
      </c>
      <c r="D337" s="11">
        <v>2027</v>
      </c>
      <c r="E337" s="11">
        <v>2028</v>
      </c>
      <c r="F337" s="137"/>
      <c r="G337" s="137"/>
      <c r="H337" s="137"/>
      <c r="I337" s="137"/>
    </row>
    <row r="338" spans="2:9">
      <c r="B338" t="s">
        <v>507</v>
      </c>
      <c r="C338" s="393">
        <v>44.3</v>
      </c>
      <c r="D338" s="393">
        <v>43.3</v>
      </c>
      <c r="E338" s="393">
        <v>43</v>
      </c>
    </row>
    <row r="339" spans="2:9">
      <c r="B339" t="s">
        <v>509</v>
      </c>
      <c r="C339" s="225">
        <v>40.033667962534651</v>
      </c>
      <c r="D339" s="225">
        <v>39.842219804134928</v>
      </c>
      <c r="E339" s="225">
        <v>39.645309309956808</v>
      </c>
    </row>
    <row r="340" spans="2:9">
      <c r="B340" t="s">
        <v>508</v>
      </c>
      <c r="C340" s="16">
        <v>46</v>
      </c>
      <c r="D340" s="16">
        <v>43</v>
      </c>
      <c r="E340" s="393" t="s">
        <v>121</v>
      </c>
    </row>
    <row r="358" spans="2:12" ht="21">
      <c r="B358" s="383" t="s">
        <v>511</v>
      </c>
    </row>
    <row r="360" spans="2:12" ht="15.6">
      <c r="B360" s="11" t="s">
        <v>154</v>
      </c>
      <c r="C360" s="401">
        <v>43525</v>
      </c>
      <c r="D360" s="401">
        <v>43891</v>
      </c>
      <c r="E360" s="401">
        <v>44256</v>
      </c>
      <c r="F360" s="401">
        <v>44621</v>
      </c>
      <c r="G360" s="401">
        <v>44986</v>
      </c>
      <c r="H360" s="401">
        <v>45382</v>
      </c>
      <c r="I360" s="401">
        <v>45717</v>
      </c>
      <c r="J360" s="289"/>
      <c r="K360" s="337" t="s">
        <v>416</v>
      </c>
      <c r="L360" s="337" t="s">
        <v>505</v>
      </c>
    </row>
    <row r="361" spans="2:12">
      <c r="B361" s="93" t="s">
        <v>294</v>
      </c>
      <c r="C361" s="141">
        <v>7334</v>
      </c>
      <c r="D361" s="141">
        <v>7315</v>
      </c>
      <c r="E361" s="141">
        <v>8048</v>
      </c>
      <c r="F361" s="141">
        <v>9512</v>
      </c>
      <c r="G361" s="141">
        <v>9764</v>
      </c>
      <c r="H361" s="141">
        <v>9653</v>
      </c>
      <c r="I361" s="141">
        <v>10831</v>
      </c>
      <c r="J361" s="141"/>
    </row>
    <row r="362" spans="2:12">
      <c r="B362" s="240" t="s">
        <v>293</v>
      </c>
      <c r="C362" s="384">
        <v>0.1600759253400823</v>
      </c>
      <c r="D362" s="384">
        <f>D361/C361-1</f>
        <v>-2.5906735751295429E-3</v>
      </c>
      <c r="E362" s="384">
        <f t="shared" ref="E362" si="47">E361/D361-1</f>
        <v>0.10020505809979485</v>
      </c>
      <c r="F362" s="384">
        <f t="shared" ref="F362" si="48">F361/E361-1</f>
        <v>0.18190854870775341</v>
      </c>
      <c r="G362" s="384">
        <f t="shared" ref="G362" si="49">G361/F361-1</f>
        <v>2.6492851135407891E-2</v>
      </c>
      <c r="H362" s="384">
        <f t="shared" ref="H362" si="50">H361/G361-1</f>
        <v>-1.1368291683736209E-2</v>
      </c>
      <c r="I362" s="384">
        <f t="shared" ref="I362" si="51">I361/H361-1</f>
        <v>0.12203460064228744</v>
      </c>
      <c r="J362" s="394"/>
      <c r="K362" s="386">
        <f>MEDIAN(C362:I362)</f>
        <v>0.10020505809979485</v>
      </c>
      <c r="L362" s="386">
        <f>AVERAGE(C362:I362)</f>
        <v>8.239400266663717E-2</v>
      </c>
    </row>
    <row r="363" spans="2:12">
      <c r="B363" s="18"/>
    </row>
    <row r="364" spans="2:12">
      <c r="B364" s="229" t="s">
        <v>193</v>
      </c>
      <c r="C364" s="141">
        <v>517</v>
      </c>
      <c r="D364" s="141">
        <v>539</v>
      </c>
      <c r="E364" s="141">
        <v>388</v>
      </c>
      <c r="F364" s="141">
        <v>652</v>
      </c>
      <c r="G364" s="141">
        <v>1015</v>
      </c>
      <c r="H364" s="141">
        <v>1069</v>
      </c>
      <c r="I364" s="141">
        <v>1271</v>
      </c>
      <c r="J364" s="100"/>
    </row>
    <row r="365" spans="2:12">
      <c r="B365" s="240" t="s">
        <v>486</v>
      </c>
      <c r="C365" s="240"/>
      <c r="D365" s="384">
        <f>D364/C364-1</f>
        <v>4.2553191489361764E-2</v>
      </c>
      <c r="E365" s="384">
        <f t="shared" ref="E365" si="52">E364/D364-1</f>
        <v>-0.28014842300556586</v>
      </c>
      <c r="F365" s="384">
        <f t="shared" ref="F365" si="53">F364/E364-1</f>
        <v>0.68041237113402064</v>
      </c>
      <c r="G365" s="384">
        <f t="shared" ref="G365" si="54">G364/F364-1</f>
        <v>0.55674846625766872</v>
      </c>
      <c r="H365" s="384">
        <f t="shared" ref="H365" si="55">H364/G364-1</f>
        <v>5.3201970443349733E-2</v>
      </c>
      <c r="I365" s="384">
        <f t="shared" ref="I365" si="56">I364/H364-1</f>
        <v>0.18896164639850332</v>
      </c>
      <c r="J365" s="394"/>
      <c r="K365" s="386">
        <f>MEDIAN(C365:I365)</f>
        <v>0.12108180842092653</v>
      </c>
      <c r="L365" s="386">
        <f>AVERAGE(C365:I365)</f>
        <v>0.20695487045288974</v>
      </c>
    </row>
    <row r="366" spans="2:12">
      <c r="B366" s="18"/>
    </row>
    <row r="367" spans="2:12">
      <c r="B367" s="18" t="s">
        <v>512</v>
      </c>
      <c r="C367" s="46"/>
      <c r="D367" s="46">
        <f>AVERAGE(C364:D364)</f>
        <v>528</v>
      </c>
      <c r="E367" s="46">
        <f t="shared" ref="E367" si="57">AVERAGE(D364:E364)</f>
        <v>463.5</v>
      </c>
      <c r="F367" s="46">
        <f t="shared" ref="F367" si="58">AVERAGE(E364:F364)</f>
        <v>520</v>
      </c>
      <c r="G367" s="46">
        <f t="shared" ref="G367" si="59">AVERAGE(F364:G364)</f>
        <v>833.5</v>
      </c>
      <c r="H367" s="46">
        <f t="shared" ref="H367" si="60">AVERAGE(G364:H364)</f>
        <v>1042</v>
      </c>
      <c r="I367" s="46">
        <f>AVERAGE(H364:I364)</f>
        <v>1170</v>
      </c>
      <c r="J367" s="46"/>
      <c r="K367" s="343">
        <f>MEDIAN(C367:I367)</f>
        <v>680.75</v>
      </c>
      <c r="L367" s="343">
        <f>AVERAGE(C367:I367)</f>
        <v>759.5</v>
      </c>
    </row>
    <row r="368" spans="2:12">
      <c r="B368" s="18"/>
    </row>
    <row r="369" spans="2:12">
      <c r="B369" s="15" t="s">
        <v>519</v>
      </c>
      <c r="C369" s="34">
        <f>C364/C361</f>
        <v>7.0493591491682578E-2</v>
      </c>
      <c r="D369" s="34">
        <f>D367/D361</f>
        <v>7.2180451127819553E-2</v>
      </c>
      <c r="E369" s="34">
        <f t="shared" ref="E369:I369" si="61">E367/E361</f>
        <v>5.7591948310139168E-2</v>
      </c>
      <c r="F369" s="34">
        <f t="shared" si="61"/>
        <v>5.4667788057190914E-2</v>
      </c>
      <c r="G369" s="34">
        <f t="shared" si="61"/>
        <v>8.5364604670217129E-2</v>
      </c>
      <c r="H369" s="34">
        <f t="shared" si="61"/>
        <v>0.10794571635760904</v>
      </c>
      <c r="I369" s="34">
        <f t="shared" si="61"/>
        <v>0.1080232665497184</v>
      </c>
      <c r="J369" s="325"/>
      <c r="K369" s="386">
        <f>MEDIAN(C369:I369)</f>
        <v>7.2180451127819553E-2</v>
      </c>
      <c r="L369" s="386">
        <f>AVERAGE(C369:I369)</f>
        <v>7.9466766652053836E-2</v>
      </c>
    </row>
    <row r="370" spans="2:12">
      <c r="B370" s="18"/>
    </row>
    <row r="371" spans="2:12">
      <c r="B371" s="15" t="s">
        <v>513</v>
      </c>
      <c r="C371" s="275">
        <f>C361/C364</f>
        <v>14.185686653771761</v>
      </c>
      <c r="D371" s="275">
        <f t="shared" ref="D371" si="62">D361/D367</f>
        <v>13.854166666666666</v>
      </c>
      <c r="E371" s="275">
        <f>E361/E367</f>
        <v>17.363538295577129</v>
      </c>
      <c r="F371" s="275">
        <f t="shared" ref="F371:I371" si="63">F361/F367</f>
        <v>18.292307692307691</v>
      </c>
      <c r="G371" s="275">
        <f t="shared" si="63"/>
        <v>11.714457108578284</v>
      </c>
      <c r="H371" s="275">
        <f t="shared" si="63"/>
        <v>9.2639155470249523</v>
      </c>
      <c r="I371" s="275">
        <f t="shared" si="63"/>
        <v>9.2572649572649581</v>
      </c>
      <c r="J371" s="219"/>
      <c r="K371" s="387">
        <f>MEDIAN(C371:I371)</f>
        <v>13.854166666666666</v>
      </c>
      <c r="L371" s="387">
        <f>AVERAGE(C371:I371)</f>
        <v>13.418762417313063</v>
      </c>
    </row>
    <row r="372" spans="2:12">
      <c r="B372" s="18"/>
    </row>
    <row r="373" spans="2:12">
      <c r="B373" s="15" t="s">
        <v>515</v>
      </c>
      <c r="C373" s="221">
        <f>$B$374/C371</f>
        <v>25.730160894464138</v>
      </c>
      <c r="D373" s="221">
        <f>$B$374/D371</f>
        <v>26.345864661654137</v>
      </c>
      <c r="E373" s="221">
        <f t="shared" ref="E373:I373" si="64">$B$374/E371</f>
        <v>21.021061133200796</v>
      </c>
      <c r="F373" s="221">
        <f t="shared" si="64"/>
        <v>19.953742640874687</v>
      </c>
      <c r="G373" s="221">
        <f t="shared" si="64"/>
        <v>31.158080704629253</v>
      </c>
      <c r="H373" s="221">
        <f t="shared" si="64"/>
        <v>39.400186470527295</v>
      </c>
      <c r="I373" s="221">
        <f t="shared" si="64"/>
        <v>39.428492290647213</v>
      </c>
      <c r="J373" s="270"/>
      <c r="K373" s="342">
        <f>MEDIAN(D373:I373)</f>
        <v>28.751972683141695</v>
      </c>
      <c r="L373" s="342">
        <f>AVERAGE(D373:I373)</f>
        <v>29.551237983588901</v>
      </c>
    </row>
    <row r="374" spans="2:12">
      <c r="B374" s="220">
        <v>365</v>
      </c>
      <c r="E374" s="24"/>
    </row>
    <row r="377" spans="2:12">
      <c r="B377" s="11" t="s">
        <v>593</v>
      </c>
      <c r="C377" s="401">
        <v>43525</v>
      </c>
      <c r="D377" s="401">
        <v>43891</v>
      </c>
      <c r="E377" s="401">
        <v>44256</v>
      </c>
      <c r="F377" s="401">
        <v>44621</v>
      </c>
      <c r="G377" s="401">
        <v>44986</v>
      </c>
      <c r="H377" s="401">
        <v>45382</v>
      </c>
      <c r="I377" s="401">
        <v>45717</v>
      </c>
      <c r="J377" s="406"/>
    </row>
    <row r="378" spans="2:12">
      <c r="B378" t="s">
        <v>494</v>
      </c>
      <c r="C378" s="24">
        <f>C373</f>
        <v>25.730160894464138</v>
      </c>
      <c r="D378" s="24">
        <f t="shared" ref="D378:I378" si="65">D373</f>
        <v>26.345864661654137</v>
      </c>
      <c r="E378" s="24">
        <f t="shared" si="65"/>
        <v>21.021061133200796</v>
      </c>
      <c r="F378" s="24">
        <f t="shared" si="65"/>
        <v>19.953742640874687</v>
      </c>
      <c r="G378" s="24">
        <f t="shared" si="65"/>
        <v>31.158080704629253</v>
      </c>
      <c r="H378" s="24">
        <f t="shared" si="65"/>
        <v>39.400186470527295</v>
      </c>
      <c r="I378" s="24">
        <f t="shared" si="65"/>
        <v>39.428492290647213</v>
      </c>
      <c r="J378" s="24"/>
    </row>
    <row r="379" spans="2:12">
      <c r="B379" t="s">
        <v>495</v>
      </c>
      <c r="C379">
        <v>8</v>
      </c>
      <c r="D379">
        <v>8</v>
      </c>
      <c r="E379">
        <v>10</v>
      </c>
      <c r="F379">
        <v>12</v>
      </c>
      <c r="G379">
        <v>18</v>
      </c>
      <c r="H379">
        <v>16</v>
      </c>
      <c r="I379">
        <v>17</v>
      </c>
    </row>
    <row r="380" spans="2:12">
      <c r="B380" t="s">
        <v>503</v>
      </c>
      <c r="C380">
        <v>17</v>
      </c>
      <c r="D380">
        <v>11</v>
      </c>
      <c r="E380">
        <v>14</v>
      </c>
      <c r="F380">
        <v>16</v>
      </c>
      <c r="G380">
        <v>19</v>
      </c>
      <c r="H380">
        <v>18</v>
      </c>
      <c r="I380">
        <v>22</v>
      </c>
    </row>
    <row r="381" spans="2:12">
      <c r="B381" t="s">
        <v>504</v>
      </c>
      <c r="C381">
        <v>36</v>
      </c>
      <c r="D381">
        <v>34</v>
      </c>
      <c r="E381">
        <v>21</v>
      </c>
      <c r="F381">
        <v>22</v>
      </c>
      <c r="G381">
        <v>27</v>
      </c>
      <c r="H381">
        <v>26</v>
      </c>
      <c r="I381">
        <v>26</v>
      </c>
    </row>
    <row r="383" spans="2:12">
      <c r="B383" s="15" t="s">
        <v>416</v>
      </c>
      <c r="C383" s="225">
        <f>MEDIAN(C379:C381)</f>
        <v>17</v>
      </c>
      <c r="D383" s="225">
        <f t="shared" ref="D383:I383" si="66">MEDIAN(D379:D381)</f>
        <v>11</v>
      </c>
      <c r="E383" s="225">
        <f t="shared" si="66"/>
        <v>14</v>
      </c>
      <c r="F383" s="225">
        <f t="shared" si="66"/>
        <v>16</v>
      </c>
      <c r="G383" s="225">
        <f t="shared" si="66"/>
        <v>19</v>
      </c>
      <c r="H383" s="225">
        <f t="shared" si="66"/>
        <v>18</v>
      </c>
      <c r="I383" s="225">
        <f t="shared" si="66"/>
        <v>22</v>
      </c>
      <c r="J383" s="24"/>
    </row>
    <row r="384" spans="2:12">
      <c r="B384" s="15" t="s">
        <v>505</v>
      </c>
      <c r="C384" s="225">
        <f>AVERAGE(C379:C381)</f>
        <v>20.333333333333332</v>
      </c>
      <c r="D384" s="225">
        <f t="shared" ref="D384:H384" si="67">AVERAGE(D379:D381)</f>
        <v>17.666666666666668</v>
      </c>
      <c r="E384" s="225">
        <f t="shared" si="67"/>
        <v>15</v>
      </c>
      <c r="F384" s="225">
        <f t="shared" si="67"/>
        <v>16.666666666666668</v>
      </c>
      <c r="G384" s="225">
        <f t="shared" si="67"/>
        <v>21.333333333333332</v>
      </c>
      <c r="H384" s="225">
        <f t="shared" si="67"/>
        <v>20</v>
      </c>
      <c r="I384" s="225">
        <f>AVERAGE(I379:I381)</f>
        <v>21.666666666666668</v>
      </c>
      <c r="J384" s="24"/>
    </row>
    <row r="386" spans="2:9" ht="15.6">
      <c r="B386" s="139" t="s">
        <v>506</v>
      </c>
      <c r="C386" s="266"/>
      <c r="D386" s="266"/>
      <c r="E386" s="266"/>
      <c r="F386" s="266"/>
      <c r="G386" s="266"/>
      <c r="H386" s="266"/>
      <c r="I386" s="266"/>
    </row>
    <row r="388" spans="2:9">
      <c r="B388" s="11" t="s">
        <v>154</v>
      </c>
      <c r="C388" s="11">
        <v>2026</v>
      </c>
      <c r="D388" s="11">
        <v>2027</v>
      </c>
      <c r="E388" s="11">
        <v>2028</v>
      </c>
    </row>
    <row r="389" spans="2:9">
      <c r="B389" t="s">
        <v>507</v>
      </c>
      <c r="C389" s="397">
        <v>42.6</v>
      </c>
      <c r="D389" s="397">
        <v>42.6</v>
      </c>
      <c r="E389" s="397">
        <v>42.6</v>
      </c>
    </row>
    <row r="390" spans="2:9">
      <c r="B390" t="s">
        <v>509</v>
      </c>
      <c r="C390" s="398">
        <v>40.033667962534651</v>
      </c>
      <c r="D390" s="398">
        <v>39.842219804134928</v>
      </c>
      <c r="E390" s="398">
        <v>39.645309309956808</v>
      </c>
    </row>
    <row r="391" spans="2:9">
      <c r="B391" t="s">
        <v>508</v>
      </c>
      <c r="C391" s="398">
        <v>40.033667962534651</v>
      </c>
      <c r="D391" s="398">
        <v>39.842219804134928</v>
      </c>
      <c r="E391" s="398">
        <v>39.645309309956808</v>
      </c>
    </row>
    <row r="394" spans="2:9" ht="15.6">
      <c r="B394" s="139" t="s">
        <v>514</v>
      </c>
      <c r="C394" s="266"/>
      <c r="D394" s="266"/>
      <c r="E394" s="266"/>
      <c r="F394" s="266"/>
      <c r="G394" s="266"/>
      <c r="H394" s="266"/>
      <c r="I394" s="266"/>
    </row>
    <row r="408" spans="1:12" ht="21">
      <c r="A408" s="228" t="s">
        <v>21</v>
      </c>
      <c r="B408" s="383" t="s">
        <v>9</v>
      </c>
    </row>
    <row r="410" spans="1:12" ht="15.6">
      <c r="B410" s="11" t="s">
        <v>154</v>
      </c>
      <c r="C410" s="401">
        <v>43525</v>
      </c>
      <c r="D410" s="401">
        <v>43891</v>
      </c>
      <c r="E410" s="401">
        <v>44256</v>
      </c>
      <c r="F410" s="401">
        <v>44621</v>
      </c>
      <c r="G410" s="401">
        <v>44986</v>
      </c>
      <c r="H410" s="401">
        <v>45382</v>
      </c>
      <c r="I410" s="401">
        <v>45717</v>
      </c>
      <c r="J410" s="289"/>
      <c r="K410" s="337" t="s">
        <v>416</v>
      </c>
      <c r="L410" s="337" t="s">
        <v>505</v>
      </c>
    </row>
    <row r="411" spans="1:12">
      <c r="B411" s="93" t="s">
        <v>294</v>
      </c>
      <c r="C411" s="141">
        <v>7334</v>
      </c>
      <c r="D411" s="141">
        <v>7315</v>
      </c>
      <c r="E411" s="141">
        <v>8048</v>
      </c>
      <c r="F411" s="141">
        <v>9512</v>
      </c>
      <c r="G411" s="141">
        <v>9764</v>
      </c>
      <c r="H411" s="141">
        <v>9653</v>
      </c>
      <c r="I411" s="141">
        <v>10831</v>
      </c>
      <c r="J411" s="141"/>
    </row>
    <row r="412" spans="1:12">
      <c r="B412" s="240" t="s">
        <v>293</v>
      </c>
      <c r="C412" s="384">
        <v>0.1600759253400823</v>
      </c>
      <c r="D412" s="384">
        <f>D411/C411-1</f>
        <v>-2.5906735751295429E-3</v>
      </c>
      <c r="E412" s="384">
        <f t="shared" ref="E412" si="68">E411/D411-1</f>
        <v>0.10020505809979485</v>
      </c>
      <c r="F412" s="384">
        <f t="shared" ref="F412" si="69">F411/E411-1</f>
        <v>0.18190854870775341</v>
      </c>
      <c r="G412" s="384">
        <f t="shared" ref="G412" si="70">G411/F411-1</f>
        <v>2.6492851135407891E-2</v>
      </c>
      <c r="H412" s="384">
        <f t="shared" ref="H412" si="71">H411/G411-1</f>
        <v>-1.1368291683736209E-2</v>
      </c>
      <c r="I412" s="384">
        <f t="shared" ref="I412" si="72">I411/H411-1</f>
        <v>0.12203460064228744</v>
      </c>
      <c r="J412" s="394"/>
      <c r="K412" s="386">
        <f>MEDIAN(C412:I412)</f>
        <v>0.10020505809979485</v>
      </c>
      <c r="L412" s="386">
        <f>AVERAGE(C412:I412)</f>
        <v>8.239400266663717E-2</v>
      </c>
    </row>
    <row r="413" spans="1:12">
      <c r="B413" s="18"/>
    </row>
    <row r="414" spans="1:12">
      <c r="B414" s="216" t="s">
        <v>194</v>
      </c>
      <c r="C414" s="141">
        <v>720</v>
      </c>
      <c r="D414" s="141">
        <v>984</v>
      </c>
      <c r="E414" s="141">
        <v>878</v>
      </c>
      <c r="F414" s="141">
        <v>862</v>
      </c>
      <c r="G414" s="141">
        <v>824</v>
      </c>
      <c r="H414" s="141">
        <v>655</v>
      </c>
      <c r="I414" s="141">
        <v>1800</v>
      </c>
      <c r="J414" s="100"/>
    </row>
    <row r="415" spans="1:12">
      <c r="B415" s="240" t="s">
        <v>520</v>
      </c>
      <c r="C415" s="240"/>
      <c r="D415" s="384">
        <f>D414/C414-1</f>
        <v>0.3666666666666667</v>
      </c>
      <c r="E415" s="384">
        <f t="shared" ref="E415" si="73">E414/D414-1</f>
        <v>-0.10772357723577231</v>
      </c>
      <c r="F415" s="384">
        <f t="shared" ref="F415" si="74">F414/E414-1</f>
        <v>-1.8223234624145768E-2</v>
      </c>
      <c r="G415" s="384">
        <f t="shared" ref="G415" si="75">G414/F414-1</f>
        <v>-4.4083526682134555E-2</v>
      </c>
      <c r="H415" s="384">
        <f t="shared" ref="H415" si="76">H414/G414-1</f>
        <v>-0.20509708737864074</v>
      </c>
      <c r="I415" s="384">
        <f t="shared" ref="I415" si="77">I414/H414-1</f>
        <v>1.7480916030534353</v>
      </c>
      <c r="J415" s="394"/>
      <c r="K415" s="386">
        <f>MEDIAN(C415:I415)</f>
        <v>-3.1153380653140161E-2</v>
      </c>
      <c r="L415" s="386">
        <f>AVERAGE(C415:I415)</f>
        <v>0.28993847396656808</v>
      </c>
    </row>
    <row r="417" spans="1:12">
      <c r="B417" s="16" t="s">
        <v>518</v>
      </c>
      <c r="C417" s="34"/>
      <c r="D417" s="396">
        <f>D414/D411</f>
        <v>0.1345181134654819</v>
      </c>
      <c r="E417" s="396">
        <f t="shared" ref="E417:I417" si="78">E414/E411</f>
        <v>0.10909542743538768</v>
      </c>
      <c r="F417" s="396">
        <f t="shared" si="78"/>
        <v>9.0622371740958788E-2</v>
      </c>
      <c r="G417" s="396">
        <f t="shared" si="78"/>
        <v>8.4391642769356817E-2</v>
      </c>
      <c r="H417" s="396">
        <f t="shared" si="78"/>
        <v>6.7854552988708169E-2</v>
      </c>
      <c r="I417" s="396">
        <f t="shared" si="78"/>
        <v>0.1661896408457206</v>
      </c>
      <c r="J417" s="328"/>
      <c r="K417" s="386">
        <f>MEDIAN(C417:I417)</f>
        <v>9.9858899588173233E-2</v>
      </c>
      <c r="L417" s="386">
        <f>AVERAGE(C417:I417)</f>
        <v>0.10877862487426898</v>
      </c>
    </row>
    <row r="420" spans="1:12" ht="15.6">
      <c r="B420" s="139" t="s">
        <v>506</v>
      </c>
      <c r="C420" s="266"/>
      <c r="D420" s="266"/>
      <c r="E420" s="266"/>
      <c r="F420" s="266"/>
      <c r="G420" s="266"/>
      <c r="H420" s="266"/>
      <c r="I420" s="266"/>
    </row>
    <row r="422" spans="1:12">
      <c r="B422" s="213" t="s">
        <v>154</v>
      </c>
      <c r="C422" s="213">
        <v>2026</v>
      </c>
      <c r="D422" s="213">
        <v>2027</v>
      </c>
      <c r="E422" s="213">
        <v>2028</v>
      </c>
    </row>
    <row r="423" spans="1:12">
      <c r="B423" t="s">
        <v>509</v>
      </c>
      <c r="C423" s="194">
        <v>0.18503026425864869</v>
      </c>
      <c r="D423" s="194">
        <v>0.16813987806877637</v>
      </c>
      <c r="E423" s="194">
        <v>0.15201029573279609</v>
      </c>
    </row>
    <row r="424" spans="1:12">
      <c r="B424" t="s">
        <v>521</v>
      </c>
      <c r="C424" s="194">
        <v>0.15211990725405763</v>
      </c>
      <c r="D424" s="194">
        <v>0.14038860872144765</v>
      </c>
      <c r="E424" s="267" t="s">
        <v>121</v>
      </c>
    </row>
    <row r="427" spans="1:12">
      <c r="L427" s="353"/>
    </row>
    <row r="428" spans="1:12">
      <c r="L428" s="353"/>
    </row>
    <row r="429" spans="1:12">
      <c r="L429" s="353"/>
    </row>
    <row r="430" spans="1:12">
      <c r="L430" s="353"/>
    </row>
    <row r="431" spans="1:12">
      <c r="L431" s="353"/>
    </row>
    <row r="432" spans="1:12" ht="21">
      <c r="A432" s="232" t="s">
        <v>21</v>
      </c>
      <c r="B432" s="228" t="s">
        <v>177</v>
      </c>
      <c r="L432" s="353"/>
    </row>
    <row r="434" spans="2:25" ht="15.6">
      <c r="B434" s="139" t="s">
        <v>154</v>
      </c>
      <c r="C434" s="140">
        <v>43525</v>
      </c>
      <c r="D434" s="140">
        <v>43891</v>
      </c>
      <c r="E434" s="140">
        <v>44256</v>
      </c>
      <c r="F434" s="140">
        <v>44621</v>
      </c>
      <c r="G434" s="140">
        <v>44986</v>
      </c>
      <c r="H434" s="140">
        <v>45382</v>
      </c>
      <c r="I434" s="140">
        <v>45717</v>
      </c>
      <c r="J434" s="289"/>
      <c r="K434" s="337" t="s">
        <v>416</v>
      </c>
      <c r="L434" s="337" t="s">
        <v>505</v>
      </c>
      <c r="R434" s="40"/>
    </row>
    <row r="435" spans="2:25">
      <c r="B435" t="s">
        <v>524</v>
      </c>
      <c r="C435" s="203">
        <v>1716</v>
      </c>
      <c r="D435" s="203">
        <v>1922</v>
      </c>
      <c r="E435" s="203">
        <v>2185</v>
      </c>
      <c r="F435" s="203">
        <v>2428</v>
      </c>
      <c r="G435" s="203">
        <v>2993</v>
      </c>
      <c r="H435" s="203">
        <v>3561</v>
      </c>
      <c r="I435" s="203">
        <v>3510</v>
      </c>
      <c r="J435" s="203"/>
      <c r="K435" s="344">
        <f>MEDIAN(C435:I435)</f>
        <v>2428</v>
      </c>
      <c r="L435" s="344">
        <f>AVERAGE(C435:I435)</f>
        <v>2616.4285714285716</v>
      </c>
    </row>
    <row r="436" spans="2:25">
      <c r="B436" s="295" t="s">
        <v>577</v>
      </c>
      <c r="C436" s="296">
        <v>430</v>
      </c>
      <c r="D436" s="296">
        <v>539</v>
      </c>
      <c r="E436" s="296">
        <v>590</v>
      </c>
      <c r="F436" s="296">
        <v>690</v>
      </c>
      <c r="G436" s="296">
        <v>763</v>
      </c>
      <c r="H436" s="296">
        <v>852</v>
      </c>
      <c r="I436" s="296">
        <v>767</v>
      </c>
      <c r="J436" s="203"/>
      <c r="K436" s="343"/>
      <c r="L436" s="343"/>
    </row>
    <row r="437" spans="2:25" ht="15" thickBot="1">
      <c r="B437" s="291" t="s">
        <v>563</v>
      </c>
      <c r="C437" s="292">
        <f t="shared" ref="C437:I437" si="79">C435-C436</f>
        <v>1286</v>
      </c>
      <c r="D437" s="292">
        <f t="shared" si="79"/>
        <v>1383</v>
      </c>
      <c r="E437" s="292">
        <f t="shared" si="79"/>
        <v>1595</v>
      </c>
      <c r="F437" s="292">
        <f t="shared" si="79"/>
        <v>1738</v>
      </c>
      <c r="G437" s="292">
        <f t="shared" si="79"/>
        <v>2230</v>
      </c>
      <c r="H437" s="292">
        <f t="shared" si="79"/>
        <v>2709</v>
      </c>
      <c r="I437" s="292">
        <f t="shared" si="79"/>
        <v>2743</v>
      </c>
      <c r="J437" s="203"/>
      <c r="K437" s="343"/>
      <c r="L437" s="343"/>
    </row>
    <row r="438" spans="2:25">
      <c r="J438" s="203"/>
    </row>
    <row r="439" spans="2:25">
      <c r="B439" s="18" t="s">
        <v>12</v>
      </c>
      <c r="C439" s="248">
        <v>4909</v>
      </c>
      <c r="D439" s="248">
        <v>5002</v>
      </c>
      <c r="E439" s="248">
        <v>5510</v>
      </c>
      <c r="F439" s="248">
        <v>5786</v>
      </c>
      <c r="G439" s="248">
        <v>6946</v>
      </c>
      <c r="H439" s="248">
        <v>7421</v>
      </c>
      <c r="I439" s="248">
        <v>8338</v>
      </c>
      <c r="J439" s="329"/>
      <c r="K439"/>
      <c r="L439"/>
    </row>
    <row r="440" spans="2:25">
      <c r="J440" s="248"/>
      <c r="K440" s="343"/>
      <c r="L440" s="343"/>
      <c r="S440" s="203"/>
      <c r="T440" s="203"/>
      <c r="U440" s="203"/>
      <c r="V440" s="203"/>
      <c r="W440" s="203"/>
      <c r="X440" s="203"/>
      <c r="Y440" s="203"/>
    </row>
    <row r="441" spans="2:25">
      <c r="B441" s="240" t="s">
        <v>525</v>
      </c>
      <c r="C441" s="241">
        <f>C437/C439</f>
        <v>0.26196781421878185</v>
      </c>
      <c r="D441" s="241">
        <f t="shared" ref="D441:I441" si="80">D437/D439</f>
        <v>0.2764894042383047</v>
      </c>
      <c r="E441" s="241">
        <f t="shared" si="80"/>
        <v>0.28947368421052633</v>
      </c>
      <c r="F441" s="241">
        <f t="shared" si="80"/>
        <v>0.30038022813688214</v>
      </c>
      <c r="G441" s="241">
        <f t="shared" si="80"/>
        <v>0.32104808522890871</v>
      </c>
      <c r="H441" s="241">
        <f t="shared" si="80"/>
        <v>0.36504514216412881</v>
      </c>
      <c r="I441" s="241">
        <f t="shared" si="80"/>
        <v>0.32897577356680258</v>
      </c>
      <c r="K441" s="345">
        <f>MEDIAN(C441:I441)</f>
        <v>0.30038022813688214</v>
      </c>
      <c r="L441" s="345">
        <f>AVERAGE(C441:I441)</f>
        <v>0.30619716168061928</v>
      </c>
      <c r="S441" s="203"/>
      <c r="T441" s="203"/>
      <c r="U441" s="203"/>
      <c r="V441" s="203"/>
      <c r="W441" s="203"/>
      <c r="X441" s="203"/>
      <c r="Y441" s="203"/>
    </row>
    <row r="442" spans="2:25">
      <c r="J442" s="248"/>
      <c r="R442" s="40"/>
    </row>
    <row r="443" spans="2:25">
      <c r="B443" s="93" t="s">
        <v>561</v>
      </c>
      <c r="C443" s="141">
        <v>7334</v>
      </c>
      <c r="D443" s="141">
        <v>7315</v>
      </c>
      <c r="E443" s="141">
        <v>8048</v>
      </c>
      <c r="F443" s="141">
        <v>9512</v>
      </c>
      <c r="G443" s="141">
        <v>9764</v>
      </c>
      <c r="H443" s="141">
        <v>9653</v>
      </c>
      <c r="I443" s="141">
        <v>10831</v>
      </c>
      <c r="R443" s="40"/>
    </row>
    <row r="444" spans="2:25">
      <c r="B444" s="240" t="s">
        <v>544</v>
      </c>
      <c r="C444" s="241">
        <f>C437/C443</f>
        <v>0.17534769566403055</v>
      </c>
      <c r="D444" s="241">
        <f t="shared" ref="D444:I444" si="81">D437/D443</f>
        <v>0.18906356801093643</v>
      </c>
      <c r="E444" s="241">
        <f t="shared" si="81"/>
        <v>0.19818588469184892</v>
      </c>
      <c r="F444" s="241">
        <f t="shared" si="81"/>
        <v>0.18271656854499579</v>
      </c>
      <c r="G444" s="241">
        <f t="shared" si="81"/>
        <v>0.2283900040966817</v>
      </c>
      <c r="H444" s="241">
        <f t="shared" si="81"/>
        <v>0.28063814358230604</v>
      </c>
      <c r="I444" s="241">
        <f t="shared" si="81"/>
        <v>0.2532545471332287</v>
      </c>
      <c r="J444" s="243"/>
      <c r="K444" s="345">
        <f>MEDIAN(C444:I444)</f>
        <v>0.19818588469184892</v>
      </c>
      <c r="L444" s="345">
        <f>AVERAGE(C444:I444)</f>
        <v>0.21537091596057545</v>
      </c>
      <c r="R444" s="233"/>
    </row>
    <row r="445" spans="2:25">
      <c r="B445" s="136"/>
      <c r="C445" s="243"/>
      <c r="D445" s="243"/>
      <c r="E445" s="243"/>
      <c r="F445" s="243"/>
      <c r="G445" s="243"/>
      <c r="H445" s="243"/>
      <c r="I445" s="243"/>
    </row>
    <row r="446" spans="2:25">
      <c r="B446" s="240" t="s">
        <v>649</v>
      </c>
      <c r="C446" s="241"/>
      <c r="D446" s="241">
        <f t="shared" ref="D446:I446" si="82">D435/C435-1</f>
        <v>0.12004662004662014</v>
      </c>
      <c r="E446" s="241">
        <f t="shared" si="82"/>
        <v>0.13683662851196665</v>
      </c>
      <c r="F446" s="241">
        <f t="shared" si="82"/>
        <v>0.11121281464530886</v>
      </c>
      <c r="G446" s="241">
        <f t="shared" si="82"/>
        <v>0.23270181219110375</v>
      </c>
      <c r="H446" s="241">
        <f t="shared" si="82"/>
        <v>0.1897761443367858</v>
      </c>
      <c r="I446" s="241">
        <f t="shared" si="82"/>
        <v>-1.432181971356361E-2</v>
      </c>
      <c r="J446" s="141"/>
      <c r="K446" s="345">
        <f>MEDIAN(C446:I446)</f>
        <v>0.1284416242792934</v>
      </c>
      <c r="L446" s="345">
        <f>AVERAGE(C446:I446)</f>
        <v>0.12937536666970359</v>
      </c>
    </row>
    <row r="447" spans="2:25">
      <c r="B447" s="136"/>
      <c r="C447" s="243"/>
      <c r="D447" s="243"/>
      <c r="E447" s="243"/>
      <c r="F447" s="243"/>
      <c r="G447" s="243"/>
      <c r="H447" s="243"/>
      <c r="I447" s="243"/>
      <c r="J447" s="243"/>
    </row>
    <row r="448" spans="2:25">
      <c r="B448" s="18" t="s">
        <v>647</v>
      </c>
      <c r="C448" s="18"/>
      <c r="D448" s="94">
        <f t="shared" ref="D448:I448" si="83">D435-C435</f>
        <v>206</v>
      </c>
      <c r="E448" s="94">
        <f t="shared" si="83"/>
        <v>263</v>
      </c>
      <c r="F448" s="94">
        <f t="shared" si="83"/>
        <v>243</v>
      </c>
      <c r="G448" s="94">
        <f t="shared" si="83"/>
        <v>565</v>
      </c>
      <c r="H448" s="94">
        <f t="shared" si="83"/>
        <v>568</v>
      </c>
      <c r="I448" s="94">
        <f t="shared" si="83"/>
        <v>-51</v>
      </c>
      <c r="J448" s="243"/>
      <c r="K448" s="346"/>
      <c r="L448" s="346"/>
    </row>
    <row r="449" spans="2:16">
      <c r="B449" s="93" t="s">
        <v>560</v>
      </c>
      <c r="C449" s="94"/>
      <c r="D449" s="94">
        <f t="shared" ref="D449:I449" si="84">D443-C443</f>
        <v>-19</v>
      </c>
      <c r="E449" s="94">
        <f t="shared" si="84"/>
        <v>733</v>
      </c>
      <c r="F449" s="94">
        <f t="shared" si="84"/>
        <v>1464</v>
      </c>
      <c r="G449" s="94">
        <f t="shared" si="84"/>
        <v>252</v>
      </c>
      <c r="H449" s="94">
        <f t="shared" si="84"/>
        <v>-111</v>
      </c>
      <c r="I449" s="94">
        <f t="shared" si="84"/>
        <v>1178</v>
      </c>
      <c r="J449" s="243"/>
    </row>
    <row r="450" spans="2:16">
      <c r="B450" s="102"/>
      <c r="C450" s="141"/>
      <c r="D450" s="141"/>
      <c r="E450" s="141"/>
      <c r="F450" s="141"/>
      <c r="G450" s="141"/>
      <c r="H450" s="141"/>
      <c r="I450" s="141"/>
      <c r="J450" s="243"/>
    </row>
    <row r="451" spans="2:16">
      <c r="B451" s="246" t="s">
        <v>562</v>
      </c>
      <c r="C451" s="247"/>
      <c r="D451" s="249">
        <f>D449/D448</f>
        <v>-9.2233009708737865E-2</v>
      </c>
      <c r="E451" s="249">
        <f t="shared" ref="E451:I451" si="85">E449/E448</f>
        <v>2.7870722433460076</v>
      </c>
      <c r="F451" s="249">
        <f t="shared" si="85"/>
        <v>6.0246913580246915</v>
      </c>
      <c r="G451" s="249">
        <f t="shared" si="85"/>
        <v>0.44601769911504424</v>
      </c>
      <c r="H451" s="249">
        <f t="shared" si="85"/>
        <v>-0.1954225352112676</v>
      </c>
      <c r="I451" s="249">
        <f t="shared" si="85"/>
        <v>-23.098039215686274</v>
      </c>
      <c r="J451" s="94"/>
      <c r="K451" s="347">
        <f>MEDIAN(C451:I451)</f>
        <v>0.17689234470315318</v>
      </c>
      <c r="L451" s="347">
        <f>AVERAGE(C451:I451)</f>
        <v>-2.3546522433534229</v>
      </c>
    </row>
    <row r="452" spans="2:16">
      <c r="B452" s="257" t="s">
        <v>116</v>
      </c>
      <c r="C452" s="258">
        <f>C443/C439</f>
        <v>1.4939906294561009</v>
      </c>
      <c r="D452" s="258">
        <f t="shared" ref="D452:I452" si="86">D443/D439</f>
        <v>1.4624150339864055</v>
      </c>
      <c r="E452" s="258">
        <f t="shared" si="86"/>
        <v>1.460617059891107</v>
      </c>
      <c r="F452" s="258">
        <f t="shared" si="86"/>
        <v>1.6439681991012789</v>
      </c>
      <c r="G452" s="258">
        <f t="shared" si="86"/>
        <v>1.4057011229484595</v>
      </c>
      <c r="H452" s="258">
        <f t="shared" si="86"/>
        <v>1.3007680905538337</v>
      </c>
      <c r="I452" s="258">
        <f t="shared" si="86"/>
        <v>1.2989925641640681</v>
      </c>
      <c r="J452" s="94"/>
      <c r="K452" s="345">
        <f>MEDIAN(C452:I452)</f>
        <v>1.460617059891107</v>
      </c>
      <c r="L452" s="345">
        <f>AVERAGE(C452:I452)</f>
        <v>1.4380646714430365</v>
      </c>
    </row>
    <row r="453" spans="2:16">
      <c r="B453" s="136"/>
      <c r="C453" s="243"/>
      <c r="D453" s="243"/>
      <c r="E453" s="243"/>
      <c r="F453" s="243"/>
      <c r="G453" s="243"/>
      <c r="H453" s="243"/>
      <c r="I453" s="243"/>
      <c r="J453" s="141"/>
    </row>
    <row r="454" spans="2:16" ht="15.6">
      <c r="B454" s="139" t="s">
        <v>578</v>
      </c>
      <c r="C454" s="140">
        <v>43525</v>
      </c>
      <c r="D454" s="140">
        <v>43891</v>
      </c>
      <c r="E454" s="140">
        <v>44256</v>
      </c>
      <c r="F454" s="140">
        <v>44621</v>
      </c>
      <c r="G454" s="140">
        <v>44986</v>
      </c>
      <c r="H454" s="140">
        <v>45382</v>
      </c>
      <c r="I454" s="140">
        <v>45717</v>
      </c>
      <c r="J454" s="330"/>
    </row>
    <row r="455" spans="2:16">
      <c r="B455" t="s">
        <v>545</v>
      </c>
      <c r="C455">
        <v>71</v>
      </c>
      <c r="D455">
        <v>74</v>
      </c>
      <c r="E455">
        <v>73</v>
      </c>
      <c r="F455">
        <v>81</v>
      </c>
      <c r="G455">
        <v>71</v>
      </c>
      <c r="H455">
        <v>91</v>
      </c>
      <c r="I455">
        <v>83</v>
      </c>
      <c r="J455" s="297"/>
    </row>
    <row r="456" spans="2:16">
      <c r="B456" t="s">
        <v>546</v>
      </c>
      <c r="C456">
        <v>560</v>
      </c>
      <c r="D456">
        <v>617</v>
      </c>
      <c r="E456">
        <v>597</v>
      </c>
      <c r="F456">
        <v>620</v>
      </c>
      <c r="G456">
        <v>645</v>
      </c>
      <c r="H456">
        <v>706</v>
      </c>
      <c r="I456">
        <v>679</v>
      </c>
      <c r="J456" s="243"/>
    </row>
    <row r="457" spans="2:16" ht="15.6">
      <c r="B457" s="74" t="s">
        <v>547</v>
      </c>
      <c r="C457">
        <v>470</v>
      </c>
      <c r="D457">
        <v>583</v>
      </c>
      <c r="E457">
        <v>590</v>
      </c>
      <c r="F457">
        <v>671</v>
      </c>
      <c r="G457">
        <v>748</v>
      </c>
      <c r="H457">
        <v>837</v>
      </c>
      <c r="I457">
        <v>811</v>
      </c>
      <c r="J457" s="289"/>
      <c r="O457" s="288"/>
      <c r="P457" s="289"/>
    </row>
    <row r="458" spans="2:16">
      <c r="B458" t="s">
        <v>548</v>
      </c>
      <c r="C458">
        <v>18</v>
      </c>
      <c r="D458">
        <v>20</v>
      </c>
      <c r="E458">
        <v>23</v>
      </c>
      <c r="F458">
        <v>26</v>
      </c>
      <c r="G458">
        <v>29</v>
      </c>
      <c r="H458">
        <v>33</v>
      </c>
      <c r="I458">
        <v>32</v>
      </c>
      <c r="O458" s="136"/>
      <c r="P458" s="243"/>
    </row>
    <row r="459" spans="2:16">
      <c r="B459" t="s">
        <v>549</v>
      </c>
      <c r="C459">
        <v>21</v>
      </c>
      <c r="D459">
        <v>28</v>
      </c>
      <c r="E459">
        <v>32</v>
      </c>
      <c r="F459">
        <v>36</v>
      </c>
      <c r="G459">
        <v>39</v>
      </c>
      <c r="H459">
        <v>46</v>
      </c>
      <c r="I459">
        <v>47</v>
      </c>
    </row>
    <row r="460" spans="2:16">
      <c r="B460" t="s">
        <v>550</v>
      </c>
      <c r="C460">
        <v>4</v>
      </c>
      <c r="D460">
        <v>5</v>
      </c>
      <c r="E460">
        <v>6</v>
      </c>
      <c r="F460">
        <v>6</v>
      </c>
      <c r="G460">
        <v>6</v>
      </c>
      <c r="H460">
        <v>6</v>
      </c>
      <c r="I460">
        <v>6</v>
      </c>
    </row>
    <row r="461" spans="2:16">
      <c r="B461" t="s">
        <v>551</v>
      </c>
      <c r="C461">
        <v>554</v>
      </c>
      <c r="D461">
        <v>573</v>
      </c>
      <c r="E461">
        <v>830</v>
      </c>
      <c r="F461">
        <v>945</v>
      </c>
      <c r="G461" s="242">
        <v>1409</v>
      </c>
      <c r="H461" s="242">
        <v>1773</v>
      </c>
      <c r="I461" s="242">
        <v>1767</v>
      </c>
    </row>
    <row r="462" spans="2:16">
      <c r="D462" s="35"/>
      <c r="E462" s="35"/>
      <c r="F462" s="35"/>
      <c r="G462" s="35"/>
      <c r="H462" s="35"/>
      <c r="I462" s="35"/>
      <c r="K462" s="346"/>
      <c r="L462" s="346"/>
    </row>
    <row r="463" spans="2:16">
      <c r="B463" t="s">
        <v>552</v>
      </c>
      <c r="C463">
        <v>36</v>
      </c>
      <c r="D463">
        <v>40</v>
      </c>
      <c r="E463">
        <v>53</v>
      </c>
      <c r="F463">
        <v>138</v>
      </c>
      <c r="G463">
        <v>68</v>
      </c>
      <c r="H463">
        <v>92</v>
      </c>
      <c r="I463">
        <v>110</v>
      </c>
    </row>
    <row r="464" spans="2:16">
      <c r="B464" s="253" t="s">
        <v>449</v>
      </c>
      <c r="C464" s="407">
        <f>SUM(C455:C463)</f>
        <v>1734</v>
      </c>
      <c r="D464" s="407">
        <f t="shared" ref="D464:I464" si="87">SUM(D455:D463)</f>
        <v>1940</v>
      </c>
      <c r="E464" s="407">
        <f t="shared" si="87"/>
        <v>2204</v>
      </c>
      <c r="F464" s="407">
        <f t="shared" si="87"/>
        <v>2523</v>
      </c>
      <c r="G464" s="407">
        <f t="shared" si="87"/>
        <v>3015</v>
      </c>
      <c r="H464" s="407">
        <f t="shared" si="87"/>
        <v>3584</v>
      </c>
      <c r="I464" s="407">
        <f t="shared" si="87"/>
        <v>3535</v>
      </c>
    </row>
    <row r="465" spans="1:10">
      <c r="C465" s="408">
        <f t="shared" ref="C465:I465" si="88">C464-C435</f>
        <v>18</v>
      </c>
      <c r="D465" s="408">
        <f t="shared" si="88"/>
        <v>18</v>
      </c>
      <c r="E465" s="408">
        <f t="shared" si="88"/>
        <v>19</v>
      </c>
      <c r="F465" s="408">
        <f t="shared" si="88"/>
        <v>95</v>
      </c>
      <c r="G465" s="408">
        <f t="shared" si="88"/>
        <v>22</v>
      </c>
      <c r="H465" s="408">
        <f t="shared" si="88"/>
        <v>23</v>
      </c>
      <c r="I465" s="408">
        <f t="shared" si="88"/>
        <v>25</v>
      </c>
      <c r="J465" s="242"/>
    </row>
    <row r="466" spans="1:10">
      <c r="C466" s="203"/>
      <c r="D466" s="203"/>
      <c r="E466" s="203"/>
      <c r="F466" s="203"/>
      <c r="G466" s="203"/>
      <c r="H466" s="203"/>
      <c r="I466" s="203"/>
    </row>
    <row r="467" spans="1:10">
      <c r="B467" s="11" t="s">
        <v>578</v>
      </c>
      <c r="C467" s="401">
        <v>43525</v>
      </c>
      <c r="D467" s="401">
        <v>43891</v>
      </c>
      <c r="E467" s="401">
        <v>44256</v>
      </c>
      <c r="F467" s="401">
        <v>44621</v>
      </c>
      <c r="G467" s="401">
        <v>44986</v>
      </c>
      <c r="H467" s="401">
        <v>45382</v>
      </c>
      <c r="I467" s="401">
        <v>45717</v>
      </c>
      <c r="J467" s="250"/>
    </row>
    <row r="468" spans="1:10">
      <c r="B468" t="s">
        <v>545</v>
      </c>
      <c r="C468" s="194">
        <f t="shared" ref="C468:I474" si="89">C455/C$464</f>
        <v>4.0945790080738176E-2</v>
      </c>
      <c r="D468" s="194">
        <f t="shared" si="89"/>
        <v>3.814432989690722E-2</v>
      </c>
      <c r="E468" s="194">
        <f t="shared" si="89"/>
        <v>3.3121597096188747E-2</v>
      </c>
      <c r="F468" s="194">
        <f t="shared" si="89"/>
        <v>3.2104637336504163E-2</v>
      </c>
      <c r="G468" s="194">
        <f t="shared" si="89"/>
        <v>2.3548922056384744E-2</v>
      </c>
      <c r="H468" s="194">
        <f t="shared" si="89"/>
        <v>2.5390625E-2</v>
      </c>
      <c r="I468" s="194">
        <f t="shared" si="89"/>
        <v>2.3479490806223479E-2</v>
      </c>
      <c r="J468" s="203"/>
    </row>
    <row r="469" spans="1:10" ht="15.6">
      <c r="B469" t="s">
        <v>546</v>
      </c>
      <c r="C469" s="194">
        <f t="shared" si="89"/>
        <v>0.32295271049596308</v>
      </c>
      <c r="D469" s="194">
        <f t="shared" si="89"/>
        <v>0.31804123711340204</v>
      </c>
      <c r="E469" s="194">
        <f t="shared" si="89"/>
        <v>0.27087114337568058</v>
      </c>
      <c r="F469" s="194">
        <f t="shared" si="89"/>
        <v>0.24573919936583433</v>
      </c>
      <c r="G469" s="194">
        <f t="shared" si="89"/>
        <v>0.21393034825870647</v>
      </c>
      <c r="H469" s="194">
        <f t="shared" si="89"/>
        <v>0.19698660714285715</v>
      </c>
      <c r="I469" s="194">
        <f t="shared" si="89"/>
        <v>0.19207920792079208</v>
      </c>
      <c r="J469" s="289"/>
    </row>
    <row r="470" spans="1:10" ht="15.6">
      <c r="B470" s="74" t="s">
        <v>547</v>
      </c>
      <c r="C470" s="194">
        <f t="shared" si="89"/>
        <v>0.27104959630911191</v>
      </c>
      <c r="D470" s="194">
        <f t="shared" si="89"/>
        <v>0.30051546391752576</v>
      </c>
      <c r="E470" s="194">
        <f t="shared" si="89"/>
        <v>0.26769509981851181</v>
      </c>
      <c r="F470" s="194">
        <f t="shared" si="89"/>
        <v>0.26595323028141105</v>
      </c>
      <c r="G470" s="194">
        <f t="shared" si="89"/>
        <v>0.24809286898839136</v>
      </c>
      <c r="H470" s="194">
        <f t="shared" si="89"/>
        <v>0.23353794642857142</v>
      </c>
      <c r="I470" s="194">
        <f t="shared" si="89"/>
        <v>0.22942008486562943</v>
      </c>
      <c r="J470" s="289"/>
    </row>
    <row r="471" spans="1:10">
      <c r="B471" t="s">
        <v>548</v>
      </c>
      <c r="C471" s="194">
        <f t="shared" si="89"/>
        <v>1.0380622837370242E-2</v>
      </c>
      <c r="D471" s="194">
        <f t="shared" si="89"/>
        <v>1.0309278350515464E-2</v>
      </c>
      <c r="E471" s="194">
        <f t="shared" si="89"/>
        <v>1.0435571687840291E-2</v>
      </c>
      <c r="F471" s="194">
        <f t="shared" si="89"/>
        <v>1.0305192231470472E-2</v>
      </c>
      <c r="G471" s="194">
        <f t="shared" si="89"/>
        <v>9.6185737976782759E-3</v>
      </c>
      <c r="H471" s="194">
        <f t="shared" si="89"/>
        <v>9.207589285714286E-3</v>
      </c>
      <c r="I471" s="194">
        <f t="shared" si="89"/>
        <v>9.0523338048090519E-3</v>
      </c>
      <c r="J471" s="74"/>
    </row>
    <row r="472" spans="1:10">
      <c r="B472" t="s">
        <v>549</v>
      </c>
      <c r="C472" s="194">
        <f t="shared" si="89"/>
        <v>1.2110726643598616E-2</v>
      </c>
      <c r="D472" s="194">
        <f t="shared" si="89"/>
        <v>1.443298969072165E-2</v>
      </c>
      <c r="E472" s="194">
        <f t="shared" si="89"/>
        <v>1.4519056261343012E-2</v>
      </c>
      <c r="F472" s="194">
        <f t="shared" si="89"/>
        <v>1.4268727705112961E-2</v>
      </c>
      <c r="G472" s="194">
        <f t="shared" si="89"/>
        <v>1.2935323383084577E-2</v>
      </c>
      <c r="H472" s="194">
        <f t="shared" si="89"/>
        <v>1.2834821428571428E-2</v>
      </c>
      <c r="I472" s="194">
        <f t="shared" si="89"/>
        <v>1.3295615275813296E-2</v>
      </c>
      <c r="J472" s="74"/>
    </row>
    <row r="473" spans="1:10">
      <c r="B473" t="s">
        <v>550</v>
      </c>
      <c r="C473" s="194">
        <f t="shared" si="89"/>
        <v>2.306805074971165E-3</v>
      </c>
      <c r="D473" s="194">
        <f t="shared" si="89"/>
        <v>2.5773195876288659E-3</v>
      </c>
      <c r="E473" s="194">
        <f t="shared" si="89"/>
        <v>2.7223230490018148E-3</v>
      </c>
      <c r="F473" s="194">
        <f t="shared" si="89"/>
        <v>2.3781212841854932E-3</v>
      </c>
      <c r="G473" s="194">
        <f t="shared" si="89"/>
        <v>1.990049751243781E-3</v>
      </c>
      <c r="H473" s="194">
        <f t="shared" si="89"/>
        <v>1.6741071428571428E-3</v>
      </c>
      <c r="I473" s="194">
        <f t="shared" si="89"/>
        <v>1.6973125884016972E-3</v>
      </c>
      <c r="J473" s="74"/>
    </row>
    <row r="474" spans="1:10">
      <c r="B474" t="s">
        <v>551</v>
      </c>
      <c r="C474" s="194">
        <f t="shared" si="89"/>
        <v>0.31949250288350634</v>
      </c>
      <c r="D474" s="194">
        <f t="shared" si="89"/>
        <v>0.29536082474226805</v>
      </c>
      <c r="E474" s="194">
        <f t="shared" si="89"/>
        <v>0.37658802177858441</v>
      </c>
      <c r="F474" s="194">
        <f t="shared" si="89"/>
        <v>0.3745541022592152</v>
      </c>
      <c r="G474" s="194">
        <f t="shared" si="89"/>
        <v>0.46733001658374795</v>
      </c>
      <c r="H474" s="194">
        <f t="shared" si="89"/>
        <v>0.4946986607142857</v>
      </c>
      <c r="I474" s="194">
        <f t="shared" si="89"/>
        <v>0.49985855728429984</v>
      </c>
      <c r="J474" s="74"/>
    </row>
    <row r="475" spans="1:10">
      <c r="B475" t="s">
        <v>552</v>
      </c>
      <c r="C475" s="194">
        <f t="shared" ref="C475:I476" si="90">C463/C$464</f>
        <v>2.0761245674740483E-2</v>
      </c>
      <c r="D475" s="194">
        <f t="shared" si="90"/>
        <v>2.0618556701030927E-2</v>
      </c>
      <c r="E475" s="194">
        <f t="shared" si="90"/>
        <v>2.4047186932849365E-2</v>
      </c>
      <c r="F475" s="194">
        <f t="shared" si="90"/>
        <v>5.4696789536266346E-2</v>
      </c>
      <c r="G475" s="194">
        <f t="shared" si="90"/>
        <v>2.2553897180762852E-2</v>
      </c>
      <c r="H475" s="194">
        <f t="shared" si="90"/>
        <v>2.5669642857142856E-2</v>
      </c>
      <c r="I475" s="194">
        <f t="shared" si="90"/>
        <v>3.1117397454031116E-2</v>
      </c>
      <c r="J475" s="74"/>
    </row>
    <row r="476" spans="1:10">
      <c r="B476" s="245" t="s">
        <v>449</v>
      </c>
      <c r="C476" s="287">
        <f t="shared" si="90"/>
        <v>1</v>
      </c>
      <c r="D476" s="287">
        <f t="shared" si="90"/>
        <v>1</v>
      </c>
      <c r="E476" s="287">
        <f t="shared" si="90"/>
        <v>1</v>
      </c>
      <c r="F476" s="287">
        <f t="shared" si="90"/>
        <v>1</v>
      </c>
      <c r="G476" s="287">
        <f t="shared" si="90"/>
        <v>1</v>
      </c>
      <c r="H476" s="287">
        <f t="shared" si="90"/>
        <v>1</v>
      </c>
      <c r="I476" s="287">
        <f t="shared" si="90"/>
        <v>1</v>
      </c>
      <c r="J476" s="74"/>
    </row>
    <row r="477" spans="1:10">
      <c r="J477" s="74"/>
    </row>
    <row r="478" spans="1:10">
      <c r="J478" s="74"/>
    </row>
    <row r="479" spans="1:10" ht="21">
      <c r="A479" s="395" t="s">
        <v>21</v>
      </c>
      <c r="B479" s="228" t="s">
        <v>580</v>
      </c>
      <c r="C479" s="250"/>
      <c r="D479" s="250"/>
      <c r="E479" s="250"/>
      <c r="F479" s="250"/>
      <c r="G479" s="250"/>
      <c r="H479" s="250"/>
      <c r="I479" s="250"/>
      <c r="J479" s="298"/>
    </row>
    <row r="480" spans="1:10">
      <c r="B480" s="18"/>
      <c r="C480" s="250"/>
      <c r="D480" s="250"/>
      <c r="E480" s="250"/>
      <c r="F480" s="250"/>
      <c r="G480" s="250"/>
      <c r="H480" s="250"/>
      <c r="I480" s="250"/>
    </row>
    <row r="481" spans="2:15">
      <c r="B481" s="11" t="s">
        <v>154</v>
      </c>
      <c r="C481" s="401">
        <v>43525</v>
      </c>
      <c r="D481" s="401">
        <v>43891</v>
      </c>
      <c r="E481" s="401">
        <v>44256</v>
      </c>
      <c r="F481" s="401">
        <v>44621</v>
      </c>
      <c r="G481" s="401">
        <v>44986</v>
      </c>
      <c r="H481" s="401">
        <v>45382</v>
      </c>
      <c r="I481" s="401">
        <v>45717</v>
      </c>
      <c r="M481" s="336"/>
      <c r="N481" s="339"/>
      <c r="O481" s="336"/>
    </row>
    <row r="482" spans="2:15">
      <c r="B482" t="s">
        <v>647</v>
      </c>
      <c r="C482" s="203">
        <f t="shared" ref="C482:I482" si="91">C448</f>
        <v>0</v>
      </c>
      <c r="D482" s="203">
        <f t="shared" si="91"/>
        <v>206</v>
      </c>
      <c r="E482" s="203">
        <f t="shared" si="91"/>
        <v>263</v>
      </c>
      <c r="F482" s="203">
        <f t="shared" si="91"/>
        <v>243</v>
      </c>
      <c r="G482" s="203">
        <f t="shared" si="91"/>
        <v>565</v>
      </c>
      <c r="H482" s="203">
        <f t="shared" si="91"/>
        <v>568</v>
      </c>
      <c r="I482" s="203">
        <f t="shared" si="91"/>
        <v>-51</v>
      </c>
      <c r="J482" s="250"/>
      <c r="M482" s="194"/>
      <c r="N482" s="339"/>
      <c r="O482" s="336"/>
    </row>
    <row r="483" spans="2:15">
      <c r="B483" t="s">
        <v>648</v>
      </c>
      <c r="C483" s="141">
        <f>('P&amp;l 25-24'!D36)*-1</f>
        <v>131</v>
      </c>
      <c r="D483" s="141">
        <f>('P&amp;l 25-24'!E36)*-1</f>
        <v>140</v>
      </c>
      <c r="E483" s="141">
        <f>('P&amp;l 25-24'!F36)*-1</f>
        <v>139</v>
      </c>
      <c r="F483" s="141">
        <f>('P&amp;l 25-24'!G36)*-1</f>
        <v>139</v>
      </c>
      <c r="G483" s="141">
        <f>('P&amp;l 25-24'!H36)*-1</f>
        <v>155</v>
      </c>
      <c r="H483" s="141">
        <f>('P&amp;l 25-24'!I36)*-1</f>
        <v>158</v>
      </c>
      <c r="I483" s="141">
        <f>('P&amp;l 25-24'!J36)*-1</f>
        <v>178</v>
      </c>
      <c r="J483" s="203"/>
    </row>
    <row r="484" spans="2:15" ht="15.6">
      <c r="B484" s="18"/>
      <c r="C484" s="141"/>
      <c r="D484" s="141"/>
      <c r="E484" s="141"/>
      <c r="F484" s="141"/>
      <c r="G484" s="141"/>
      <c r="H484" s="141"/>
      <c r="I484" s="141"/>
      <c r="J484" s="331"/>
    </row>
    <row r="485" spans="2:15">
      <c r="B485" s="20" t="s">
        <v>564</v>
      </c>
      <c r="C485" s="265">
        <f>C483</f>
        <v>131</v>
      </c>
      <c r="D485" s="265">
        <f t="shared" ref="D485:I485" si="92">D483</f>
        <v>140</v>
      </c>
      <c r="E485" s="265">
        <f t="shared" si="92"/>
        <v>139</v>
      </c>
      <c r="F485" s="265">
        <f t="shared" si="92"/>
        <v>139</v>
      </c>
      <c r="G485" s="265">
        <f t="shared" si="92"/>
        <v>155</v>
      </c>
      <c r="H485" s="265">
        <f t="shared" si="92"/>
        <v>158</v>
      </c>
      <c r="I485" s="265">
        <f t="shared" si="92"/>
        <v>178</v>
      </c>
      <c r="J485" s="141"/>
    </row>
    <row r="486" spans="2:15">
      <c r="B486" s="18" t="s">
        <v>565</v>
      </c>
      <c r="C486" s="309"/>
      <c r="D486" s="309">
        <f t="shared" ref="D486:I486" si="93">IF(D483&gt;D482,0,D482-D483)</f>
        <v>66</v>
      </c>
      <c r="E486" s="309">
        <f t="shared" si="93"/>
        <v>124</v>
      </c>
      <c r="F486" s="309">
        <f t="shared" si="93"/>
        <v>104</v>
      </c>
      <c r="G486" s="309">
        <f t="shared" si="93"/>
        <v>410</v>
      </c>
      <c r="H486" s="309">
        <f t="shared" si="93"/>
        <v>410</v>
      </c>
      <c r="I486" s="309">
        <f t="shared" si="93"/>
        <v>0</v>
      </c>
      <c r="J486" s="141"/>
    </row>
    <row r="487" spans="2:15" ht="15" thickBot="1">
      <c r="B487" s="81" t="s">
        <v>651</v>
      </c>
      <c r="C487" s="409"/>
      <c r="D487" s="410">
        <f t="shared" ref="D487:I487" si="94">SUM(D485:D486)</f>
        <v>206</v>
      </c>
      <c r="E487" s="410">
        <f t="shared" si="94"/>
        <v>263</v>
      </c>
      <c r="F487" s="410">
        <f t="shared" si="94"/>
        <v>243</v>
      </c>
      <c r="G487" s="410">
        <f t="shared" si="94"/>
        <v>565</v>
      </c>
      <c r="H487" s="410">
        <f t="shared" si="94"/>
        <v>568</v>
      </c>
      <c r="I487" s="410">
        <f t="shared" si="94"/>
        <v>178</v>
      </c>
      <c r="J487" s="250"/>
    </row>
    <row r="488" spans="2:15">
      <c r="J488" s="250"/>
    </row>
    <row r="489" spans="2:15">
      <c r="B489" s="11" t="s">
        <v>154</v>
      </c>
      <c r="C489" s="401">
        <v>43525</v>
      </c>
      <c r="D489" s="401">
        <v>43891</v>
      </c>
      <c r="E489" s="401">
        <v>44256</v>
      </c>
      <c r="F489" s="401">
        <v>44621</v>
      </c>
      <c r="G489" s="401">
        <v>44986</v>
      </c>
      <c r="H489" s="401">
        <v>45382</v>
      </c>
      <c r="I489" s="401">
        <v>45717</v>
      </c>
      <c r="J489" s="250"/>
    </row>
    <row r="490" spans="2:15">
      <c r="B490" t="s">
        <v>575</v>
      </c>
      <c r="C490">
        <f>'Cash Flow'!C44*-1</f>
        <v>162</v>
      </c>
      <c r="D490">
        <f>'Cash Flow'!D44*-1</f>
        <v>194</v>
      </c>
      <c r="E490">
        <f>'Cash Flow'!E44*-1</f>
        <v>142</v>
      </c>
      <c r="F490">
        <f>'Cash Flow'!F44*-1</f>
        <v>132</v>
      </c>
      <c r="G490">
        <f>'Cash Flow'!G44*-1</f>
        <v>182</v>
      </c>
      <c r="H490">
        <f>'Cash Flow'!H44*-1</f>
        <v>153</v>
      </c>
      <c r="I490">
        <f>'Cash Flow'!I44*-1</f>
        <v>161</v>
      </c>
    </row>
    <row r="491" spans="2:15">
      <c r="B491" t="s">
        <v>576</v>
      </c>
      <c r="D491" s="194">
        <f>D490/C490-1</f>
        <v>0.19753086419753085</v>
      </c>
      <c r="E491" s="194">
        <f t="shared" ref="E491:I491" si="95">E490/D490-1</f>
        <v>-0.26804123711340211</v>
      </c>
      <c r="F491" s="194">
        <f t="shared" si="95"/>
        <v>-7.0422535211267623E-2</v>
      </c>
      <c r="G491" s="194">
        <f>G490/F490-1</f>
        <v>0.3787878787878789</v>
      </c>
      <c r="H491" s="194">
        <f t="shared" si="95"/>
        <v>-0.15934065934065933</v>
      </c>
      <c r="I491" s="194">
        <f t="shared" si="95"/>
        <v>5.2287581699346442E-2</v>
      </c>
      <c r="J491" s="194"/>
    </row>
    <row r="492" spans="2:15" ht="15.6">
      <c r="C492" s="76">
        <f>C490/C7</f>
        <v>2.2088901008999181E-2</v>
      </c>
      <c r="D492" s="76">
        <f t="shared" ref="D492:I492" si="96">D490/D7</f>
        <v>2.6520847573479153E-2</v>
      </c>
      <c r="E492" s="76">
        <f t="shared" si="96"/>
        <v>1.7644135188866799E-2</v>
      </c>
      <c r="F492" s="76">
        <f t="shared" si="96"/>
        <v>1.3877207737594618E-2</v>
      </c>
      <c r="G492" s="76">
        <f t="shared" si="96"/>
        <v>1.8639901679639491E-2</v>
      </c>
      <c r="H492" s="76">
        <f t="shared" si="96"/>
        <v>1.5849994820263131E-2</v>
      </c>
      <c r="I492" s="76">
        <f t="shared" si="96"/>
        <v>1.4864740097867233E-2</v>
      </c>
      <c r="J492" s="289"/>
    </row>
    <row r="494" spans="2:15" ht="15.6">
      <c r="B494" s="139" t="s">
        <v>506</v>
      </c>
      <c r="C494" s="266"/>
      <c r="D494" s="266"/>
      <c r="E494" s="266"/>
      <c r="F494" s="266"/>
      <c r="G494" s="266"/>
      <c r="H494" s="266"/>
      <c r="I494" s="266"/>
      <c r="J494" s="74"/>
    </row>
    <row r="496" spans="2:15">
      <c r="B496" s="11" t="s">
        <v>154</v>
      </c>
      <c r="C496" s="11">
        <v>2025</v>
      </c>
      <c r="D496" s="11">
        <v>2026</v>
      </c>
      <c r="E496" s="11">
        <v>2027</v>
      </c>
      <c r="F496" s="333"/>
      <c r="G496" s="195"/>
    </row>
    <row r="497" spans="2:12">
      <c r="B497" t="s">
        <v>507</v>
      </c>
      <c r="C497" s="259">
        <v>161</v>
      </c>
      <c r="D497">
        <v>242</v>
      </c>
      <c r="E497">
        <v>269</v>
      </c>
      <c r="F497">
        <f>C497/D497*100</f>
        <v>66.528925619834709</v>
      </c>
      <c r="G497">
        <f t="shared" ref="G497:H497" si="97">D497/E497*100</f>
        <v>89.962825278810413</v>
      </c>
      <c r="H497">
        <f t="shared" si="97"/>
        <v>404.33540372670808</v>
      </c>
    </row>
    <row r="498" spans="2:12">
      <c r="B498" t="s">
        <v>508</v>
      </c>
      <c r="C498" s="24">
        <v>149.9</v>
      </c>
      <c r="D498" s="24">
        <v>150</v>
      </c>
      <c r="E498" s="24">
        <v>150</v>
      </c>
    </row>
    <row r="499" spans="2:12">
      <c r="B499" t="s">
        <v>521</v>
      </c>
      <c r="C499">
        <v>161</v>
      </c>
      <c r="D499">
        <v>242</v>
      </c>
      <c r="E499">
        <v>269</v>
      </c>
    </row>
    <row r="510" spans="2:12">
      <c r="K510"/>
      <c r="L510"/>
    </row>
    <row r="511" spans="2:12">
      <c r="K511"/>
      <c r="L511"/>
    </row>
    <row r="512" spans="2:12">
      <c r="K512"/>
      <c r="L512"/>
    </row>
    <row r="513" spans="2:14">
      <c r="K513"/>
      <c r="L513"/>
    </row>
    <row r="514" spans="2:14">
      <c r="K514"/>
      <c r="L514"/>
    </row>
    <row r="516" spans="2:14">
      <c r="B516" s="336"/>
      <c r="C516" s="336"/>
      <c r="K516"/>
      <c r="L516"/>
    </row>
    <row r="517" spans="2:14">
      <c r="B517" s="336"/>
      <c r="C517" s="336"/>
      <c r="K517"/>
      <c r="L517"/>
    </row>
    <row r="518" spans="2:14">
      <c r="B518" s="336"/>
      <c r="C518" s="336"/>
      <c r="K518"/>
      <c r="L518"/>
    </row>
    <row r="519" spans="2:14">
      <c r="B519" s="336"/>
      <c r="C519" s="336"/>
      <c r="K519"/>
      <c r="L519"/>
    </row>
    <row r="520" spans="2:14">
      <c r="B520" s="336"/>
      <c r="C520" s="336"/>
      <c r="K520"/>
      <c r="L520"/>
    </row>
    <row r="521" spans="2:14">
      <c r="B521" s="336"/>
      <c r="C521" s="336"/>
      <c r="D521" s="336"/>
      <c r="E521" s="336"/>
      <c r="K521"/>
      <c r="L521"/>
      <c r="M521" s="336"/>
      <c r="N521" s="336"/>
    </row>
    <row r="522" spans="2:14">
      <c r="B522" s="336"/>
      <c r="C522" s="336"/>
      <c r="D522" s="336"/>
      <c r="E522" s="336"/>
      <c r="K522"/>
      <c r="L522"/>
      <c r="M522" s="336"/>
      <c r="N522" s="336"/>
    </row>
    <row r="523" spans="2:14">
      <c r="B523" s="11" t="s">
        <v>154</v>
      </c>
      <c r="C523" s="401">
        <v>46082</v>
      </c>
      <c r="D523" s="401">
        <v>46447</v>
      </c>
      <c r="E523" s="401">
        <v>46813</v>
      </c>
      <c r="F523" s="401">
        <v>47178</v>
      </c>
      <c r="G523" s="401">
        <v>47543</v>
      </c>
      <c r="H523" s="401">
        <v>47908</v>
      </c>
      <c r="I523" s="401">
        <v>48274</v>
      </c>
      <c r="J523" s="401">
        <v>48639</v>
      </c>
      <c r="K523" s="401">
        <v>49004</v>
      </c>
      <c r="L523" s="401">
        <v>49369</v>
      </c>
      <c r="M523" s="336"/>
      <c r="N523" s="336"/>
    </row>
    <row r="524" spans="2:14">
      <c r="B524" s="412" t="s">
        <v>683</v>
      </c>
      <c r="C524" s="24">
        <f>'3 Statement Model'!J13*'Assumptions Working '!C525</f>
        <v>197.55744000000004</v>
      </c>
      <c r="D524" s="24">
        <f>'3 Statement Model'!K13*'Assumptions Working '!D525</f>
        <v>224.22769440000005</v>
      </c>
      <c r="E524" s="24">
        <f>'3 Statement Model'!L13*'Assumptions Working '!E525</f>
        <v>253.37729467200003</v>
      </c>
      <c r="F524" s="24">
        <f>'3 Statement Model'!M13*'Assumptions Working '!F525</f>
        <v>285.04945650600001</v>
      </c>
      <c r="G524" s="24">
        <f>'3 Statement Model'!N13*'Assumptions Working '!G525</f>
        <v>299.30192933130002</v>
      </c>
      <c r="H524" s="24">
        <f>'3 Statement Model'!O13*'Assumptions Working '!H525</f>
        <v>335.2181608510561</v>
      </c>
      <c r="I524" s="24">
        <f>'3 Statement Model'!P13*'Assumptions Working '!I525</f>
        <v>400.47396283006174</v>
      </c>
      <c r="J524" s="24">
        <f>'3 Statement Model'!Q13*'Assumptions Working '!J525</f>
        <v>476.56401576777353</v>
      </c>
      <c r="K524" s="24">
        <f>'3 Statement Model'!R13*'Assumptions Working '!K525</f>
        <v>486.65595963109109</v>
      </c>
      <c r="L524" s="24">
        <f>'3 Statement Model'!S13*'Assumptions Working '!L525</f>
        <v>439.56022160227587</v>
      </c>
      <c r="M524" s="336"/>
      <c r="N524" s="336"/>
    </row>
    <row r="525" spans="2:14">
      <c r="B525" s="336"/>
      <c r="C525" s="413">
        <v>1.6E-2</v>
      </c>
      <c r="D525" s="413">
        <v>1.6E-2</v>
      </c>
      <c r="E525" s="413">
        <v>1.6E-2</v>
      </c>
      <c r="F525" s="413">
        <v>1.6E-2</v>
      </c>
      <c r="G525" s="413">
        <v>1.4999999999999999E-2</v>
      </c>
      <c r="H525" s="413">
        <v>1.4999999999999999E-2</v>
      </c>
      <c r="I525" s="413">
        <v>1.6E-2</v>
      </c>
      <c r="J525" s="413">
        <v>1.7000000000000001E-2</v>
      </c>
      <c r="K525" s="413">
        <v>1.55E-2</v>
      </c>
      <c r="L525" s="413">
        <v>1.2500000000000001E-2</v>
      </c>
      <c r="M525" s="336"/>
      <c r="N525" s="336"/>
    </row>
    <row r="526" spans="2:14">
      <c r="B526" s="336"/>
      <c r="C526" s="336"/>
      <c r="D526" s="336"/>
      <c r="E526" s="336"/>
      <c r="K526"/>
      <c r="L526"/>
      <c r="M526" s="336"/>
      <c r="N526" s="336"/>
    </row>
    <row r="527" spans="2:14">
      <c r="B527" s="336"/>
      <c r="C527" s="336"/>
      <c r="D527" s="336"/>
      <c r="E527" s="336"/>
      <c r="K527"/>
      <c r="L527"/>
      <c r="M527" s="336"/>
      <c r="N527" s="336"/>
    </row>
    <row r="528" spans="2:14">
      <c r="B528" s="336"/>
      <c r="C528" s="336"/>
      <c r="D528" s="336"/>
      <c r="E528" s="336"/>
      <c r="K528"/>
      <c r="L528"/>
      <c r="M528" s="336"/>
      <c r="N528" s="336"/>
    </row>
    <row r="529" spans="1:14">
      <c r="B529" s="336"/>
      <c r="C529" s="336"/>
      <c r="D529" s="336"/>
      <c r="E529" s="336"/>
      <c r="K529"/>
      <c r="L529"/>
      <c r="M529" s="336"/>
      <c r="N529" s="336"/>
    </row>
    <row r="530" spans="1:14">
      <c r="B530" s="336"/>
      <c r="C530" s="336"/>
      <c r="K530"/>
      <c r="L530"/>
    </row>
    <row r="532" spans="1:14" ht="21">
      <c r="A532" s="395" t="s">
        <v>21</v>
      </c>
      <c r="B532" s="228" t="s">
        <v>658</v>
      </c>
    </row>
    <row r="534" spans="1:14" ht="15.6">
      <c r="B534" s="139" t="s">
        <v>154</v>
      </c>
      <c r="C534" s="140">
        <v>43525</v>
      </c>
      <c r="D534" s="140">
        <v>43891</v>
      </c>
      <c r="E534" s="140">
        <v>44256</v>
      </c>
      <c r="F534" s="140">
        <v>44621</v>
      </c>
      <c r="G534" s="140">
        <v>44986</v>
      </c>
      <c r="H534" s="140">
        <v>45382</v>
      </c>
      <c r="I534" s="140">
        <v>45717</v>
      </c>
    </row>
    <row r="535" spans="1:14" ht="15.6">
      <c r="B535" t="s">
        <v>607</v>
      </c>
      <c r="C535" s="46">
        <f t="shared" ref="C535:I535" si="98">C7</f>
        <v>7334</v>
      </c>
      <c r="D535" s="46">
        <f t="shared" si="98"/>
        <v>7315</v>
      </c>
      <c r="E535" s="46">
        <f t="shared" si="98"/>
        <v>8048</v>
      </c>
      <c r="F535" s="46">
        <f t="shared" si="98"/>
        <v>9512</v>
      </c>
      <c r="G535" s="46">
        <f t="shared" si="98"/>
        <v>9764</v>
      </c>
      <c r="H535" s="46">
        <f t="shared" si="98"/>
        <v>9653</v>
      </c>
      <c r="I535" s="46">
        <f t="shared" si="98"/>
        <v>10831</v>
      </c>
      <c r="J535" s="289"/>
    </row>
    <row r="536" spans="1:14">
      <c r="B536" t="s">
        <v>658</v>
      </c>
      <c r="C536" s="46">
        <f>'Balance Sheet'!C22</f>
        <v>35</v>
      </c>
      <c r="D536" s="46">
        <f>'Balance Sheet'!D22</f>
        <v>26</v>
      </c>
      <c r="E536" s="46">
        <f>'Balance Sheet'!E22</f>
        <v>26</v>
      </c>
      <c r="F536" s="46">
        <f>'Balance Sheet'!F22</f>
        <v>30</v>
      </c>
      <c r="G536" s="46">
        <f>'Balance Sheet'!G22</f>
        <v>46</v>
      </c>
      <c r="H536" s="46">
        <f>'Balance Sheet'!H22</f>
        <v>40</v>
      </c>
      <c r="I536" s="46">
        <f>'Balance Sheet'!I22</f>
        <v>49</v>
      </c>
      <c r="J536" s="203"/>
      <c r="K536" s="203"/>
    </row>
    <row r="537" spans="1:14">
      <c r="C537" s="203"/>
      <c r="D537" s="203"/>
      <c r="E537" s="203"/>
      <c r="F537" s="203"/>
      <c r="G537" s="203"/>
      <c r="H537" s="203"/>
      <c r="I537" s="203"/>
      <c r="J537" s="332"/>
    </row>
    <row r="538" spans="1:14">
      <c r="B538" s="16" t="s">
        <v>659</v>
      </c>
      <c r="C538" s="34">
        <f>C536/C535</f>
        <v>4.7722934278701936E-3</v>
      </c>
      <c r="D538" s="34">
        <f t="shared" ref="D538:I538" si="99">D536/D535</f>
        <v>3.5543403964456597E-3</v>
      </c>
      <c r="E538" s="34">
        <f t="shared" si="99"/>
        <v>3.2306163021868788E-3</v>
      </c>
      <c r="F538" s="34">
        <f t="shared" si="99"/>
        <v>3.1539108494533221E-3</v>
      </c>
      <c r="G538" s="34">
        <f t="shared" si="99"/>
        <v>4.7111839410077837E-3</v>
      </c>
      <c r="H538" s="34">
        <f t="shared" si="99"/>
        <v>4.1437894954936289E-3</v>
      </c>
      <c r="I538" s="34">
        <f t="shared" si="99"/>
        <v>4.5240513341335059E-3</v>
      </c>
      <c r="J538" s="53"/>
      <c r="K538" s="339"/>
    </row>
    <row r="539" spans="1:14">
      <c r="J539" s="46"/>
    </row>
    <row r="540" spans="1:14" ht="21">
      <c r="A540" s="395" t="s">
        <v>21</v>
      </c>
      <c r="B540" s="228" t="s">
        <v>581</v>
      </c>
    </row>
    <row r="542" spans="1:14" ht="15.6">
      <c r="B542" s="139" t="s">
        <v>154</v>
      </c>
      <c r="C542" s="140">
        <v>43525</v>
      </c>
      <c r="D542" s="140">
        <v>43891</v>
      </c>
      <c r="E542" s="140">
        <v>44256</v>
      </c>
      <c r="F542" s="140">
        <v>44621</v>
      </c>
      <c r="G542" s="140">
        <v>44986</v>
      </c>
      <c r="H542" s="140">
        <v>45382</v>
      </c>
      <c r="I542" s="140">
        <v>45717</v>
      </c>
      <c r="K542" s="337" t="s">
        <v>416</v>
      </c>
      <c r="L542" s="337" t="s">
        <v>505</v>
      </c>
    </row>
    <row r="543" spans="1:14">
      <c r="B543" t="s">
        <v>666</v>
      </c>
      <c r="C543" s="203">
        <f t="shared" ref="C543:I543" si="100">C437</f>
        <v>1286</v>
      </c>
      <c r="D543" s="203">
        <f t="shared" si="100"/>
        <v>1383</v>
      </c>
      <c r="E543" s="203">
        <f t="shared" si="100"/>
        <v>1595</v>
      </c>
      <c r="F543" s="203">
        <f t="shared" si="100"/>
        <v>1738</v>
      </c>
      <c r="G543" s="203">
        <f t="shared" si="100"/>
        <v>2230</v>
      </c>
      <c r="H543" s="203">
        <f t="shared" si="100"/>
        <v>2709</v>
      </c>
      <c r="I543" s="203">
        <f t="shared" si="100"/>
        <v>2743</v>
      </c>
      <c r="J543" s="203"/>
      <c r="K543" s="344">
        <f>MEDIAN(C543:I543)</f>
        <v>1738</v>
      </c>
      <c r="L543" s="344">
        <f>AVERAGE(C543:I543)</f>
        <v>1954.8571428571429</v>
      </c>
    </row>
    <row r="544" spans="1:14">
      <c r="B544" t="s">
        <v>581</v>
      </c>
      <c r="C544">
        <f>'Balance Sheet'!C9</f>
        <v>45</v>
      </c>
      <c r="D544">
        <f>'Balance Sheet'!D9</f>
        <v>58</v>
      </c>
      <c r="E544">
        <f>'Balance Sheet'!E9</f>
        <v>24</v>
      </c>
      <c r="F544">
        <f>'Balance Sheet'!F9</f>
        <v>39</v>
      </c>
      <c r="G544">
        <f>'Balance Sheet'!G9</f>
        <v>67</v>
      </c>
      <c r="H544">
        <f>'Balance Sheet'!H9</f>
        <v>44</v>
      </c>
      <c r="I544">
        <f>'Balance Sheet'!I9</f>
        <v>40</v>
      </c>
    </row>
    <row r="545" spans="2:12">
      <c r="B545" s="360" t="s">
        <v>582</v>
      </c>
      <c r="C545" s="361">
        <f>C544/C543</f>
        <v>3.4992223950233284E-2</v>
      </c>
      <c r="D545" s="361">
        <f t="shared" ref="D545:H545" si="101">D544/D543</f>
        <v>4.1937816341287057E-2</v>
      </c>
      <c r="E545" s="361">
        <f t="shared" si="101"/>
        <v>1.5047021943573668E-2</v>
      </c>
      <c r="F545" s="361">
        <f t="shared" si="101"/>
        <v>2.2439585730724972E-2</v>
      </c>
      <c r="G545" s="361">
        <f t="shared" si="101"/>
        <v>3.0044843049327353E-2</v>
      </c>
      <c r="H545" s="361">
        <f t="shared" si="101"/>
        <v>1.6242155777039496E-2</v>
      </c>
      <c r="I545" s="361">
        <f>I544/I543</f>
        <v>1.4582573824279986E-2</v>
      </c>
      <c r="J545" s="362"/>
      <c r="K545" s="345">
        <f>MEDIAN(C545:I545)</f>
        <v>2.2439585730724972E-2</v>
      </c>
      <c r="L545" s="345">
        <f>AVERAGE(C545:I545)</f>
        <v>2.5040888659495119E-2</v>
      </c>
    </row>
    <row r="547" spans="2:12" ht="15.6">
      <c r="B547" s="139" t="s">
        <v>583</v>
      </c>
      <c r="C547" s="266"/>
      <c r="D547" s="266"/>
      <c r="E547" s="266"/>
      <c r="F547" s="266"/>
      <c r="G547" s="266"/>
      <c r="H547" s="266"/>
      <c r="I547" s="266"/>
    </row>
    <row r="548" spans="2:12">
      <c r="J548" s="74"/>
    </row>
    <row r="549" spans="2:12">
      <c r="B549" t="s">
        <v>584</v>
      </c>
    </row>
    <row r="550" spans="2:12">
      <c r="K550"/>
      <c r="L550"/>
    </row>
    <row r="551" spans="2:12" ht="15.6">
      <c r="B551" s="139" t="s">
        <v>506</v>
      </c>
      <c r="C551" s="11">
        <v>2024</v>
      </c>
      <c r="D551" s="11">
        <f>C551+1</f>
        <v>2025</v>
      </c>
      <c r="E551" s="11">
        <f t="shared" ref="E551:G551" si="102">D551+1</f>
        <v>2026</v>
      </c>
      <c r="F551" s="11">
        <f t="shared" si="102"/>
        <v>2027</v>
      </c>
      <c r="G551" s="11">
        <f t="shared" si="102"/>
        <v>2028</v>
      </c>
      <c r="H551" s="213"/>
      <c r="I551" s="213"/>
      <c r="K551"/>
      <c r="L551"/>
    </row>
    <row r="552" spans="2:12">
      <c r="B552" t="s">
        <v>507</v>
      </c>
      <c r="C552" s="267">
        <v>59</v>
      </c>
      <c r="D552" s="267">
        <v>55</v>
      </c>
      <c r="E552" s="267">
        <v>35</v>
      </c>
      <c r="F552" s="267">
        <v>30</v>
      </c>
      <c r="G552" s="267">
        <v>30</v>
      </c>
      <c r="K552"/>
      <c r="L552"/>
    </row>
    <row r="553" spans="2:12">
      <c r="B553" t="s">
        <v>508</v>
      </c>
      <c r="C553" s="24">
        <v>44</v>
      </c>
      <c r="D553" s="24">
        <v>40</v>
      </c>
      <c r="E553" s="24">
        <v>50</v>
      </c>
      <c r="F553" s="24">
        <v>50</v>
      </c>
      <c r="G553">
        <v>0</v>
      </c>
      <c r="K553"/>
      <c r="L553"/>
    </row>
    <row r="554" spans="2:12">
      <c r="B554" t="s">
        <v>585</v>
      </c>
      <c r="C554">
        <v>44</v>
      </c>
      <c r="D554">
        <v>40</v>
      </c>
      <c r="E554">
        <v>50</v>
      </c>
      <c r="F554">
        <v>50</v>
      </c>
      <c r="G554">
        <v>50</v>
      </c>
      <c r="K554"/>
      <c r="L554"/>
    </row>
    <row r="555" spans="2:12">
      <c r="K555"/>
      <c r="L555"/>
    </row>
    <row r="556" spans="2:12">
      <c r="K556"/>
      <c r="L556"/>
    </row>
    <row r="562" spans="1:12" ht="21">
      <c r="A562" s="364" t="s">
        <v>21</v>
      </c>
      <c r="B562" s="228" t="s">
        <v>586</v>
      </c>
    </row>
    <row r="564" spans="1:12" ht="15.6">
      <c r="B564" s="139" t="s">
        <v>154</v>
      </c>
      <c r="C564" s="140">
        <v>43525</v>
      </c>
      <c r="D564" s="140">
        <v>43891</v>
      </c>
      <c r="E564" s="140">
        <v>44256</v>
      </c>
      <c r="F564" s="140">
        <v>44621</v>
      </c>
      <c r="G564" s="140">
        <v>44986</v>
      </c>
      <c r="H564" s="140">
        <v>45382</v>
      </c>
      <c r="I564" s="140">
        <v>45717</v>
      </c>
      <c r="K564" s="337" t="s">
        <v>416</v>
      </c>
      <c r="L564" s="337" t="s">
        <v>505</v>
      </c>
    </row>
    <row r="565" spans="1:12">
      <c r="B565" t="s">
        <v>524</v>
      </c>
      <c r="C565" s="203">
        <v>1716</v>
      </c>
      <c r="D565" s="203">
        <v>1922</v>
      </c>
      <c r="E565" s="203">
        <v>2185</v>
      </c>
      <c r="F565" s="203">
        <v>2428</v>
      </c>
      <c r="G565" s="203">
        <v>2993</v>
      </c>
      <c r="H565" s="203">
        <v>3561</v>
      </c>
      <c r="I565" s="203">
        <v>3510</v>
      </c>
    </row>
    <row r="566" spans="1:12">
      <c r="B566" t="s">
        <v>645</v>
      </c>
      <c r="C566" s="203">
        <f t="shared" ref="C566:I566" si="103">C455</f>
        <v>71</v>
      </c>
      <c r="D566" s="203">
        <f t="shared" si="103"/>
        <v>74</v>
      </c>
      <c r="E566" s="203">
        <f t="shared" si="103"/>
        <v>73</v>
      </c>
      <c r="F566" s="203">
        <f t="shared" si="103"/>
        <v>81</v>
      </c>
      <c r="G566" s="203">
        <f t="shared" si="103"/>
        <v>71</v>
      </c>
      <c r="H566" s="203">
        <f t="shared" si="103"/>
        <v>91</v>
      </c>
      <c r="I566" s="203">
        <f t="shared" si="103"/>
        <v>83</v>
      </c>
    </row>
    <row r="567" spans="1:12">
      <c r="B567" t="s">
        <v>670</v>
      </c>
      <c r="C567" s="290">
        <v>51</v>
      </c>
      <c r="D567" s="290">
        <v>35</v>
      </c>
      <c r="E567" s="290">
        <v>217</v>
      </c>
      <c r="F567" s="290">
        <v>291</v>
      </c>
      <c r="G567" s="290">
        <v>546</v>
      </c>
      <c r="H567" s="290">
        <v>910</v>
      </c>
      <c r="I567" s="290">
        <v>910</v>
      </c>
    </row>
    <row r="568" spans="1:12">
      <c r="B568" s="293" t="s">
        <v>646</v>
      </c>
      <c r="C568" s="294">
        <f>C565-C566-C567</f>
        <v>1594</v>
      </c>
      <c r="D568" s="294">
        <f t="shared" ref="D568:I568" si="104">D565-D566-D567</f>
        <v>1813</v>
      </c>
      <c r="E568" s="294">
        <f t="shared" si="104"/>
        <v>1895</v>
      </c>
      <c r="F568" s="294">
        <f t="shared" si="104"/>
        <v>2056</v>
      </c>
      <c r="G568" s="294">
        <f t="shared" si="104"/>
        <v>2376</v>
      </c>
      <c r="H568" s="294">
        <f t="shared" si="104"/>
        <v>2560</v>
      </c>
      <c r="I568" s="294">
        <f t="shared" si="104"/>
        <v>2517</v>
      </c>
    </row>
    <row r="569" spans="1:12">
      <c r="B569" s="295" t="s">
        <v>577</v>
      </c>
      <c r="C569" s="296">
        <v>430</v>
      </c>
      <c r="D569" s="296">
        <v>539</v>
      </c>
      <c r="E569" s="296">
        <v>590</v>
      </c>
      <c r="F569" s="296">
        <v>690</v>
      </c>
      <c r="G569" s="296">
        <v>763</v>
      </c>
      <c r="H569" s="296">
        <v>852</v>
      </c>
      <c r="I569" s="296">
        <v>767</v>
      </c>
    </row>
    <row r="570" spans="1:12" ht="15" thickBot="1">
      <c r="B570" s="291" t="s">
        <v>671</v>
      </c>
      <c r="C570" s="292">
        <f>C568-C569</f>
        <v>1164</v>
      </c>
      <c r="D570" s="292">
        <f t="shared" ref="D570:I570" si="105">D568-D569</f>
        <v>1274</v>
      </c>
      <c r="E570" s="292">
        <f t="shared" si="105"/>
        <v>1305</v>
      </c>
      <c r="F570" s="292">
        <f t="shared" si="105"/>
        <v>1366</v>
      </c>
      <c r="G570" s="292">
        <f t="shared" si="105"/>
        <v>1613</v>
      </c>
      <c r="H570" s="292">
        <f t="shared" si="105"/>
        <v>1708</v>
      </c>
      <c r="I570" s="292">
        <f t="shared" si="105"/>
        <v>1750</v>
      </c>
    </row>
    <row r="572" spans="1:12">
      <c r="B572" t="s">
        <v>672</v>
      </c>
      <c r="C572" s="203">
        <f>('P&amp;l 25-24'!D36)*-1</f>
        <v>131</v>
      </c>
      <c r="D572" s="203">
        <f>('P&amp;l 25-24'!E36)*-1</f>
        <v>140</v>
      </c>
      <c r="E572" s="203">
        <f>('P&amp;l 25-24'!F36)*-1</f>
        <v>139</v>
      </c>
      <c r="F572" s="203">
        <f>('P&amp;l 25-24'!G36)*-1</f>
        <v>139</v>
      </c>
      <c r="G572" s="203">
        <f>('P&amp;l 25-24'!H36)*-1</f>
        <v>155</v>
      </c>
      <c r="H572" s="203">
        <f>('P&amp;l 25-24'!I36)*-1</f>
        <v>158</v>
      </c>
      <c r="I572" s="203">
        <f>('P&amp;l 25-24'!J36)*-1</f>
        <v>178</v>
      </c>
    </row>
    <row r="574" spans="1:12">
      <c r="B574" s="16" t="s">
        <v>673</v>
      </c>
      <c r="C574" s="225">
        <f>C568/C572</f>
        <v>12.16793893129771</v>
      </c>
      <c r="D574" s="225">
        <f t="shared" ref="D574:I574" si="106">D568/D572</f>
        <v>12.95</v>
      </c>
      <c r="E574" s="225">
        <f t="shared" si="106"/>
        <v>13.633093525179856</v>
      </c>
      <c r="F574" s="225">
        <f t="shared" si="106"/>
        <v>14.791366906474821</v>
      </c>
      <c r="G574" s="225">
        <f t="shared" si="106"/>
        <v>15.329032258064515</v>
      </c>
      <c r="H574" s="225">
        <f t="shared" si="106"/>
        <v>16.202531645569621</v>
      </c>
      <c r="I574" s="225">
        <f t="shared" si="106"/>
        <v>14.140449438202246</v>
      </c>
      <c r="K574" s="365">
        <f>MEDIAN(C574:I574)</f>
        <v>14.140449438202246</v>
      </c>
      <c r="L574" s="365">
        <f>AVERAGE(C574:I574)</f>
        <v>14.173487529255539</v>
      </c>
    </row>
    <row r="575" spans="1:12" ht="15.6">
      <c r="A575" s="152"/>
      <c r="B575" s="16" t="s">
        <v>674</v>
      </c>
      <c r="C575" s="225">
        <f>C569/C572</f>
        <v>3.282442748091603</v>
      </c>
      <c r="D575" s="225">
        <f t="shared" ref="D575:I575" si="107">D569/D572</f>
        <v>3.85</v>
      </c>
      <c r="E575" s="225">
        <f t="shared" si="107"/>
        <v>4.2446043165467628</v>
      </c>
      <c r="F575" s="225">
        <f t="shared" si="107"/>
        <v>4.9640287769784175</v>
      </c>
      <c r="G575" s="225">
        <f t="shared" si="107"/>
        <v>4.9225806451612906</v>
      </c>
      <c r="H575" s="225">
        <f t="shared" si="107"/>
        <v>5.3924050632911396</v>
      </c>
      <c r="I575" s="225">
        <f t="shared" si="107"/>
        <v>4.308988764044944</v>
      </c>
      <c r="K575" s="344">
        <f>MEDIAN(C575:I575)</f>
        <v>4.308988764044944</v>
      </c>
      <c r="L575" s="344">
        <f>AVERAGE(C575:I575)</f>
        <v>4.4235786163020219</v>
      </c>
    </row>
    <row r="576" spans="1:12">
      <c r="B576" s="16" t="s">
        <v>675</v>
      </c>
      <c r="C576" s="48">
        <f>C569/C568</f>
        <v>0.2697616060225847</v>
      </c>
      <c r="D576" s="48">
        <f t="shared" ref="D576:I576" si="108">D569/D568</f>
        <v>0.29729729729729731</v>
      </c>
      <c r="E576" s="48">
        <f t="shared" si="108"/>
        <v>0.31134564643799473</v>
      </c>
      <c r="F576" s="48">
        <f t="shared" si="108"/>
        <v>0.3356031128404669</v>
      </c>
      <c r="G576" s="48">
        <f t="shared" si="108"/>
        <v>0.32112794612794615</v>
      </c>
      <c r="H576" s="48">
        <f t="shared" si="108"/>
        <v>0.33281250000000001</v>
      </c>
      <c r="I576" s="48">
        <f t="shared" si="108"/>
        <v>0.30472785061581248</v>
      </c>
    </row>
    <row r="578" spans="1:12">
      <c r="B578" s="16" t="s">
        <v>676</v>
      </c>
      <c r="C578" s="48">
        <f>C572/C570</f>
        <v>0.11254295532646048</v>
      </c>
      <c r="D578" s="48">
        <f t="shared" ref="D578:I578" si="109">D572/D570</f>
        <v>0.10989010989010989</v>
      </c>
      <c r="E578" s="48">
        <f t="shared" si="109"/>
        <v>0.10651340996168582</v>
      </c>
      <c r="F578" s="48">
        <f t="shared" si="109"/>
        <v>0.10175695461200586</v>
      </c>
      <c r="G578" s="48">
        <f t="shared" si="109"/>
        <v>9.609423434593925E-2</v>
      </c>
      <c r="H578" s="48">
        <f t="shared" si="109"/>
        <v>9.2505854800936774E-2</v>
      </c>
      <c r="I578" s="48">
        <f t="shared" si="109"/>
        <v>0.10171428571428572</v>
      </c>
      <c r="K578" s="345">
        <f>MEDIAN(C578:I578)</f>
        <v>0.10175695461200586</v>
      </c>
      <c r="L578" s="345">
        <f>AVERAGE(C578:I578)</f>
        <v>0.10300254352163196</v>
      </c>
    </row>
    <row r="580" spans="1:12">
      <c r="B580" s="16" t="s">
        <v>677</v>
      </c>
      <c r="C580" s="48">
        <f>C572/C565</f>
        <v>7.6340326340326337E-2</v>
      </c>
      <c r="D580" s="48">
        <f t="shared" ref="D580:I580" si="110">D572/D565</f>
        <v>7.2840790842872011E-2</v>
      </c>
      <c r="E580" s="48">
        <f t="shared" si="110"/>
        <v>6.361556064073226E-2</v>
      </c>
      <c r="F580" s="48">
        <f t="shared" si="110"/>
        <v>5.7248764415156507E-2</v>
      </c>
      <c r="G580" s="48">
        <f t="shared" si="110"/>
        <v>5.1787504176411626E-2</v>
      </c>
      <c r="H580" s="48">
        <f t="shared" si="110"/>
        <v>4.4369559112608821E-2</v>
      </c>
      <c r="I580" s="48">
        <f t="shared" si="110"/>
        <v>5.071225071225071E-2</v>
      </c>
      <c r="K580" s="345">
        <f>MEDIAN(C580:I580)</f>
        <v>5.7248764415156507E-2</v>
      </c>
      <c r="L580" s="345">
        <f>AVERAGE(C580:I580)</f>
        <v>5.9559250891479752E-2</v>
      </c>
    </row>
    <row r="582" spans="1:12">
      <c r="B582" s="16" t="s">
        <v>678</v>
      </c>
      <c r="C582" s="48">
        <f t="shared" ref="C582:I582" si="111">C572/C535</f>
        <v>1.7862012544314153E-2</v>
      </c>
      <c r="D582" s="48">
        <f t="shared" si="111"/>
        <v>1.9138755980861243E-2</v>
      </c>
      <c r="E582" s="48">
        <f t="shared" si="111"/>
        <v>1.7271371769383696E-2</v>
      </c>
      <c r="F582" s="48">
        <f t="shared" si="111"/>
        <v>1.4613120269133726E-2</v>
      </c>
      <c r="G582" s="48">
        <f t="shared" si="111"/>
        <v>1.5874641540352313E-2</v>
      </c>
      <c r="H582" s="48">
        <f t="shared" si="111"/>
        <v>1.6367968507199834E-2</v>
      </c>
      <c r="I582" s="48">
        <f t="shared" si="111"/>
        <v>1.6434308928076815E-2</v>
      </c>
      <c r="K582" s="345">
        <f>MEDIAN(C582:I582)</f>
        <v>1.6434308928076815E-2</v>
      </c>
      <c r="L582" s="345">
        <f>AVERAGE(C582:I582)</f>
        <v>1.6794597077045968E-2</v>
      </c>
    </row>
    <row r="584" spans="1:12" ht="21">
      <c r="A584" s="228" t="s">
        <v>21</v>
      </c>
      <c r="B584" s="228" t="s">
        <v>590</v>
      </c>
    </row>
    <row r="585" spans="1:12" ht="12.6" customHeight="1">
      <c r="A585" s="269"/>
      <c r="B585" s="269"/>
    </row>
    <row r="586" spans="1:12" ht="23.4">
      <c r="A586" s="269"/>
      <c r="B586" s="9" t="s">
        <v>587</v>
      </c>
    </row>
    <row r="588" spans="1:12" ht="15.6">
      <c r="B588" s="139" t="s">
        <v>154</v>
      </c>
      <c r="C588" s="140">
        <v>43525</v>
      </c>
      <c r="D588" s="140">
        <v>43891</v>
      </c>
      <c r="E588" s="140">
        <v>44256</v>
      </c>
      <c r="F588" s="140">
        <v>44621</v>
      </c>
      <c r="G588" s="140">
        <v>44986</v>
      </c>
      <c r="H588" s="140">
        <v>45382</v>
      </c>
      <c r="I588" s="140">
        <v>45717</v>
      </c>
      <c r="K588" s="337" t="s">
        <v>416</v>
      </c>
      <c r="L588" s="337" t="s">
        <v>417</v>
      </c>
    </row>
    <row r="589" spans="1:12">
      <c r="B589" s="18" t="s">
        <v>587</v>
      </c>
      <c r="C589" s="18">
        <f>'Balance Sheet'!C69</f>
        <v>944</v>
      </c>
      <c r="D589" s="18">
        <f>'Balance Sheet'!D69</f>
        <v>978</v>
      </c>
      <c r="E589" s="18">
        <f>'Balance Sheet'!E69</f>
        <v>1134</v>
      </c>
      <c r="F589" s="18">
        <f>'Balance Sheet'!F69</f>
        <v>1344</v>
      </c>
      <c r="G589" s="18">
        <f>'Balance Sheet'!G69</f>
        <v>1452</v>
      </c>
      <c r="H589" s="18">
        <f>'Balance Sheet'!H69</f>
        <v>1581</v>
      </c>
      <c r="I589" s="18">
        <f>'Balance Sheet'!I69</f>
        <v>1363</v>
      </c>
      <c r="K589" s="343">
        <f>MEDIAN(C589:I589)</f>
        <v>1344</v>
      </c>
      <c r="L589" s="343">
        <f>AVERAGE(C589:I589)</f>
        <v>1256.5714285714287</v>
      </c>
    </row>
    <row r="590" spans="1:12">
      <c r="B590" s="136" t="s">
        <v>588</v>
      </c>
      <c r="C590" s="136"/>
      <c r="D590" s="268">
        <f>D589/C589-1</f>
        <v>3.6016949152542388E-2</v>
      </c>
      <c r="E590" s="268">
        <f t="shared" ref="E590:I590" si="112">E589/D589-1</f>
        <v>0.1595092024539877</v>
      </c>
      <c r="F590" s="268">
        <f t="shared" si="112"/>
        <v>0.18518518518518512</v>
      </c>
      <c r="G590" s="268">
        <f t="shared" si="112"/>
        <v>8.0357142857142794E-2</v>
      </c>
      <c r="H590" s="268">
        <f t="shared" si="112"/>
        <v>8.8842975206611552E-2</v>
      </c>
      <c r="I590" s="268">
        <f t="shared" si="112"/>
        <v>-0.13788741302972807</v>
      </c>
    </row>
    <row r="591" spans="1:12" ht="15.6">
      <c r="B591" s="136"/>
      <c r="C591" s="136"/>
      <c r="D591" s="268"/>
      <c r="E591" s="268"/>
      <c r="F591" s="268"/>
      <c r="G591" s="268"/>
      <c r="H591" s="268"/>
      <c r="I591" s="268"/>
      <c r="J591" s="289"/>
    </row>
    <row r="592" spans="1:12">
      <c r="B592" t="s">
        <v>629</v>
      </c>
      <c r="D592" s="280">
        <f>AVERAGE(C589:D589)</f>
        <v>961</v>
      </c>
      <c r="E592" s="280">
        <f t="shared" ref="E592:I592" si="113">AVERAGE(D589:E589)</f>
        <v>1056</v>
      </c>
      <c r="F592" s="280">
        <f t="shared" si="113"/>
        <v>1239</v>
      </c>
      <c r="G592" s="280">
        <f t="shared" si="113"/>
        <v>1398</v>
      </c>
      <c r="H592" s="280">
        <f t="shared" si="113"/>
        <v>1516.5</v>
      </c>
      <c r="I592" s="280">
        <f t="shared" si="113"/>
        <v>1472</v>
      </c>
      <c r="J592" s="18"/>
    </row>
    <row r="593" spans="2:12">
      <c r="J593" s="252"/>
    </row>
    <row r="594" spans="2:12">
      <c r="B594" s="18" t="s">
        <v>52</v>
      </c>
      <c r="C594" s="18">
        <f>'P&amp;l 25-24'!D16*-1</f>
        <v>4017</v>
      </c>
      <c r="D594" s="18">
        <f>'P&amp;l 25-24'!E16*-1</f>
        <v>3745</v>
      </c>
      <c r="E594" s="18">
        <f>'P&amp;l 25-24'!F16*-1</f>
        <v>4270</v>
      </c>
      <c r="F594" s="18">
        <f>'P&amp;l 25-24'!G16*-1</f>
        <v>5436</v>
      </c>
      <c r="G594" s="18">
        <f>'P&amp;l 25-24'!H16*-1</f>
        <v>5351</v>
      </c>
      <c r="H594" s="18">
        <f>'P&amp;l 25-24'!I16*-1</f>
        <v>4748</v>
      </c>
      <c r="I594" s="18">
        <f>'P&amp;l 25-24'!J16*-1</f>
        <v>5388</v>
      </c>
      <c r="J594" s="252"/>
    </row>
    <row r="595" spans="2:12">
      <c r="J595" s="334"/>
    </row>
    <row r="596" spans="2:12">
      <c r="B596" s="16" t="s">
        <v>589</v>
      </c>
      <c r="C596" s="48">
        <f>C589/C594</f>
        <v>0.23500124470998257</v>
      </c>
      <c r="D596" s="48">
        <f>D592/D594</f>
        <v>0.25660881174899869</v>
      </c>
      <c r="E596" s="48">
        <f t="shared" ref="E596:I596" si="114">E592/E594</f>
        <v>0.24730679156908666</v>
      </c>
      <c r="F596" s="48">
        <f t="shared" si="114"/>
        <v>0.22792494481236203</v>
      </c>
      <c r="G596" s="48">
        <f t="shared" si="114"/>
        <v>0.26125957764903757</v>
      </c>
      <c r="H596" s="48">
        <f t="shared" si="114"/>
        <v>0.31939764111204716</v>
      </c>
      <c r="I596" s="48">
        <f t="shared" si="114"/>
        <v>0.27319970304380103</v>
      </c>
      <c r="K596" s="339">
        <f>MEDIAN(C596:I596)</f>
        <v>0.25660881174899869</v>
      </c>
      <c r="L596" s="339">
        <f>AVERAGE(C596:I596)</f>
        <v>0.26009981637790219</v>
      </c>
    </row>
    <row r="597" spans="2:12">
      <c r="J597" s="18"/>
    </row>
    <row r="598" spans="2:12">
      <c r="B598" t="s">
        <v>594</v>
      </c>
      <c r="C598" s="270">
        <f t="shared" ref="C598:I598" si="115">C596*$B$599</f>
        <v>85.775454319143634</v>
      </c>
      <c r="D598" s="270">
        <f t="shared" si="115"/>
        <v>93.662216288384528</v>
      </c>
      <c r="E598" s="270">
        <f t="shared" si="115"/>
        <v>90.266978922716632</v>
      </c>
      <c r="F598" s="270">
        <f t="shared" si="115"/>
        <v>83.192604856512148</v>
      </c>
      <c r="G598" s="270">
        <f t="shared" si="115"/>
        <v>95.359745841898715</v>
      </c>
      <c r="H598" s="270">
        <f t="shared" si="115"/>
        <v>116.58013900589721</v>
      </c>
      <c r="I598" s="270">
        <f t="shared" si="115"/>
        <v>99.71789161098738</v>
      </c>
      <c r="K598" s="348">
        <f>MEDIAN(C598:I598)</f>
        <v>93.662216288384528</v>
      </c>
      <c r="L598" s="348">
        <f>AVERAGE(C598:I598)</f>
        <v>94.936432977934331</v>
      </c>
    </row>
    <row r="599" spans="2:12">
      <c r="B599" s="220">
        <v>365</v>
      </c>
      <c r="J599" s="74"/>
    </row>
    <row r="600" spans="2:12">
      <c r="B600" s="220"/>
    </row>
    <row r="601" spans="2:12">
      <c r="B601" t="s">
        <v>42</v>
      </c>
      <c r="C601" s="46">
        <f t="shared" ref="C601:I601" si="116">C7</f>
        <v>7334</v>
      </c>
      <c r="D601" s="46">
        <f t="shared" si="116"/>
        <v>7315</v>
      </c>
      <c r="E601" s="46">
        <f t="shared" si="116"/>
        <v>8048</v>
      </c>
      <c r="F601" s="46">
        <f t="shared" si="116"/>
        <v>9512</v>
      </c>
      <c r="G601" s="46">
        <f t="shared" si="116"/>
        <v>9764</v>
      </c>
      <c r="H601" s="46">
        <f t="shared" si="116"/>
        <v>9653</v>
      </c>
      <c r="I601" s="46">
        <f t="shared" si="116"/>
        <v>10831</v>
      </c>
      <c r="J601" s="270"/>
    </row>
    <row r="603" spans="2:12">
      <c r="B603" t="s">
        <v>591</v>
      </c>
      <c r="C603" s="194">
        <f>C589/C601</f>
        <v>0.12871557131169895</v>
      </c>
      <c r="D603" s="194">
        <f t="shared" ref="D603:I603" si="117">D589/D601</f>
        <v>0.13369788106630212</v>
      </c>
      <c r="E603" s="194">
        <f t="shared" si="117"/>
        <v>0.14090457256461233</v>
      </c>
      <c r="F603" s="194">
        <f t="shared" si="117"/>
        <v>0.14129520605550883</v>
      </c>
      <c r="G603" s="194">
        <f t="shared" si="117"/>
        <v>0.14870954526833266</v>
      </c>
      <c r="H603" s="194">
        <f t="shared" si="117"/>
        <v>0.16378327980938567</v>
      </c>
      <c r="I603" s="194">
        <f t="shared" si="117"/>
        <v>0.12584248915150956</v>
      </c>
    </row>
    <row r="604" spans="2:12">
      <c r="B604" t="s">
        <v>592</v>
      </c>
      <c r="C604" s="44">
        <f t="shared" ref="C604:I604" si="118">C369</f>
        <v>7.0493591491682578E-2</v>
      </c>
      <c r="D604" s="44">
        <f t="shared" si="118"/>
        <v>7.2180451127819553E-2</v>
      </c>
      <c r="E604" s="44">
        <f t="shared" si="118"/>
        <v>5.7591948310139168E-2</v>
      </c>
      <c r="F604" s="44">
        <f t="shared" si="118"/>
        <v>5.4667788057190914E-2</v>
      </c>
      <c r="G604" s="44">
        <f t="shared" si="118"/>
        <v>8.5364604670217129E-2</v>
      </c>
      <c r="H604" s="44">
        <f t="shared" si="118"/>
        <v>0.10794571635760904</v>
      </c>
      <c r="I604" s="44">
        <f t="shared" si="118"/>
        <v>0.1080232665497184</v>
      </c>
      <c r="J604" s="46"/>
    </row>
    <row r="606" spans="2:12" ht="15.6">
      <c r="B606" s="139" t="s">
        <v>598</v>
      </c>
      <c r="C606" s="140">
        <v>43525</v>
      </c>
      <c r="D606" s="140">
        <v>43891</v>
      </c>
      <c r="E606" s="140">
        <v>44256</v>
      </c>
      <c r="F606" s="140">
        <v>44621</v>
      </c>
      <c r="G606" s="140">
        <v>44986</v>
      </c>
      <c r="H606" s="140">
        <v>45382</v>
      </c>
      <c r="I606" s="140">
        <v>45717</v>
      </c>
      <c r="J606" s="74"/>
    </row>
    <row r="607" spans="2:12">
      <c r="B607" t="s">
        <v>494</v>
      </c>
      <c r="C607" s="24">
        <f>C598</f>
        <v>85.775454319143634</v>
      </c>
      <c r="D607" s="24">
        <f t="shared" ref="D607:I607" si="119">D598</f>
        <v>93.662216288384528</v>
      </c>
      <c r="E607" s="24">
        <f t="shared" si="119"/>
        <v>90.266978922716632</v>
      </c>
      <c r="F607" s="24">
        <f t="shared" si="119"/>
        <v>83.192604856512148</v>
      </c>
      <c r="G607" s="24">
        <f t="shared" si="119"/>
        <v>95.359745841898715</v>
      </c>
      <c r="H607" s="24">
        <f t="shared" si="119"/>
        <v>116.58013900589721</v>
      </c>
      <c r="I607" s="24">
        <f t="shared" si="119"/>
        <v>99.71789161098738</v>
      </c>
      <c r="J607" s="44"/>
    </row>
    <row r="608" spans="2:12">
      <c r="B608" t="s">
        <v>495</v>
      </c>
      <c r="C608">
        <f>Scratch!H54</f>
        <v>75</v>
      </c>
      <c r="D608">
        <f>Scratch!I54</f>
        <v>5</v>
      </c>
      <c r="E608">
        <f>Scratch!J54</f>
        <v>17</v>
      </c>
      <c r="F608">
        <f>Scratch!K54</f>
        <v>16</v>
      </c>
      <c r="G608">
        <f>Scratch!L54</f>
        <v>18</v>
      </c>
      <c r="H608">
        <f>Scratch!M54</f>
        <v>22</v>
      </c>
      <c r="I608">
        <f>Scratch!N54</f>
        <v>34</v>
      </c>
    </row>
    <row r="609" spans="2:12" ht="15.6">
      <c r="B609" t="s">
        <v>503</v>
      </c>
      <c r="C609">
        <f>Scratch!H74</f>
        <v>166</v>
      </c>
      <c r="D609">
        <f>Scratch!I74</f>
        <v>176</v>
      </c>
      <c r="E609">
        <f>Scratch!J74</f>
        <v>163</v>
      </c>
      <c r="F609">
        <f>Scratch!K74</f>
        <v>145</v>
      </c>
      <c r="G609">
        <f>Scratch!L74</f>
        <v>123</v>
      </c>
      <c r="H609">
        <f>Scratch!M74</f>
        <v>143</v>
      </c>
      <c r="I609">
        <f>Scratch!N74</f>
        <v>152</v>
      </c>
      <c r="J609" s="289"/>
    </row>
    <row r="610" spans="2:12">
      <c r="B610" t="s">
        <v>504</v>
      </c>
      <c r="C610">
        <f>Scratch!H64</f>
        <v>172</v>
      </c>
      <c r="D610">
        <f>Scratch!I64</f>
        <v>176</v>
      </c>
      <c r="E610">
        <f>Scratch!J64</f>
        <v>197</v>
      </c>
      <c r="F610">
        <f>Scratch!K64</f>
        <v>178</v>
      </c>
      <c r="G610">
        <f>Scratch!L64</f>
        <v>171</v>
      </c>
      <c r="H610">
        <f>Scratch!M64</f>
        <v>186</v>
      </c>
      <c r="I610">
        <f>Scratch!N64</f>
        <v>215</v>
      </c>
      <c r="J610" s="24"/>
    </row>
    <row r="612" spans="2:12">
      <c r="B612" s="15" t="s">
        <v>416</v>
      </c>
      <c r="C612" s="225">
        <f>MEDIAN(C608:C610)</f>
        <v>166</v>
      </c>
      <c r="D612" s="225">
        <f t="shared" ref="D612:I612" si="120">MEDIAN(D608:D610)</f>
        <v>176</v>
      </c>
      <c r="E612" s="225">
        <f t="shared" si="120"/>
        <v>163</v>
      </c>
      <c r="F612" s="225">
        <f t="shared" si="120"/>
        <v>145</v>
      </c>
      <c r="G612" s="225">
        <f t="shared" si="120"/>
        <v>123</v>
      </c>
      <c r="H612" s="225">
        <f t="shared" si="120"/>
        <v>143</v>
      </c>
      <c r="I612" s="225">
        <f t="shared" si="120"/>
        <v>152</v>
      </c>
    </row>
    <row r="613" spans="2:12">
      <c r="B613" s="15" t="s">
        <v>505</v>
      </c>
      <c r="C613" s="225">
        <f>AVERAGE(C608:C610)</f>
        <v>137.66666666666666</v>
      </c>
      <c r="D613" s="225">
        <f t="shared" ref="D613:H613" si="121">AVERAGE(D608:D610)</f>
        <v>119</v>
      </c>
      <c r="E613" s="225">
        <f t="shared" si="121"/>
        <v>125.66666666666667</v>
      </c>
      <c r="F613" s="225">
        <f t="shared" si="121"/>
        <v>113</v>
      </c>
      <c r="G613" s="225">
        <f t="shared" si="121"/>
        <v>104</v>
      </c>
      <c r="H613" s="225">
        <f t="shared" si="121"/>
        <v>117</v>
      </c>
      <c r="I613" s="225">
        <f>AVERAGE(I608:I610)</f>
        <v>133.66666666666666</v>
      </c>
    </row>
    <row r="615" spans="2:12" ht="15.6">
      <c r="B615" s="139" t="s">
        <v>595</v>
      </c>
      <c r="C615" s="11">
        <v>2024</v>
      </c>
      <c r="D615" s="11">
        <f>C615+1</f>
        <v>2025</v>
      </c>
      <c r="E615" s="11">
        <f t="shared" ref="E615" si="122">D615+1</f>
        <v>2026</v>
      </c>
      <c r="F615" s="11">
        <f t="shared" ref="F615" si="123">E615+1</f>
        <v>2027</v>
      </c>
      <c r="G615" s="11">
        <f t="shared" ref="G615" si="124">F615+1</f>
        <v>2028</v>
      </c>
      <c r="H615" s="213"/>
      <c r="I615" s="213"/>
      <c r="J615" s="24"/>
      <c r="K615" s="337" t="s">
        <v>416</v>
      </c>
      <c r="L615" s="337" t="s">
        <v>417</v>
      </c>
    </row>
    <row r="616" spans="2:12">
      <c r="B616" t="s">
        <v>507</v>
      </c>
      <c r="C616" s="267">
        <v>71.5</v>
      </c>
      <c r="D616" s="267">
        <v>63.3</v>
      </c>
      <c r="E616" s="267">
        <v>67</v>
      </c>
      <c r="F616" s="267">
        <v>64.900000000000006</v>
      </c>
      <c r="G616" s="267">
        <v>64.599999999999994</v>
      </c>
      <c r="J616" s="24"/>
      <c r="K616" s="344">
        <f>MEDIAN(C616:G616)</f>
        <v>64.900000000000006</v>
      </c>
      <c r="L616" s="344">
        <f>AVERAGE(C616:G616)</f>
        <v>66.260000000000019</v>
      </c>
    </row>
    <row r="617" spans="2:12">
      <c r="B617" t="s">
        <v>508</v>
      </c>
      <c r="C617" s="24">
        <v>121.53854254422916</v>
      </c>
      <c r="D617" s="24">
        <v>92.333890126206384</v>
      </c>
      <c r="E617" s="24">
        <v>90.771427359730836</v>
      </c>
      <c r="F617" s="24">
        <v>90.370027552953331</v>
      </c>
      <c r="K617" s="344">
        <f>MEDIAN(C617:G617)</f>
        <v>91.552658742968617</v>
      </c>
      <c r="L617" s="344">
        <f>AVERAGE(C617:G617)</f>
        <v>98.753471895779924</v>
      </c>
    </row>
    <row r="618" spans="2:12">
      <c r="J618" s="333"/>
    </row>
    <row r="619" spans="2:12">
      <c r="B619" s="15" t="s">
        <v>416</v>
      </c>
      <c r="C619" s="225">
        <f>MEDIAN(C616:C617)</f>
        <v>96.51927127211458</v>
      </c>
      <c r="D619" s="225">
        <f t="shared" ref="D619:G619" si="125">MEDIAN(D616:D617)</f>
        <v>77.816945063103191</v>
      </c>
      <c r="E619" s="225">
        <f t="shared" si="125"/>
        <v>78.885713679865418</v>
      </c>
      <c r="F619" s="225">
        <f t="shared" si="125"/>
        <v>77.635013776476669</v>
      </c>
      <c r="G619" s="225">
        <f t="shared" si="125"/>
        <v>64.599999999999994</v>
      </c>
      <c r="H619" s="225"/>
      <c r="I619" s="225"/>
    </row>
    <row r="620" spans="2:12">
      <c r="B620" s="15" t="s">
        <v>505</v>
      </c>
      <c r="C620" s="225">
        <f>AVERAGE(C616:C617)</f>
        <v>96.51927127211458</v>
      </c>
      <c r="D620" s="225">
        <f t="shared" ref="D620:G620" si="126">AVERAGE(D616:D617)</f>
        <v>77.816945063103191</v>
      </c>
      <c r="E620" s="225">
        <f t="shared" si="126"/>
        <v>78.885713679865418</v>
      </c>
      <c r="F620" s="225">
        <f t="shared" si="126"/>
        <v>77.635013776476669</v>
      </c>
      <c r="G620" s="225">
        <f t="shared" si="126"/>
        <v>64.599999999999994</v>
      </c>
      <c r="H620" s="225"/>
      <c r="I620" s="225"/>
    </row>
    <row r="622" spans="2:12" ht="15.6">
      <c r="B622" s="139" t="s">
        <v>583</v>
      </c>
      <c r="C622" s="266"/>
      <c r="D622" s="266"/>
      <c r="E622" s="266"/>
      <c r="F622" s="266"/>
      <c r="G622" s="266"/>
      <c r="H622" s="266"/>
      <c r="I622" s="266"/>
      <c r="J622" s="24"/>
    </row>
    <row r="623" spans="2:12">
      <c r="J623" s="24"/>
    </row>
    <row r="624" spans="2:12">
      <c r="B624" t="s">
        <v>584</v>
      </c>
    </row>
    <row r="625" spans="1:2" ht="13.8" customHeight="1"/>
    <row r="636" spans="1:2" ht="21">
      <c r="A636" s="228" t="s">
        <v>21</v>
      </c>
      <c r="B636" s="228" t="s">
        <v>14</v>
      </c>
    </row>
    <row r="638" spans="1:2">
      <c r="B638" t="s">
        <v>599</v>
      </c>
    </row>
    <row r="640" spans="1:2" ht="21">
      <c r="A640" s="228" t="s">
        <v>21</v>
      </c>
      <c r="B640" s="228" t="s">
        <v>600</v>
      </c>
    </row>
    <row r="642" spans="2:12" ht="15.6">
      <c r="B642" s="139" t="s">
        <v>154</v>
      </c>
      <c r="C642" s="140">
        <v>43525</v>
      </c>
      <c r="D642" s="140">
        <v>43891</v>
      </c>
      <c r="E642" s="140">
        <v>44256</v>
      </c>
      <c r="F642" s="140">
        <v>44621</v>
      </c>
      <c r="G642" s="140">
        <v>44986</v>
      </c>
      <c r="H642" s="140">
        <v>45382</v>
      </c>
      <c r="I642" s="140">
        <v>45717</v>
      </c>
      <c r="K642" s="337" t="s">
        <v>416</v>
      </c>
      <c r="L642" s="337" t="s">
        <v>417</v>
      </c>
    </row>
    <row r="644" spans="2:12">
      <c r="B644" t="s">
        <v>603</v>
      </c>
      <c r="C644">
        <f>'Balance Sheet'!C60</f>
        <v>14</v>
      </c>
      <c r="D644">
        <f>'Balance Sheet'!D60</f>
        <v>10</v>
      </c>
      <c r="E644">
        <f>'Balance Sheet'!E60</f>
        <v>8</v>
      </c>
      <c r="F644">
        <f>'Balance Sheet'!F60</f>
        <v>0</v>
      </c>
      <c r="G644">
        <f>'Balance Sheet'!G60</f>
        <v>2</v>
      </c>
      <c r="H644">
        <f>'Balance Sheet'!H60</f>
        <v>0</v>
      </c>
      <c r="I644">
        <f>'Balance Sheet'!I60</f>
        <v>0</v>
      </c>
      <c r="K644" s="349">
        <f>MEDIAN(C644:I644)</f>
        <v>2</v>
      </c>
      <c r="L644" s="354">
        <f>AVERAGE(C644:I644)</f>
        <v>4.8571428571428568</v>
      </c>
    </row>
    <row r="645" spans="2:12" ht="15.6">
      <c r="B645" t="s">
        <v>601</v>
      </c>
      <c r="D645" s="194">
        <f>D644/C644-1</f>
        <v>-0.2857142857142857</v>
      </c>
      <c r="E645" s="194">
        <f t="shared" ref="E645:H645" si="127">E644/D644-1</f>
        <v>-0.19999999999999996</v>
      </c>
      <c r="F645" s="194">
        <f t="shared" si="127"/>
        <v>-1</v>
      </c>
      <c r="G645" s="194">
        <v>2</v>
      </c>
      <c r="H645" s="194">
        <f t="shared" si="127"/>
        <v>-1</v>
      </c>
      <c r="I645" s="194">
        <v>0</v>
      </c>
      <c r="J645" s="289"/>
      <c r="K645" s="350"/>
      <c r="L645" s="350"/>
    </row>
    <row r="646" spans="2:12">
      <c r="B646" t="s">
        <v>602</v>
      </c>
      <c r="C646">
        <f>'Balance Sheet'!C71</f>
        <v>335</v>
      </c>
      <c r="D646">
        <f>'Balance Sheet'!D71</f>
        <v>325</v>
      </c>
      <c r="E646">
        <f>'Balance Sheet'!E71</f>
        <v>340</v>
      </c>
      <c r="F646">
        <f>'Balance Sheet'!F71</f>
        <v>345</v>
      </c>
      <c r="G646">
        <f>'Balance Sheet'!G71</f>
        <v>473</v>
      </c>
      <c r="H646">
        <f>'Balance Sheet'!H71</f>
        <v>383</v>
      </c>
      <c r="I646">
        <f>'Balance Sheet'!I71</f>
        <v>379</v>
      </c>
      <c r="K646" s="349">
        <f>MEDIAN(C646:I646)</f>
        <v>345</v>
      </c>
      <c r="L646" s="354">
        <f>AVERAGE(C646:I646)</f>
        <v>368.57142857142856</v>
      </c>
    </row>
    <row r="647" spans="2:12">
      <c r="B647" t="s">
        <v>601</v>
      </c>
      <c r="D647" s="194">
        <f>D646/C646-1</f>
        <v>-2.9850746268656692E-2</v>
      </c>
      <c r="E647" s="194">
        <f t="shared" ref="E647:I647" si="128">E646/D646-1</f>
        <v>4.6153846153846212E-2</v>
      </c>
      <c r="F647" s="194">
        <f t="shared" si="128"/>
        <v>1.4705882352941124E-2</v>
      </c>
      <c r="G647" s="194">
        <f t="shared" si="128"/>
        <v>0.37101449275362319</v>
      </c>
      <c r="H647" s="194">
        <f t="shared" si="128"/>
        <v>-0.19027484143763218</v>
      </c>
      <c r="I647" s="194">
        <f t="shared" si="128"/>
        <v>-1.0443864229765065E-2</v>
      </c>
      <c r="K647" s="350"/>
      <c r="L647" s="350"/>
    </row>
    <row r="648" spans="2:12">
      <c r="B648" s="21" t="s">
        <v>604</v>
      </c>
      <c r="C648" s="21">
        <f>C644+C646</f>
        <v>349</v>
      </c>
      <c r="D648" s="21">
        <f t="shared" ref="D648:I648" si="129">D644+D646</f>
        <v>335</v>
      </c>
      <c r="E648" s="21">
        <f t="shared" si="129"/>
        <v>348</v>
      </c>
      <c r="F648" s="21">
        <f t="shared" si="129"/>
        <v>345</v>
      </c>
      <c r="G648" s="21">
        <f t="shared" si="129"/>
        <v>475</v>
      </c>
      <c r="H648" s="21">
        <f t="shared" si="129"/>
        <v>383</v>
      </c>
      <c r="I648" s="21">
        <f t="shared" si="129"/>
        <v>379</v>
      </c>
      <c r="J648" s="74"/>
      <c r="K648" s="349">
        <f>MEDIAN(C648:I648)</f>
        <v>349</v>
      </c>
      <c r="L648" s="354">
        <f>AVERAGE(C648:I648)</f>
        <v>373.42857142857144</v>
      </c>
    </row>
    <row r="649" spans="2:12">
      <c r="B649" t="s">
        <v>601</v>
      </c>
      <c r="D649" s="194">
        <f>D648/C648-1</f>
        <v>-4.011461318051579E-2</v>
      </c>
      <c r="E649" s="194">
        <f t="shared" ref="E649:I649" si="130">E648/D648-1</f>
        <v>3.8805970149253799E-2</v>
      </c>
      <c r="F649" s="194">
        <f t="shared" si="130"/>
        <v>-8.6206896551723755E-3</v>
      </c>
      <c r="G649" s="194">
        <f t="shared" si="130"/>
        <v>0.37681159420289845</v>
      </c>
      <c r="H649" s="194">
        <f t="shared" si="130"/>
        <v>-0.19368421052631579</v>
      </c>
      <c r="I649" s="194">
        <f t="shared" si="130"/>
        <v>-1.0443864229765065E-2</v>
      </c>
    </row>
    <row r="650" spans="2:12">
      <c r="J650" s="74"/>
    </row>
    <row r="651" spans="2:12">
      <c r="B651" t="s">
        <v>605</v>
      </c>
      <c r="C651" s="48">
        <f>C644/C648</f>
        <v>4.0114613180515762E-2</v>
      </c>
      <c r="D651" s="48">
        <f t="shared" ref="D651:I651" si="131">D644/D648</f>
        <v>2.9850746268656716E-2</v>
      </c>
      <c r="E651" s="48">
        <f t="shared" si="131"/>
        <v>2.2988505747126436E-2</v>
      </c>
      <c r="F651" s="48">
        <f t="shared" si="131"/>
        <v>0</v>
      </c>
      <c r="G651" s="48">
        <f t="shared" si="131"/>
        <v>4.2105263157894736E-3</v>
      </c>
      <c r="H651" s="48">
        <f t="shared" si="131"/>
        <v>0</v>
      </c>
      <c r="I651" s="48">
        <f t="shared" si="131"/>
        <v>0</v>
      </c>
      <c r="K651" s="351">
        <f>MEDIAN(C651:I651)</f>
        <v>4.2105263157894736E-3</v>
      </c>
      <c r="L651" s="351">
        <f>AVERAGE(C651:I651)</f>
        <v>1.388062735886977E-2</v>
      </c>
    </row>
    <row r="652" spans="2:12">
      <c r="B652" t="s">
        <v>606</v>
      </c>
      <c r="C652" s="48">
        <f>C646/C648</f>
        <v>0.95988538681948421</v>
      </c>
      <c r="D652" s="48">
        <f t="shared" ref="D652:I652" si="132">D646/D648</f>
        <v>0.97014925373134331</v>
      </c>
      <c r="E652" s="48">
        <f t="shared" si="132"/>
        <v>0.97701149425287359</v>
      </c>
      <c r="F652" s="48">
        <f t="shared" si="132"/>
        <v>1</v>
      </c>
      <c r="G652" s="48">
        <f t="shared" si="132"/>
        <v>0.99578947368421056</v>
      </c>
      <c r="H652" s="48">
        <f t="shared" si="132"/>
        <v>1</v>
      </c>
      <c r="I652" s="48">
        <f t="shared" si="132"/>
        <v>1</v>
      </c>
      <c r="J652" s="74"/>
      <c r="K652" s="351">
        <f>MEDIAN(C652:I652)</f>
        <v>0.99578947368421056</v>
      </c>
      <c r="L652" s="351">
        <f>AVERAGE(C652:I652)</f>
        <v>0.98611937264113014</v>
      </c>
    </row>
    <row r="653" spans="2:12">
      <c r="K653" s="350"/>
      <c r="L653" s="350"/>
    </row>
    <row r="654" spans="2:12">
      <c r="B654" t="s">
        <v>607</v>
      </c>
      <c r="C654" s="46">
        <f t="shared" ref="C654:I654" si="133">C7</f>
        <v>7334</v>
      </c>
      <c r="D654" s="46">
        <f t="shared" si="133"/>
        <v>7315</v>
      </c>
      <c r="E654" s="46">
        <f t="shared" si="133"/>
        <v>8048</v>
      </c>
      <c r="F654" s="46">
        <f t="shared" si="133"/>
        <v>9512</v>
      </c>
      <c r="G654" s="46">
        <f t="shared" si="133"/>
        <v>9764</v>
      </c>
      <c r="H654" s="46">
        <f t="shared" si="133"/>
        <v>9653</v>
      </c>
      <c r="I654" s="46">
        <f t="shared" si="133"/>
        <v>10831</v>
      </c>
      <c r="J654" s="74"/>
      <c r="K654" s="350"/>
      <c r="L654" s="350"/>
    </row>
    <row r="655" spans="2:12">
      <c r="J655" s="74"/>
      <c r="K655" s="350"/>
      <c r="L655" s="350"/>
    </row>
    <row r="656" spans="2:12">
      <c r="B656" t="s">
        <v>608</v>
      </c>
      <c r="C656" s="34">
        <f>C644/C654</f>
        <v>1.9089173711480775E-3</v>
      </c>
      <c r="D656" s="34">
        <f t="shared" ref="D656:I656" si="134">D644/D654</f>
        <v>1.3670539986329461E-3</v>
      </c>
      <c r="E656" s="34">
        <f t="shared" si="134"/>
        <v>9.9403578528827028E-4</v>
      </c>
      <c r="F656" s="34">
        <f t="shared" si="134"/>
        <v>0</v>
      </c>
      <c r="G656" s="34">
        <f t="shared" si="134"/>
        <v>2.0483408439164277E-4</v>
      </c>
      <c r="H656" s="34">
        <f t="shared" si="134"/>
        <v>0</v>
      </c>
      <c r="I656" s="34">
        <f t="shared" si="134"/>
        <v>0</v>
      </c>
      <c r="K656" s="351">
        <f>MEDIAN(C656:I656)</f>
        <v>2.0483408439164277E-4</v>
      </c>
      <c r="L656" s="351">
        <f>AVERAGE(C656:I656)</f>
        <v>6.3926303420870525E-4</v>
      </c>
    </row>
    <row r="657" spans="1:12" ht="14.4" customHeight="1">
      <c r="A657" s="228"/>
      <c r="B657" t="s">
        <v>609</v>
      </c>
      <c r="C657" s="34">
        <f>C646/C654</f>
        <v>4.5677665666757565E-2</v>
      </c>
      <c r="D657" s="34">
        <f t="shared" ref="D657:I657" si="135">D646/D654</f>
        <v>4.4429254955570742E-2</v>
      </c>
      <c r="E657" s="34">
        <f t="shared" si="135"/>
        <v>4.2246520874751489E-2</v>
      </c>
      <c r="F657" s="34">
        <f t="shared" si="135"/>
        <v>3.6269974768713208E-2</v>
      </c>
      <c r="G657" s="34">
        <f t="shared" si="135"/>
        <v>4.8443260958623516E-2</v>
      </c>
      <c r="H657" s="34">
        <f t="shared" si="135"/>
        <v>3.9676784419351498E-2</v>
      </c>
      <c r="I657" s="34">
        <f t="shared" si="135"/>
        <v>3.499215215584895E-2</v>
      </c>
      <c r="J657" s="46"/>
      <c r="K657" s="351">
        <f>MEDIAN(C657:I657)</f>
        <v>4.2246520874751489E-2</v>
      </c>
      <c r="L657" s="351">
        <f>AVERAGE(C657:I657)</f>
        <v>4.1676516257088139E-2</v>
      </c>
    </row>
    <row r="658" spans="1:12">
      <c r="K658" s="350"/>
      <c r="L658" s="350"/>
    </row>
    <row r="659" spans="1:12">
      <c r="B659" t="s">
        <v>610</v>
      </c>
      <c r="C659" s="274">
        <f>C648/'Balance Sheet'!C51</f>
        <v>0.1173109243697479</v>
      </c>
      <c r="D659" s="274">
        <f>D648/'Balance Sheet'!D51</f>
        <v>0.11081706913661925</v>
      </c>
      <c r="E659" s="274">
        <f>E648/'Balance Sheet'!E51</f>
        <v>0.10740740740740741</v>
      </c>
      <c r="F659" s="274">
        <f>F648/'Balance Sheet'!F51</f>
        <v>0.10304659498207885</v>
      </c>
      <c r="G659" s="274">
        <f>G648/'Balance Sheet'!G51</f>
        <v>0.12503290339563042</v>
      </c>
      <c r="H659" s="274">
        <f>H648/'Balance Sheet'!H51</f>
        <v>9.994780793319416E-2</v>
      </c>
      <c r="I659" s="274">
        <f>I648/'Balance Sheet'!I51</f>
        <v>9.534591194968553E-2</v>
      </c>
      <c r="J659" s="325"/>
      <c r="K659" s="352">
        <f>MEDIAN(C659:I659)</f>
        <v>0.10740740740740741</v>
      </c>
      <c r="L659" s="352">
        <f>AVERAGE(C659:I659)</f>
        <v>0.10841551702490906</v>
      </c>
    </row>
    <row r="660" spans="1:12">
      <c r="B660" t="s">
        <v>611</v>
      </c>
      <c r="C660" s="275">
        <f>C648/(C648+'Balance Sheet'!C54)</f>
        <v>0.10461630695443645</v>
      </c>
      <c r="D660" s="275">
        <f>D648/(D648+'Balance Sheet'!D54)</f>
        <v>9.9377039454167898E-2</v>
      </c>
      <c r="E660" s="275">
        <f>E648/(E648+'Balance Sheet'!E54)</f>
        <v>9.6505823627287851E-2</v>
      </c>
      <c r="F660" s="275">
        <f>F648/(F648+'Balance Sheet'!F54)</f>
        <v>9.1999999999999998E-2</v>
      </c>
      <c r="G660" s="275">
        <f>G648/(G648+'Balance Sheet'!G54)</f>
        <v>0.10719927781539156</v>
      </c>
      <c r="H660" s="275">
        <f>H648/(H648+'Balance Sheet'!H54)</f>
        <v>8.4138840070298773E-2</v>
      </c>
      <c r="I660" s="275">
        <f>I648/(I648+'Balance Sheet'!I54)</f>
        <v>8.1593110871905281E-2</v>
      </c>
      <c r="J660" s="325"/>
      <c r="K660" s="352">
        <f>MEDIAN(C660:I660)</f>
        <v>9.6505823627287851E-2</v>
      </c>
      <c r="L660" s="352">
        <f t="shared" ref="L660:L662" si="136">AVERAGE(C660:I660)</f>
        <v>9.5061485541926824E-2</v>
      </c>
    </row>
    <row r="661" spans="1:12" ht="15.6" customHeight="1">
      <c r="A661" s="228"/>
      <c r="B661" t="s">
        <v>612</v>
      </c>
      <c r="C661" s="275">
        <f>C648/'Balance Sheet'!C42</f>
        <v>7.109390914646567E-2</v>
      </c>
      <c r="D661" s="275">
        <f>D648/'Balance Sheet'!D42</f>
        <v>6.6973210715713716E-2</v>
      </c>
      <c r="E661" s="275">
        <f>E648/'Balance Sheet'!E42</f>
        <v>6.3157894736842107E-2</v>
      </c>
      <c r="F661" s="275">
        <f>F648/'Balance Sheet'!F42</f>
        <v>5.9626685101970271E-2</v>
      </c>
      <c r="G661" s="275">
        <f>G648/'Balance Sheet'!G42</f>
        <v>6.8384681831269792E-2</v>
      </c>
      <c r="H661" s="275">
        <f>H648/'Balance Sheet'!H42</f>
        <v>5.1610295108475944E-2</v>
      </c>
      <c r="I661" s="275">
        <f>I648/'Balance Sheet'!I42</f>
        <v>4.5454545454545456E-2</v>
      </c>
      <c r="K661" s="352">
        <f>MEDIAN(C661:I661)</f>
        <v>6.3157894736842107E-2</v>
      </c>
      <c r="L661" s="352">
        <f t="shared" si="136"/>
        <v>6.090017458504042E-2</v>
      </c>
    </row>
    <row r="662" spans="1:12">
      <c r="B662" t="s">
        <v>613</v>
      </c>
      <c r="C662" s="274">
        <f>C648/'P&amp;l 25-24'!D34</f>
        <v>0.26339622641509436</v>
      </c>
      <c r="D662" s="274">
        <f>D648/'P&amp;l 25-24'!E34</f>
        <v>0.2326388888888889</v>
      </c>
      <c r="E662" s="274">
        <f>E648/'P&amp;l 25-24'!F34</f>
        <v>0.21722846441947566</v>
      </c>
      <c r="F662" s="274">
        <f>F648/'P&amp;l 25-24'!G34</f>
        <v>0.20523497917906008</v>
      </c>
      <c r="G662" s="274">
        <f>G648/'P&amp;l 25-24'!H34</f>
        <v>0.26243093922651933</v>
      </c>
      <c r="H662" s="274">
        <f>H648/'P&amp;l 25-24'!I34</f>
        <v>0.18904244817374136</v>
      </c>
      <c r="I662" s="274">
        <f>I648/'P&amp;l 25-24'!J34</f>
        <v>0.17718560074801309</v>
      </c>
      <c r="J662" s="335"/>
      <c r="K662" s="352">
        <f>MEDIAN(C662:I662)</f>
        <v>0.21722846441947566</v>
      </c>
      <c r="L662" s="352">
        <f t="shared" si="136"/>
        <v>0.22102250672154183</v>
      </c>
    </row>
    <row r="663" spans="1:12">
      <c r="J663" s="219"/>
    </row>
    <row r="664" spans="1:12" ht="15.6">
      <c r="B664" s="139" t="s">
        <v>583</v>
      </c>
      <c r="C664" s="266"/>
      <c r="D664" s="266"/>
      <c r="E664" s="266"/>
      <c r="F664" s="266"/>
      <c r="G664" s="266"/>
      <c r="H664" s="266"/>
      <c r="I664" s="266"/>
      <c r="J664" s="219"/>
    </row>
    <row r="665" spans="1:12">
      <c r="J665" s="335"/>
    </row>
    <row r="670" spans="1:12">
      <c r="K670" s="350"/>
      <c r="L670" s="350"/>
    </row>
    <row r="671" spans="1:12" ht="15.6">
      <c r="B671" s="139" t="s">
        <v>595</v>
      </c>
      <c r="C671" s="11">
        <v>2024</v>
      </c>
      <c r="D671" s="11">
        <f>C671+1</f>
        <v>2025</v>
      </c>
      <c r="E671" s="11">
        <f t="shared" ref="E671" si="137">D671+1</f>
        <v>2026</v>
      </c>
      <c r="F671" s="11">
        <f t="shared" ref="F671" si="138">E671+1</f>
        <v>2027</v>
      </c>
      <c r="G671" s="11">
        <f t="shared" ref="G671" si="139">F671+1</f>
        <v>2028</v>
      </c>
      <c r="H671" s="213"/>
      <c r="I671" s="213"/>
      <c r="K671" s="350"/>
      <c r="L671" s="350"/>
    </row>
    <row r="672" spans="1:12">
      <c r="B672" t="s">
        <v>507</v>
      </c>
      <c r="C672" s="259">
        <v>337</v>
      </c>
      <c r="D672" s="259">
        <v>291</v>
      </c>
      <c r="E672" s="259">
        <v>316</v>
      </c>
      <c r="F672" s="259">
        <v>343.5</v>
      </c>
      <c r="G672" s="259">
        <v>373.5</v>
      </c>
    </row>
    <row r="673" spans="2:12">
      <c r="B673" t="s">
        <v>614</v>
      </c>
      <c r="C673" s="24">
        <v>383</v>
      </c>
      <c r="D673" s="24">
        <v>379</v>
      </c>
      <c r="E673" s="24">
        <v>629</v>
      </c>
      <c r="F673" s="24">
        <v>629</v>
      </c>
      <c r="G673" s="24">
        <v>629</v>
      </c>
    </row>
    <row r="674" spans="2:12">
      <c r="B674" t="s">
        <v>585</v>
      </c>
      <c r="C674" s="24">
        <v>529</v>
      </c>
      <c r="D674" s="24">
        <v>1363</v>
      </c>
      <c r="E674" s="24">
        <v>1431.2</v>
      </c>
      <c r="F674" s="24">
        <v>1502.7</v>
      </c>
      <c r="G674" s="24">
        <v>1577.8</v>
      </c>
      <c r="J674" s="333"/>
    </row>
    <row r="675" spans="2:12">
      <c r="B675" t="s">
        <v>508</v>
      </c>
      <c r="C675" s="24">
        <v>383</v>
      </c>
      <c r="D675" s="24">
        <v>379</v>
      </c>
      <c r="E675" s="24">
        <v>379</v>
      </c>
      <c r="F675" s="24">
        <v>379</v>
      </c>
      <c r="G675" s="24"/>
    </row>
    <row r="676" spans="2:12">
      <c r="B676" t="s">
        <v>521</v>
      </c>
      <c r="C676" s="24">
        <v>383</v>
      </c>
      <c r="D676" s="24">
        <v>379</v>
      </c>
      <c r="E676" s="24">
        <v>390</v>
      </c>
      <c r="F676" s="24">
        <v>402</v>
      </c>
      <c r="G676" s="24"/>
    </row>
    <row r="684" spans="2:12">
      <c r="K684" s="350"/>
      <c r="L684" s="350"/>
    </row>
    <row r="693" spans="1:9" ht="21">
      <c r="A693" s="228" t="s">
        <v>21</v>
      </c>
      <c r="B693" s="228" t="s">
        <v>124</v>
      </c>
    </row>
    <row r="695" spans="1:9" ht="15.6">
      <c r="B695" s="139" t="s">
        <v>154</v>
      </c>
      <c r="C695" s="140">
        <v>43525</v>
      </c>
      <c r="D695" s="140">
        <v>43891</v>
      </c>
      <c r="E695" s="140">
        <v>44256</v>
      </c>
      <c r="F695" s="140">
        <v>44621</v>
      </c>
      <c r="G695" s="140">
        <v>44986</v>
      </c>
      <c r="H695" s="140">
        <v>45382</v>
      </c>
      <c r="I695" s="140">
        <v>45717</v>
      </c>
    </row>
    <row r="696" spans="1:9">
      <c r="B696" s="20" t="s">
        <v>604</v>
      </c>
      <c r="C696" s="20">
        <v>349</v>
      </c>
      <c r="D696" s="20">
        <v>335</v>
      </c>
      <c r="E696" s="20">
        <v>348</v>
      </c>
      <c r="F696" s="20">
        <v>345</v>
      </c>
      <c r="G696" s="20">
        <v>475</v>
      </c>
      <c r="H696" s="20">
        <v>383</v>
      </c>
      <c r="I696" s="20">
        <v>379</v>
      </c>
    </row>
    <row r="697" spans="1:9">
      <c r="B697" t="s">
        <v>715</v>
      </c>
      <c r="C697" s="46">
        <f>'P&amp;l 25-24'!D39</f>
        <v>-40</v>
      </c>
      <c r="D697" s="46">
        <f>'P&amp;l 25-24'!E39</f>
        <v>-50</v>
      </c>
      <c r="E697" s="46">
        <f>'P&amp;l 25-24'!F39</f>
        <v>-34</v>
      </c>
      <c r="F697" s="46">
        <f>'P&amp;l 25-24'!G39</f>
        <v>-39</v>
      </c>
      <c r="G697" s="46">
        <f>'P&amp;l 25-24'!H39</f>
        <v>-56</v>
      </c>
      <c r="H697" s="46">
        <f>'P&amp;l 25-24'!I39</f>
        <v>-73</v>
      </c>
      <c r="I697" s="46">
        <f>'P&amp;l 25-24'!J39</f>
        <v>-53</v>
      </c>
    </row>
    <row r="698" spans="1:9">
      <c r="B698" t="s">
        <v>716</v>
      </c>
      <c r="C698" s="194">
        <f>C697/C696</f>
        <v>-0.11461318051575932</v>
      </c>
      <c r="D698" s="194">
        <f t="shared" ref="D698:H698" si="140">D697/D696</f>
        <v>-0.14925373134328357</v>
      </c>
      <c r="E698" s="194">
        <f t="shared" si="140"/>
        <v>-9.7701149425287362E-2</v>
      </c>
      <c r="F698" s="194">
        <f t="shared" si="140"/>
        <v>-0.11304347826086956</v>
      </c>
      <c r="G698" s="194">
        <f t="shared" si="140"/>
        <v>-0.11789473684210526</v>
      </c>
      <c r="H698" s="194">
        <f t="shared" si="140"/>
        <v>-0.1906005221932115</v>
      </c>
      <c r="I698" s="194">
        <f>I697/I696</f>
        <v>-0.13984168865435356</v>
      </c>
    </row>
    <row r="701" spans="1:9" ht="15.6">
      <c r="B701" s="137" t="s">
        <v>723</v>
      </c>
    </row>
    <row r="703" spans="1:9">
      <c r="B703" s="11" t="s">
        <v>717</v>
      </c>
      <c r="C703" s="11" t="s">
        <v>718</v>
      </c>
      <c r="D703" s="11" t="s">
        <v>719</v>
      </c>
    </row>
    <row r="704" spans="1:9">
      <c r="B704" s="18"/>
      <c r="C704" s="153">
        <v>8.9999999999999993E-3</v>
      </c>
      <c r="D704">
        <v>226</v>
      </c>
    </row>
    <row r="705" spans="1:9">
      <c r="C705" s="439">
        <v>0.15</v>
      </c>
      <c r="D705">
        <v>80</v>
      </c>
    </row>
    <row r="706" spans="1:9">
      <c r="C706" s="153">
        <v>6.1100000000000002E-2</v>
      </c>
      <c r="D706">
        <v>73</v>
      </c>
    </row>
    <row r="707" spans="1:9">
      <c r="B707" s="18" t="s">
        <v>724</v>
      </c>
      <c r="C707" s="178">
        <f>SUMPRODUCT(C704:C706,D704:D706)/SUM(D704:D706)</f>
        <v>4.8797625329815304E-2</v>
      </c>
    </row>
    <row r="708" spans="1:9">
      <c r="B708" s="18"/>
      <c r="C708" s="178"/>
    </row>
    <row r="709" spans="1:9">
      <c r="B709" t="s">
        <v>725</v>
      </c>
      <c r="C709" s="178"/>
    </row>
    <row r="710" spans="1:9">
      <c r="C710" s="178"/>
    </row>
    <row r="711" spans="1:9" ht="21">
      <c r="A711" s="228" t="s">
        <v>21</v>
      </c>
      <c r="B711" s="228" t="s">
        <v>686</v>
      </c>
    </row>
    <row r="713" spans="1:9" ht="15.6">
      <c r="B713" s="139" t="s">
        <v>154</v>
      </c>
      <c r="C713" s="140">
        <v>43525</v>
      </c>
      <c r="D713" s="140">
        <v>43891</v>
      </c>
      <c r="E713" s="140">
        <v>44256</v>
      </c>
      <c r="F713" s="140">
        <v>44621</v>
      </c>
      <c r="G713" s="140">
        <v>44986</v>
      </c>
      <c r="H713" s="140">
        <v>45382</v>
      </c>
      <c r="I713" s="140">
        <v>45717</v>
      </c>
    </row>
    <row r="714" spans="1:9">
      <c r="B714" s="20" t="s">
        <v>42</v>
      </c>
      <c r="C714" s="20">
        <f>'P&amp;l 25-24'!D6</f>
        <v>7334</v>
      </c>
      <c r="D714" s="20">
        <f>'P&amp;l 25-24'!E6</f>
        <v>7315</v>
      </c>
      <c r="E714" s="20">
        <f>'P&amp;l 25-24'!F6</f>
        <v>8048</v>
      </c>
      <c r="F714" s="20">
        <f>'P&amp;l 25-24'!G6</f>
        <v>9512</v>
      </c>
      <c r="G714" s="20">
        <f>'P&amp;l 25-24'!H6</f>
        <v>9764</v>
      </c>
      <c r="H714" s="20">
        <f>'P&amp;l 25-24'!I6</f>
        <v>9653</v>
      </c>
      <c r="I714" s="20">
        <f>'P&amp;l 25-24'!J6</f>
        <v>10831</v>
      </c>
    </row>
    <row r="715" spans="1:9">
      <c r="B715" t="s">
        <v>686</v>
      </c>
      <c r="C715" s="46">
        <f>'P&amp;l 25-24'!D40</f>
        <v>103</v>
      </c>
      <c r="D715" s="46">
        <f>'P&amp;l 25-24'!E40</f>
        <v>124</v>
      </c>
      <c r="E715" s="46">
        <f>'P&amp;l 25-24'!F40</f>
        <v>94</v>
      </c>
      <c r="F715" s="46">
        <f>'P&amp;l 25-24'!G40</f>
        <v>98</v>
      </c>
      <c r="G715" s="46">
        <f>'P&amp;l 25-24'!H40</f>
        <v>144</v>
      </c>
      <c r="H715" s="46">
        <f>'P&amp;l 25-24'!I40</f>
        <v>142</v>
      </c>
      <c r="I715" s="46">
        <f>'P&amp;l 25-24'!J40</f>
        <v>208</v>
      </c>
    </row>
    <row r="716" spans="1:9">
      <c r="B716" t="s">
        <v>688</v>
      </c>
      <c r="C716" s="194">
        <f>C715/C714</f>
        <v>1.4044177802017999E-2</v>
      </c>
      <c r="D716" s="194">
        <f t="shared" ref="D716:I716" si="141">D715/D714</f>
        <v>1.695146958304853E-2</v>
      </c>
      <c r="E716" s="194">
        <f t="shared" si="141"/>
        <v>1.1679920477137177E-2</v>
      </c>
      <c r="F716" s="194">
        <f t="shared" si="141"/>
        <v>1.0302775441547519E-2</v>
      </c>
      <c r="G716" s="194">
        <f t="shared" si="141"/>
        <v>1.4748054076198279E-2</v>
      </c>
      <c r="H716" s="194">
        <f t="shared" si="141"/>
        <v>1.4710452709002383E-2</v>
      </c>
      <c r="I716" s="194">
        <f t="shared" si="141"/>
        <v>1.9204136275505494E-2</v>
      </c>
    </row>
    <row r="719" spans="1:9" ht="21">
      <c r="A719" s="228" t="s">
        <v>21</v>
      </c>
      <c r="B719" s="228" t="s">
        <v>728</v>
      </c>
    </row>
    <row r="721" spans="2:9" ht="15.6">
      <c r="B721" s="139" t="s">
        <v>154</v>
      </c>
      <c r="C721" s="140">
        <v>43525</v>
      </c>
      <c r="D721" s="140">
        <v>43891</v>
      </c>
      <c r="E721" s="140">
        <v>44256</v>
      </c>
      <c r="F721" s="140">
        <v>44621</v>
      </c>
      <c r="G721" s="140">
        <v>44986</v>
      </c>
      <c r="H721" s="140">
        <v>45382</v>
      </c>
      <c r="I721" s="140">
        <v>45717</v>
      </c>
    </row>
    <row r="722" spans="2:9">
      <c r="B722" s="20" t="s">
        <v>728</v>
      </c>
      <c r="C722" s="443">
        <f>SUM('Cash Flow'!C65,'Cash Flow'!C60)*-1</f>
        <v>700</v>
      </c>
      <c r="D722" s="443">
        <f>SUM('Cash Flow'!D65,'Cash Flow'!D60)*-1</f>
        <v>1046</v>
      </c>
      <c r="E722" s="443">
        <f>SUM('Cash Flow'!E65,'Cash Flow'!E60)*-1</f>
        <v>990</v>
      </c>
      <c r="F722" s="443">
        <f>SUM('Cash Flow'!F65,'Cash Flow'!F60)*-1</f>
        <v>1217</v>
      </c>
      <c r="G722" s="443">
        <f>SUM('Cash Flow'!G65,'Cash Flow'!G60)*-1</f>
        <v>607</v>
      </c>
      <c r="H722" s="443">
        <f>SUM('Cash Flow'!H65,'Cash Flow'!H60)*-1</f>
        <v>1229</v>
      </c>
      <c r="I722" s="443">
        <f>SUM('Cash Flow'!I65,'Cash Flow'!I60)*-1</f>
        <v>500</v>
      </c>
    </row>
    <row r="723" spans="2:9">
      <c r="B723" t="s">
        <v>173</v>
      </c>
      <c r="C723" s="46">
        <f>'P&amp;l 25-24'!D45</f>
        <v>1131</v>
      </c>
      <c r="D723" s="46">
        <f>'P&amp;l 25-24'!E45</f>
        <v>1043</v>
      </c>
      <c r="E723" s="46">
        <f>'P&amp;l 25-24'!F45</f>
        <v>1199</v>
      </c>
      <c r="F723" s="46">
        <f>'P&amp;l 25-24'!G45</f>
        <v>1255</v>
      </c>
      <c r="G723" s="46">
        <f>'P&amp;l 25-24'!H45</f>
        <v>1322</v>
      </c>
      <c r="H723" s="46">
        <f>'P&amp;l 25-24'!I45</f>
        <v>1502</v>
      </c>
      <c r="I723" s="46">
        <f>'P&amp;l 25-24'!J45</f>
        <v>1658</v>
      </c>
    </row>
    <row r="724" spans="2:9">
      <c r="B724" t="s">
        <v>729</v>
      </c>
      <c r="C724" s="194">
        <f>C722/C723</f>
        <v>0.61892130857648098</v>
      </c>
      <c r="D724" s="194">
        <f t="shared" ref="D724:I724" si="142">D722/D723</f>
        <v>1.00287631831256</v>
      </c>
      <c r="E724" s="194">
        <f t="shared" si="142"/>
        <v>0.82568807339449546</v>
      </c>
      <c r="F724" s="194">
        <f t="shared" si="142"/>
        <v>0.96972111553784857</v>
      </c>
      <c r="G724" s="194">
        <f t="shared" si="142"/>
        <v>0.45915279878971255</v>
      </c>
      <c r="H724" s="194">
        <f t="shared" si="142"/>
        <v>0.81824234354194403</v>
      </c>
      <c r="I724" s="194">
        <f t="shared" si="142"/>
        <v>0.30156815440289503</v>
      </c>
    </row>
    <row r="727" spans="2:9" ht="15.6">
      <c r="B727" s="139" t="s">
        <v>730</v>
      </c>
      <c r="C727" s="11">
        <v>2024</v>
      </c>
      <c r="D727" s="11">
        <f>C727+1</f>
        <v>2025</v>
      </c>
      <c r="E727" s="11">
        <f t="shared" ref="E727" si="143">D727+1</f>
        <v>2026</v>
      </c>
      <c r="F727" s="11">
        <f t="shared" ref="F727" si="144">E727+1</f>
        <v>2027</v>
      </c>
      <c r="G727" s="11">
        <f t="shared" ref="G727" si="145">F727+1</f>
        <v>2028</v>
      </c>
    </row>
    <row r="728" spans="2:9">
      <c r="B728" t="s">
        <v>614</v>
      </c>
      <c r="C728" s="24">
        <v>1229</v>
      </c>
      <c r="D728" s="24">
        <v>453</v>
      </c>
      <c r="E728" s="24">
        <v>2384.6</v>
      </c>
      <c r="F728" s="24">
        <v>1686.9</v>
      </c>
      <c r="G728" s="24">
        <v>1926.1</v>
      </c>
      <c r="H728" s="24"/>
    </row>
    <row r="729" spans="2:9">
      <c r="B729" t="s">
        <v>585</v>
      </c>
      <c r="C729" s="267">
        <v>1229</v>
      </c>
      <c r="D729" s="267">
        <v>453</v>
      </c>
      <c r="E729" s="267">
        <v>1354.5</v>
      </c>
      <c r="F729" s="267">
        <v>1548</v>
      </c>
      <c r="G729" s="267">
        <v>1806</v>
      </c>
    </row>
    <row r="730" spans="2:9">
      <c r="B730" t="s">
        <v>521</v>
      </c>
      <c r="C730">
        <v>1229</v>
      </c>
      <c r="D730">
        <v>500</v>
      </c>
      <c r="E730">
        <v>1586</v>
      </c>
      <c r="F730">
        <v>1801</v>
      </c>
      <c r="G730" t="s">
        <v>121</v>
      </c>
    </row>
    <row r="740" spans="1:14" ht="21">
      <c r="A740" s="228" t="s">
        <v>21</v>
      </c>
      <c r="B740" s="228" t="s">
        <v>744</v>
      </c>
    </row>
    <row r="742" spans="1:14" ht="15.6">
      <c r="B742" s="139" t="s">
        <v>154</v>
      </c>
      <c r="C742" s="140">
        <v>43891</v>
      </c>
      <c r="D742" s="140">
        <v>44256</v>
      </c>
      <c r="E742" s="140">
        <v>44621</v>
      </c>
      <c r="F742" s="140">
        <v>44986</v>
      </c>
      <c r="G742" s="140">
        <v>45382</v>
      </c>
      <c r="H742" s="140">
        <v>45717</v>
      </c>
      <c r="I742" s="140">
        <v>46082</v>
      </c>
      <c r="J742" s="140">
        <v>46447</v>
      </c>
      <c r="K742" s="140">
        <v>46813</v>
      </c>
      <c r="L742" s="140">
        <v>47178</v>
      </c>
      <c r="M742" s="140">
        <v>47543</v>
      </c>
    </row>
    <row r="743" spans="1:14">
      <c r="B743" t="s">
        <v>745</v>
      </c>
      <c r="C743" s="203">
        <f>'3 Statement Model'!D67</f>
        <v>93.000000000000909</v>
      </c>
      <c r="D743" s="203">
        <f>'3 Statement Model'!E67</f>
        <v>109.00000000000091</v>
      </c>
      <c r="E743" s="203">
        <f>'3 Statement Model'!F67</f>
        <v>276.00000000000091</v>
      </c>
      <c r="F743" s="203">
        <f>'3 Statement Model'!G67</f>
        <v>207.00000000000091</v>
      </c>
      <c r="G743" s="203">
        <f>'3 Statement Model'!H67</f>
        <v>228.00000000000091</v>
      </c>
      <c r="H743" s="203">
        <f>'3 Statement Model'!I67</f>
        <v>321.00000000000091</v>
      </c>
      <c r="I743" s="450">
        <f>'3 Statement Model'!J67</f>
        <v>385.08676005302368</v>
      </c>
      <c r="J743" s="450">
        <f>'3 Statement Model'!K67</f>
        <v>422.63103874720446</v>
      </c>
      <c r="K743" s="450">
        <f>'3 Statement Model'!L67</f>
        <v>567.052953594972</v>
      </c>
      <c r="L743" s="450">
        <f>'3 Statement Model'!M67</f>
        <v>730.40799835647363</v>
      </c>
      <c r="M743" s="450">
        <f>'3 Statement Model'!N67</f>
        <v>761.60067535744861</v>
      </c>
    </row>
    <row r="744" spans="1:14">
      <c r="B744" t="s">
        <v>42</v>
      </c>
      <c r="C744" s="203">
        <f>'3 Statement Model'!D13</f>
        <v>7315</v>
      </c>
      <c r="D744" s="203">
        <f>'3 Statement Model'!E13</f>
        <v>8048</v>
      </c>
      <c r="E744" s="203">
        <f>'3 Statement Model'!F13</f>
        <v>9512</v>
      </c>
      <c r="F744" s="203">
        <f>'3 Statement Model'!G13</f>
        <v>9764</v>
      </c>
      <c r="G744" s="203">
        <f>'3 Statement Model'!H13</f>
        <v>9653</v>
      </c>
      <c r="H744" s="203">
        <f>'3 Statement Model'!I13</f>
        <v>10831</v>
      </c>
      <c r="I744" s="450">
        <f>'3 Statement Model'!J13</f>
        <v>12347.340000000002</v>
      </c>
      <c r="J744" s="450">
        <f>'3 Statement Model'!K13</f>
        <v>14014.230900000002</v>
      </c>
      <c r="K744" s="450">
        <f>'3 Statement Model'!L13</f>
        <v>15836.080917000001</v>
      </c>
      <c r="L744" s="450">
        <f>'3 Statement Model'!M13</f>
        <v>17815.591031625001</v>
      </c>
      <c r="M744" s="450">
        <f>'3 Statement Model'!N13</f>
        <v>19953.461955420004</v>
      </c>
    </row>
    <row r="745" spans="1:14">
      <c r="C745" s="203"/>
      <c r="D745" s="203"/>
      <c r="E745" s="203"/>
      <c r="F745" s="203"/>
      <c r="G745" s="203"/>
      <c r="H745" s="203"/>
      <c r="I745" s="450"/>
      <c r="J745" s="450"/>
      <c r="K745" s="451"/>
      <c r="L745" s="451"/>
      <c r="M745" s="450"/>
    </row>
    <row r="746" spans="1:14">
      <c r="B746" t="s">
        <v>746</v>
      </c>
      <c r="C746" s="194">
        <f>C743/C744</f>
        <v>1.2713602187286522E-2</v>
      </c>
      <c r="D746" s="194">
        <f t="shared" ref="D746:M746" si="146">D743/D744</f>
        <v>1.3543737574552796E-2</v>
      </c>
      <c r="E746" s="194">
        <f t="shared" si="146"/>
        <v>2.9015979814970658E-2</v>
      </c>
      <c r="F746" s="194">
        <f t="shared" si="146"/>
        <v>2.1200327734535118E-2</v>
      </c>
      <c r="G746" s="194">
        <f t="shared" si="146"/>
        <v>2.3619600124313779E-2</v>
      </c>
      <c r="H746" s="194">
        <f t="shared" si="146"/>
        <v>2.9637152617486926E-2</v>
      </c>
      <c r="I746" s="48">
        <f t="shared" si="146"/>
        <v>3.1187831553437715E-2</v>
      </c>
      <c r="J746" s="48">
        <f t="shared" si="146"/>
        <v>3.0157276682747133E-2</v>
      </c>
      <c r="K746" s="48">
        <f t="shared" si="146"/>
        <v>3.5807656993356342E-2</v>
      </c>
      <c r="L746" s="48">
        <f t="shared" si="146"/>
        <v>4.0998246819872776E-2</v>
      </c>
      <c r="M746" s="48">
        <f t="shared" si="146"/>
        <v>3.8168848947566884E-2</v>
      </c>
      <c r="N746" s="53"/>
    </row>
    <row r="747" spans="1:14">
      <c r="C747" s="203"/>
      <c r="D747" s="203"/>
      <c r="E747" s="203"/>
      <c r="F747" s="203"/>
      <c r="G747" s="203"/>
      <c r="H747" s="203"/>
      <c r="I747" s="450"/>
      <c r="J747" s="450"/>
      <c r="K747" s="450"/>
      <c r="L747" s="450"/>
      <c r="M747" s="450"/>
    </row>
    <row r="748" spans="1:14">
      <c r="B748" t="s">
        <v>105</v>
      </c>
      <c r="C748" s="203">
        <f>'3 Statement Model'!D74</f>
        <v>5002.0000000000009</v>
      </c>
      <c r="D748" s="203">
        <f>'3 Statement Model'!E74</f>
        <v>5510.0000000000009</v>
      </c>
      <c r="E748" s="203">
        <f>'3 Statement Model'!F74</f>
        <v>5786.0000000000009</v>
      </c>
      <c r="F748" s="203">
        <f>'3 Statement Model'!G74</f>
        <v>6946.0000000000009</v>
      </c>
      <c r="G748" s="203">
        <f>'3 Statement Model'!H74</f>
        <v>7421.0000000000009</v>
      </c>
      <c r="H748" s="203">
        <f>'3 Statement Model'!I74</f>
        <v>8338</v>
      </c>
      <c r="I748" s="450">
        <f>'3 Statement Model'!J74</f>
        <v>8943.3075506283676</v>
      </c>
      <c r="J748" s="450">
        <f>'3 Statement Model'!K74</f>
        <v>9652.4730840502198</v>
      </c>
      <c r="K748" s="450">
        <f>'3 Statement Model'!L74</f>
        <v>10209.619597616282</v>
      </c>
      <c r="L748" s="450">
        <f>'3 Statement Model'!M74</f>
        <v>10972.442131426596</v>
      </c>
      <c r="M748" s="450">
        <f>'3 Statement Model'!N74</f>
        <v>11648.410935355507</v>
      </c>
    </row>
    <row r="749" spans="1:14">
      <c r="C749" s="194"/>
      <c r="D749" s="194"/>
      <c r="E749" s="194"/>
      <c r="F749" s="194"/>
      <c r="G749" s="194"/>
      <c r="H749" s="194"/>
      <c r="I749" s="48"/>
      <c r="J749" s="48"/>
      <c r="K749" s="48"/>
      <c r="L749" s="48"/>
      <c r="M749" s="48"/>
    </row>
    <row r="750" spans="1:14">
      <c r="B750" t="s">
        <v>747</v>
      </c>
      <c r="C750" s="194">
        <f>C743/C748</f>
        <v>1.8592562974810253E-2</v>
      </c>
      <c r="D750" s="194">
        <f t="shared" ref="D750:M750" si="147">D743/D748</f>
        <v>1.9782214156080016E-2</v>
      </c>
      <c r="E750" s="194">
        <f t="shared" si="147"/>
        <v>4.7701348081576368E-2</v>
      </c>
      <c r="F750" s="194">
        <f t="shared" si="147"/>
        <v>2.9801324503311386E-2</v>
      </c>
      <c r="G750" s="194">
        <f t="shared" si="147"/>
        <v>3.0723622153348725E-2</v>
      </c>
      <c r="H750" s="194">
        <f t="shared" si="147"/>
        <v>3.8498440873111169E-2</v>
      </c>
      <c r="I750" s="48">
        <f t="shared" si="147"/>
        <v>4.3058651161556778E-2</v>
      </c>
      <c r="J750" s="48">
        <f t="shared" si="147"/>
        <v>4.3784741492370639E-2</v>
      </c>
      <c r="K750" s="48">
        <f t="shared" si="147"/>
        <v>5.5541046184263927E-2</v>
      </c>
      <c r="L750" s="48">
        <f t="shared" si="147"/>
        <v>6.6567496060378734E-2</v>
      </c>
      <c r="M750" s="48">
        <f t="shared" si="147"/>
        <v>6.5382366709421449E-2</v>
      </c>
      <c r="N750" s="53"/>
    </row>
    <row r="752" spans="1:14">
      <c r="B752" s="16" t="s">
        <v>778</v>
      </c>
      <c r="C752" s="48">
        <v>1.2713602187286522E-2</v>
      </c>
      <c r="D752" s="48">
        <v>1.3543737574552796E-2</v>
      </c>
      <c r="E752" s="48">
        <v>2.9015979814970658E-2</v>
      </c>
      <c r="F752" s="48">
        <v>2.1200327734535118E-2</v>
      </c>
      <c r="G752" s="48">
        <v>2.3619600124313779E-2</v>
      </c>
      <c r="H752" s="48">
        <v>2.9637152617486926E-2</v>
      </c>
      <c r="I752" s="83">
        <v>0.02</v>
      </c>
      <c r="J752" s="83">
        <v>0.02</v>
      </c>
      <c r="K752" s="83">
        <v>0.02</v>
      </c>
      <c r="L752" s="83">
        <v>0.02</v>
      </c>
      <c r="M752" s="83">
        <v>0.02</v>
      </c>
    </row>
    <row r="754" spans="2:13">
      <c r="B754" s="16" t="s">
        <v>779</v>
      </c>
      <c r="C754" s="225">
        <f>C744*C752</f>
        <v>93.000000000000909</v>
      </c>
      <c r="D754" s="225">
        <f t="shared" ref="D754:I754" si="148">D744*D752</f>
        <v>109.00000000000091</v>
      </c>
      <c r="E754" s="225">
        <f t="shared" si="148"/>
        <v>276.00000000000091</v>
      </c>
      <c r="F754" s="225">
        <f t="shared" si="148"/>
        <v>207.00000000000088</v>
      </c>
      <c r="G754" s="225">
        <f t="shared" si="148"/>
        <v>228.00000000000091</v>
      </c>
      <c r="H754" s="225">
        <f t="shared" si="148"/>
        <v>321.00000000000091</v>
      </c>
      <c r="I754" s="225">
        <f t="shared" si="148"/>
        <v>246.94680000000005</v>
      </c>
      <c r="J754" s="225">
        <f>J744*J752</f>
        <v>280.28461800000008</v>
      </c>
      <c r="K754" s="225">
        <f>K744*K752</f>
        <v>316.72161834000002</v>
      </c>
      <c r="L754" s="225">
        <f>L744*L752</f>
        <v>356.31182063250003</v>
      </c>
      <c r="M754" s="225">
        <f>M744*M752</f>
        <v>399.0692391084001</v>
      </c>
    </row>
    <row r="756" spans="2:13">
      <c r="B756" s="16" t="s">
        <v>780</v>
      </c>
      <c r="C756" s="450">
        <f>C743-C754</f>
        <v>0</v>
      </c>
      <c r="D756" s="450">
        <f t="shared" ref="D756:M756" si="149">D743-D754</f>
        <v>0</v>
      </c>
      <c r="E756" s="450">
        <f t="shared" si="149"/>
        <v>0</v>
      </c>
      <c r="F756" s="450">
        <f t="shared" si="149"/>
        <v>0</v>
      </c>
      <c r="G756" s="450">
        <f t="shared" si="149"/>
        <v>0</v>
      </c>
      <c r="H756" s="450">
        <f t="shared" si="149"/>
        <v>0</v>
      </c>
      <c r="I756" s="450">
        <f t="shared" si="149"/>
        <v>138.13996005302363</v>
      </c>
      <c r="J756" s="450">
        <f t="shared" si="149"/>
        <v>142.34642074720438</v>
      </c>
      <c r="K756" s="450">
        <f t="shared" si="149"/>
        <v>250.33133525497198</v>
      </c>
      <c r="L756" s="450">
        <f t="shared" si="149"/>
        <v>374.0961777239736</v>
      </c>
      <c r="M756" s="450">
        <f t="shared" si="149"/>
        <v>362.53143624904851</v>
      </c>
    </row>
  </sheetData>
  <mergeCells count="6">
    <mergeCell ref="B68:I70"/>
    <mergeCell ref="B74:K75"/>
    <mergeCell ref="B189:I190"/>
    <mergeCell ref="B133:E135"/>
    <mergeCell ref="B131:E132"/>
    <mergeCell ref="B187:I188"/>
  </mergeCells>
  <hyperlinks>
    <hyperlink ref="C13" r:id="rId1" xr:uid="{DB403E13-794F-4F3C-A559-7BD88AAF4827}"/>
    <hyperlink ref="C59" r:id="rId2" xr:uid="{D4CE09FE-FB7F-4E55-8483-067F8535B059}"/>
    <hyperlink ref="B59" r:id="rId3" display="https://www.marketsandata.com/industries" xr:uid="{7C8622A7-CB18-49E5-BD02-31DFBC7ECE29}"/>
    <hyperlink ref="C38" r:id="rId4" xr:uid="{356A3DFF-F547-4D3A-AADA-1EE08EE72E8B}"/>
    <hyperlink ref="C45" r:id="rId5" xr:uid="{D99866BB-EC3D-4DE8-8D3A-865ABB1B5D41}"/>
    <hyperlink ref="C52" r:id="rId6" xr:uid="{635AB736-7BFC-475A-BA41-976718D2B7ED}"/>
    <hyperlink ref="C22" r:id="rId7" xr:uid="{7D8363DE-5E22-41A5-A82B-BAAFA217EF1B}"/>
    <hyperlink ref="C28" r:id="rId8" xr:uid="{C945B963-01D2-49F8-8FAA-DB0AA80A78A0}"/>
    <hyperlink ref="C33" r:id="rId9" xr:uid="{F27B1F43-E03E-4DB5-9186-A72B326AB92E}"/>
  </hyperlinks>
  <pageMargins left="0.7" right="0.7" top="0.75" bottom="0.75" header="0.3" footer="0.3"/>
  <pageSetup orientation="portrait" r:id="rId10"/>
  <ignoredErrors>
    <ignoredError sqref="C216 C253:I253 C287 D367:I367 C619:C621 C464:I464" formulaRange="1"/>
    <ignoredError sqref="D646:I646 D648:I648" formula="1"/>
  </ignoredErrors>
  <drawing r:id="rId11"/>
  <legacyDrawing r:id="rId1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6A1F0-04F1-47DB-9297-F1CDDFE87716}">
  <sheetPr codeName="Sheet1">
    <pageSetUpPr fitToPage="1"/>
  </sheetPr>
  <dimension ref="A2:T233"/>
  <sheetViews>
    <sheetView showGridLines="0" workbookViewId="0">
      <pane xSplit="2" ySplit="9" topLeftCell="E187" activePane="bottomRight" state="frozen"/>
      <selection pane="topRight" activeCell="C1" sqref="C1"/>
      <selection pane="bottomLeft" activeCell="A10" sqref="A10"/>
      <selection pane="bottomRight" activeCell="P131" sqref="P131"/>
    </sheetView>
  </sheetViews>
  <sheetFormatPr defaultRowHeight="14.4" outlineLevelRow="1"/>
  <cols>
    <col min="1" max="1" width="1.88671875" customWidth="1"/>
    <col min="2" max="2" width="41.33203125" customWidth="1"/>
    <col min="5" max="5" width="9" bestFit="1" customWidth="1"/>
    <col min="6" max="9" width="10" bestFit="1" customWidth="1"/>
    <col min="10" max="10" width="11.5546875" bestFit="1" customWidth="1"/>
  </cols>
  <sheetData>
    <row r="2" spans="1:20" ht="23.4">
      <c r="B2" s="10" t="str">
        <f>'Input Sheet'!C5</f>
        <v xml:space="preserve">Marico Ltd </v>
      </c>
      <c r="C2" s="7"/>
    </row>
    <row r="3" spans="1:20" ht="18">
      <c r="B3" s="9" t="s">
        <v>17</v>
      </c>
    </row>
    <row r="4" spans="1:20">
      <c r="J4" t="s">
        <v>25</v>
      </c>
      <c r="K4">
        <v>1</v>
      </c>
    </row>
    <row r="5" spans="1:20" ht="15.6">
      <c r="E5" s="137"/>
      <c r="F5" s="137"/>
      <c r="G5" s="137"/>
      <c r="H5" s="137"/>
      <c r="I5" s="137"/>
      <c r="J5" s="137"/>
      <c r="K5" s="137"/>
      <c r="L5" s="137"/>
      <c r="M5" s="137"/>
      <c r="N5" s="137"/>
      <c r="O5" s="137"/>
    </row>
    <row r="6" spans="1:20" ht="15.6">
      <c r="E6" s="137"/>
      <c r="F6" s="137"/>
      <c r="G6" s="137"/>
      <c r="H6" s="137"/>
      <c r="I6" s="137"/>
      <c r="J6" s="137"/>
      <c r="K6" s="137"/>
      <c r="L6" s="137"/>
      <c r="M6" s="137"/>
      <c r="N6" s="137"/>
      <c r="O6" s="137"/>
    </row>
    <row r="7" spans="1:20" ht="15.6">
      <c r="E7" s="137"/>
      <c r="F7" s="137"/>
      <c r="G7" s="137"/>
      <c r="H7" s="137"/>
      <c r="I7" s="137"/>
      <c r="J7" s="456" t="s">
        <v>19</v>
      </c>
      <c r="K7" s="673" t="s">
        <v>20</v>
      </c>
      <c r="L7" s="673"/>
      <c r="M7" s="673"/>
      <c r="N7" s="673"/>
      <c r="O7" s="673"/>
      <c r="P7" s="674" t="s">
        <v>1142</v>
      </c>
      <c r="Q7" s="674"/>
      <c r="R7" s="674"/>
      <c r="S7" s="674"/>
      <c r="T7" s="674"/>
    </row>
    <row r="8" spans="1:20" ht="15.6">
      <c r="B8" s="473" t="s">
        <v>18</v>
      </c>
      <c r="C8" s="8"/>
      <c r="D8" s="8"/>
      <c r="E8" s="474">
        <v>2020</v>
      </c>
      <c r="F8" s="474">
        <f>E8+1</f>
        <v>2021</v>
      </c>
      <c r="G8" s="474">
        <f t="shared" ref="G8:O8" si="0">F8+1</f>
        <v>2022</v>
      </c>
      <c r="H8" s="474">
        <f t="shared" si="0"/>
        <v>2023</v>
      </c>
      <c r="I8" s="474">
        <f t="shared" si="0"/>
        <v>2024</v>
      </c>
      <c r="J8" s="474">
        <f t="shared" si="0"/>
        <v>2025</v>
      </c>
      <c r="K8" s="474">
        <f t="shared" si="0"/>
        <v>2026</v>
      </c>
      <c r="L8" s="474">
        <f t="shared" si="0"/>
        <v>2027</v>
      </c>
      <c r="M8" s="474">
        <f t="shared" si="0"/>
        <v>2028</v>
      </c>
      <c r="N8" s="474">
        <f t="shared" si="0"/>
        <v>2029</v>
      </c>
      <c r="O8" s="474">
        <f t="shared" si="0"/>
        <v>2030</v>
      </c>
      <c r="P8" s="474">
        <f t="shared" ref="P8" si="1">O8+1</f>
        <v>2031</v>
      </c>
      <c r="Q8" s="474">
        <f t="shared" ref="Q8" si="2">P8+1</f>
        <v>2032</v>
      </c>
      <c r="R8" s="474">
        <f t="shared" ref="R8" si="3">Q8+1</f>
        <v>2033</v>
      </c>
      <c r="S8" s="474">
        <f t="shared" ref="S8" si="4">R8+1</f>
        <v>2034</v>
      </c>
      <c r="T8" s="474">
        <f t="shared" ref="T8" si="5">S8+1</f>
        <v>2035</v>
      </c>
    </row>
    <row r="9" spans="1:20">
      <c r="B9" s="55"/>
      <c r="E9" s="56"/>
      <c r="F9" s="56"/>
      <c r="G9" s="56"/>
      <c r="H9" s="56"/>
      <c r="I9" s="56"/>
      <c r="J9" s="56"/>
      <c r="K9" s="56"/>
      <c r="L9" s="56"/>
      <c r="M9" s="56"/>
      <c r="N9" s="56"/>
      <c r="O9" s="56"/>
    </row>
    <row r="10" spans="1:20" ht="18">
      <c r="B10" s="25" t="s">
        <v>751</v>
      </c>
      <c r="C10" s="139"/>
      <c r="D10" s="139"/>
      <c r="E10" s="454"/>
      <c r="F10" s="454"/>
      <c r="G10" s="454"/>
      <c r="H10" s="454"/>
      <c r="I10" s="454"/>
      <c r="J10" s="454"/>
      <c r="K10" s="454"/>
      <c r="L10" s="454"/>
      <c r="M10" s="454"/>
      <c r="N10" s="454"/>
      <c r="O10" s="454"/>
      <c r="P10" s="454"/>
      <c r="Q10" s="454"/>
      <c r="R10" s="454"/>
      <c r="S10" s="454"/>
      <c r="T10" s="454"/>
    </row>
    <row r="12" spans="1:20" ht="18">
      <c r="A12" t="s">
        <v>21</v>
      </c>
      <c r="B12" s="25" t="s">
        <v>607</v>
      </c>
      <c r="C12" s="11"/>
      <c r="D12" s="11"/>
      <c r="E12" s="11"/>
      <c r="F12" s="11"/>
      <c r="G12" s="11"/>
      <c r="H12" s="11"/>
      <c r="I12" s="11"/>
      <c r="J12" s="11"/>
      <c r="K12" s="11"/>
      <c r="L12" s="11"/>
      <c r="M12" s="11"/>
      <c r="N12" s="11"/>
      <c r="O12" s="11"/>
      <c r="P12" s="11"/>
      <c r="Q12" s="11"/>
      <c r="R12" s="11"/>
      <c r="S12" s="11"/>
      <c r="T12" s="11"/>
    </row>
    <row r="13" spans="1:20" hidden="1" outlineLevel="1"/>
    <row r="14" spans="1:20" hidden="1" outlineLevel="1">
      <c r="B14" s="26" t="s">
        <v>427</v>
      </c>
      <c r="C14" s="27"/>
      <c r="D14" s="27"/>
      <c r="E14" s="27"/>
      <c r="F14" s="27"/>
      <c r="G14" s="27"/>
      <c r="H14" s="27"/>
      <c r="I14" s="27"/>
      <c r="J14" s="27"/>
      <c r="K14" s="179"/>
      <c r="L14" s="179"/>
      <c r="M14" s="179"/>
      <c r="N14" s="179"/>
      <c r="O14" s="27"/>
      <c r="P14" s="27"/>
      <c r="Q14" s="27"/>
      <c r="R14" s="27"/>
      <c r="S14" s="27"/>
      <c r="T14" s="27"/>
    </row>
    <row r="15" spans="1:20" hidden="1" outlineLevel="1">
      <c r="B15" s="14" t="s">
        <v>22</v>
      </c>
      <c r="C15" s="13"/>
      <c r="D15" s="13"/>
      <c r="E15" s="480">
        <f>'P&amp;l 25-24'!E8</f>
        <v>-2.5906735751295429E-3</v>
      </c>
      <c r="F15" s="480">
        <f>'P&amp;l 25-24'!F8</f>
        <v>0.10020505809979485</v>
      </c>
      <c r="G15" s="480">
        <f>'P&amp;l 25-24'!G8</f>
        <v>0.18190854870775341</v>
      </c>
      <c r="H15" s="480">
        <f>'P&amp;l 25-24'!H8</f>
        <v>2.6492851135407891E-2</v>
      </c>
      <c r="I15" s="480">
        <f>'P&amp;l 25-24'!I8</f>
        <v>-1.1368291683736209E-2</v>
      </c>
      <c r="J15" s="480">
        <f>'P&amp;l 25-24'!J8</f>
        <v>0.12203460064228744</v>
      </c>
      <c r="K15" s="17">
        <v>0.14000000000000001</v>
      </c>
      <c r="L15" s="17">
        <f>K15+($O$15-$K$15)/($O$8-$K$8)</f>
        <v>0.13500000000000001</v>
      </c>
      <c r="M15" s="17">
        <f>L15+($O$15-$K$15)/($O$8-$K$8)</f>
        <v>0.13</v>
      </c>
      <c r="N15" s="17">
        <f>M15+($O$15-$K$15)/($O$8-$K$8)</f>
        <v>0.125</v>
      </c>
      <c r="O15" s="17">
        <v>0.12</v>
      </c>
      <c r="P15" s="17">
        <v>0.12</v>
      </c>
      <c r="Q15" s="17">
        <v>0.12</v>
      </c>
      <c r="R15" s="17">
        <v>0.12</v>
      </c>
      <c r="S15" s="17">
        <v>0.12</v>
      </c>
      <c r="T15" s="17">
        <v>0.12</v>
      </c>
    </row>
    <row r="16" spans="1:20" hidden="1" outlineLevel="1">
      <c r="B16" s="14" t="s">
        <v>404</v>
      </c>
      <c r="C16" s="13"/>
      <c r="D16" s="13"/>
      <c r="E16" s="480">
        <f t="shared" ref="E16:E17" si="6">E15</f>
        <v>-2.5906735751295429E-3</v>
      </c>
      <c r="F16" s="480">
        <f t="shared" ref="F16:F17" si="7">F15</f>
        <v>0.10020505809979485</v>
      </c>
      <c r="G16" s="480">
        <f t="shared" ref="G16:G17" si="8">G15</f>
        <v>0.18190854870775341</v>
      </c>
      <c r="H16" s="480">
        <f t="shared" ref="H16:H17" si="9">H15</f>
        <v>2.6492851135407891E-2</v>
      </c>
      <c r="I16" s="480">
        <f t="shared" ref="I16:J17" si="10">I15</f>
        <v>-1.1368291683736209E-2</v>
      </c>
      <c r="J16" s="480">
        <f t="shared" si="10"/>
        <v>0.12203460064228744</v>
      </c>
      <c r="K16" s="17">
        <v>0.11</v>
      </c>
      <c r="L16" s="17">
        <v>0.11</v>
      </c>
      <c r="M16" s="17">
        <v>0.11</v>
      </c>
      <c r="N16" s="17">
        <v>0.11</v>
      </c>
      <c r="O16" s="17">
        <v>0.11</v>
      </c>
      <c r="P16" s="17">
        <v>0.1</v>
      </c>
      <c r="Q16" s="17">
        <v>0.1</v>
      </c>
      <c r="R16" s="17">
        <v>0.1</v>
      </c>
      <c r="S16" s="17">
        <v>0.1</v>
      </c>
      <c r="T16" s="17">
        <v>0.1</v>
      </c>
    </row>
    <row r="17" spans="1:20" hidden="1" outlineLevel="1">
      <c r="B17" s="14" t="s">
        <v>24</v>
      </c>
      <c r="C17" s="13"/>
      <c r="D17" s="13"/>
      <c r="E17" s="480">
        <f t="shared" si="6"/>
        <v>-2.5906735751295429E-3</v>
      </c>
      <c r="F17" s="480">
        <f t="shared" si="7"/>
        <v>0.10020505809979485</v>
      </c>
      <c r="G17" s="480">
        <f t="shared" si="8"/>
        <v>0.18190854870775341</v>
      </c>
      <c r="H17" s="480">
        <f t="shared" si="9"/>
        <v>2.6492851135407891E-2</v>
      </c>
      <c r="I17" s="480">
        <f t="shared" si="10"/>
        <v>-1.1368291683736209E-2</v>
      </c>
      <c r="J17" s="480">
        <f t="shared" si="10"/>
        <v>0.12203460064228744</v>
      </c>
      <c r="K17" s="17">
        <v>0.1</v>
      </c>
      <c r="L17" s="17">
        <v>0.1</v>
      </c>
      <c r="M17" s="17">
        <v>0.1</v>
      </c>
      <c r="N17" s="17">
        <v>0.1</v>
      </c>
      <c r="O17" s="17">
        <v>0.1</v>
      </c>
      <c r="P17" s="17">
        <v>0.08</v>
      </c>
      <c r="Q17" s="17">
        <v>0.08</v>
      </c>
      <c r="R17" s="17">
        <v>0.08</v>
      </c>
      <c r="S17" s="17">
        <v>0.08</v>
      </c>
      <c r="T17" s="17">
        <v>0.08</v>
      </c>
    </row>
    <row r="18" spans="1:20" hidden="1" outlineLevel="1">
      <c r="B18" s="15" t="str">
        <f>"Current Case - "&amp;CHOOSE($K$4,B15,B16,B17)</f>
        <v>Current Case - Management Case</v>
      </c>
      <c r="C18" s="16"/>
      <c r="D18" s="16"/>
      <c r="E18" s="481"/>
      <c r="F18" s="481"/>
      <c r="G18" s="481"/>
      <c r="H18" s="481"/>
      <c r="I18" s="481"/>
      <c r="J18" s="481"/>
      <c r="K18" s="37">
        <f>CHOOSE($K$4,K15,K16,K17)</f>
        <v>0.14000000000000001</v>
      </c>
      <c r="L18" s="37">
        <f>CHOOSE($K$4,L15,L16,L17)</f>
        <v>0.13500000000000001</v>
      </c>
      <c r="M18" s="37">
        <f>CHOOSE($K$4,M15,M16,M17)</f>
        <v>0.13</v>
      </c>
      <c r="N18" s="37">
        <f>CHOOSE($K$4,N15,N16,N17)</f>
        <v>0.125</v>
      </c>
      <c r="O18" s="37">
        <f>CHOOSE($K$4,O15,O16,O17)</f>
        <v>0.12</v>
      </c>
      <c r="P18" s="37">
        <f t="shared" ref="P18:T18" si="11">CHOOSE($K$4,P15,P16,P17)</f>
        <v>0.12</v>
      </c>
      <c r="Q18" s="37">
        <f t="shared" si="11"/>
        <v>0.12</v>
      </c>
      <c r="R18" s="37">
        <f t="shared" si="11"/>
        <v>0.12</v>
      </c>
      <c r="S18" s="37">
        <f t="shared" si="11"/>
        <v>0.12</v>
      </c>
      <c r="T18" s="37">
        <f t="shared" si="11"/>
        <v>0.12</v>
      </c>
    </row>
    <row r="19" spans="1:20" hidden="1" outlineLevel="1">
      <c r="B19" s="18"/>
      <c r="K19" s="180"/>
      <c r="L19" s="180"/>
      <c r="M19" s="180"/>
      <c r="N19" s="180"/>
      <c r="O19" s="180"/>
      <c r="P19" s="180"/>
      <c r="Q19" s="180"/>
      <c r="R19" s="180"/>
      <c r="S19" s="180"/>
      <c r="T19" s="180"/>
    </row>
    <row r="20" spans="1:20" collapsed="1">
      <c r="B20" s="18"/>
      <c r="K20" s="180"/>
      <c r="L20" s="180"/>
      <c r="M20" s="180"/>
      <c r="N20" s="180"/>
      <c r="O20" s="180"/>
      <c r="P20" s="180"/>
      <c r="Q20" s="180"/>
      <c r="R20" s="180"/>
      <c r="S20" s="180"/>
      <c r="T20" s="180"/>
    </row>
    <row r="21" spans="1:20" ht="18">
      <c r="A21" t="s">
        <v>21</v>
      </c>
      <c r="B21" s="25" t="s">
        <v>759</v>
      </c>
      <c r="C21" s="11"/>
      <c r="D21" s="11"/>
      <c r="E21" s="11"/>
      <c r="F21" s="11"/>
      <c r="G21" s="11"/>
      <c r="H21" s="11"/>
      <c r="I21" s="11"/>
      <c r="J21" s="11"/>
      <c r="K21" s="11"/>
      <c r="L21" s="11"/>
      <c r="M21" s="11"/>
      <c r="N21" s="11"/>
      <c r="O21" s="11"/>
      <c r="P21" s="11"/>
      <c r="Q21" s="11"/>
      <c r="R21" s="11"/>
      <c r="S21" s="11"/>
      <c r="T21" s="11"/>
    </row>
    <row r="22" spans="1:20" hidden="1" outlineLevel="1"/>
    <row r="23" spans="1:20" hidden="1" outlineLevel="1">
      <c r="B23" s="26" t="s">
        <v>428</v>
      </c>
      <c r="C23" s="27"/>
      <c r="D23" s="27"/>
      <c r="E23" s="27"/>
      <c r="F23" s="27"/>
      <c r="G23" s="27"/>
      <c r="H23" s="27"/>
      <c r="I23" s="27"/>
      <c r="J23" s="27"/>
      <c r="K23" s="179"/>
      <c r="L23" s="179"/>
      <c r="M23" s="179"/>
      <c r="N23" s="179"/>
      <c r="O23" s="27"/>
      <c r="P23" s="27"/>
      <c r="Q23" s="27"/>
      <c r="R23" s="27"/>
      <c r="S23" s="27"/>
      <c r="T23" s="27"/>
    </row>
    <row r="24" spans="1:20" hidden="1" outlineLevel="1">
      <c r="B24" s="14" t="s">
        <v>22</v>
      </c>
      <c r="C24" s="13"/>
      <c r="D24" s="13"/>
      <c r="E24" s="480">
        <f>'P&amp;l 25-24'!D23</f>
        <v>0.45227706572129811</v>
      </c>
      <c r="F24" s="480">
        <f>'P&amp;l 25-24'!E23</f>
        <v>0.48803827751196172</v>
      </c>
      <c r="G24" s="480">
        <f>'P&amp;l 25-24'!F23</f>
        <v>0.46943339960238573</v>
      </c>
      <c r="H24" s="480">
        <f>'P&amp;l 25-24'!G23</f>
        <v>0.42851135407905805</v>
      </c>
      <c r="I24" s="480">
        <f>'P&amp;l 25-24'!H23</f>
        <v>0.45196640721015979</v>
      </c>
      <c r="J24" s="480">
        <f>'P&amp;l 25-24'!I23</f>
        <v>0.50813218688490625</v>
      </c>
      <c r="K24" s="17">
        <v>0.48</v>
      </c>
      <c r="L24" s="17">
        <v>0.48</v>
      </c>
      <c r="M24" s="17">
        <v>0.48</v>
      </c>
      <c r="N24" s="17">
        <v>0.5</v>
      </c>
      <c r="O24" s="17">
        <v>0.5</v>
      </c>
      <c r="P24" s="17">
        <v>0.5</v>
      </c>
      <c r="Q24" s="17">
        <v>0.5</v>
      </c>
      <c r="R24" s="17">
        <v>0.5</v>
      </c>
      <c r="S24" s="17">
        <v>0.5</v>
      </c>
      <c r="T24" s="17">
        <v>0.5</v>
      </c>
    </row>
    <row r="25" spans="1:20" hidden="1" outlineLevel="1">
      <c r="B25" s="14" t="s">
        <v>404</v>
      </c>
      <c r="C25" s="13"/>
      <c r="D25" s="13"/>
      <c r="E25" s="480">
        <f t="shared" ref="E25:J26" si="12">E24</f>
        <v>0.45227706572129811</v>
      </c>
      <c r="F25" s="480">
        <f t="shared" si="12"/>
        <v>0.48803827751196172</v>
      </c>
      <c r="G25" s="480">
        <f t="shared" si="12"/>
        <v>0.46943339960238573</v>
      </c>
      <c r="H25" s="480">
        <f t="shared" si="12"/>
        <v>0.42851135407905805</v>
      </c>
      <c r="I25" s="480">
        <f t="shared" si="12"/>
        <v>0.45196640721015979</v>
      </c>
      <c r="J25" s="480">
        <f t="shared" si="12"/>
        <v>0.50813218688490625</v>
      </c>
      <c r="K25" s="17">
        <v>0.45</v>
      </c>
      <c r="L25" s="17">
        <v>0.45</v>
      </c>
      <c r="M25" s="17">
        <v>0.45</v>
      </c>
      <c r="N25" s="17">
        <v>0.45</v>
      </c>
      <c r="O25" s="17">
        <v>0.45</v>
      </c>
      <c r="P25" s="17">
        <v>0.48</v>
      </c>
      <c r="Q25" s="17">
        <v>0.48</v>
      </c>
      <c r="R25" s="17">
        <v>0.48</v>
      </c>
      <c r="S25" s="17">
        <v>0.48</v>
      </c>
      <c r="T25" s="17">
        <v>0.48</v>
      </c>
    </row>
    <row r="26" spans="1:20" hidden="1" outlineLevel="1">
      <c r="B26" s="14" t="s">
        <v>24</v>
      </c>
      <c r="C26" s="13"/>
      <c r="D26" s="13"/>
      <c r="E26" s="480">
        <f t="shared" si="12"/>
        <v>0.45227706572129811</v>
      </c>
      <c r="F26" s="480">
        <f t="shared" si="12"/>
        <v>0.48803827751196172</v>
      </c>
      <c r="G26" s="480">
        <f t="shared" si="12"/>
        <v>0.46943339960238573</v>
      </c>
      <c r="H26" s="480">
        <f t="shared" si="12"/>
        <v>0.42851135407905805</v>
      </c>
      <c r="I26" s="480">
        <f t="shared" si="12"/>
        <v>0.45196640721015979</v>
      </c>
      <c r="J26" s="480">
        <f t="shared" si="12"/>
        <v>0.50813218688490625</v>
      </c>
      <c r="K26" s="17">
        <v>0.43</v>
      </c>
      <c r="L26" s="17">
        <v>0.43</v>
      </c>
      <c r="M26" s="17">
        <v>0.43</v>
      </c>
      <c r="N26" s="17">
        <v>0.43</v>
      </c>
      <c r="O26" s="17">
        <v>0.43</v>
      </c>
      <c r="P26" s="17">
        <v>0.46</v>
      </c>
      <c r="Q26" s="17">
        <v>0.46</v>
      </c>
      <c r="R26" s="17">
        <v>0.46</v>
      </c>
      <c r="S26" s="17">
        <v>0.46</v>
      </c>
      <c r="T26" s="17">
        <v>0.46</v>
      </c>
    </row>
    <row r="27" spans="1:20" hidden="1" outlineLevel="1">
      <c r="B27" s="15" t="str">
        <f>"Current Case - "&amp;CHOOSE($K$4,B24,B25,B26)</f>
        <v>Current Case - Management Case</v>
      </c>
      <c r="C27" s="16"/>
      <c r="D27" s="16"/>
      <c r="E27" s="481"/>
      <c r="F27" s="481"/>
      <c r="G27" s="481"/>
      <c r="H27" s="481"/>
      <c r="I27" s="481"/>
      <c r="J27" s="481"/>
      <c r="K27" s="482">
        <f>CHOOSE($K$4,K24,K25,K26)</f>
        <v>0.48</v>
      </c>
      <c r="L27" s="482">
        <f>CHOOSE($K$4,L24,L25,L26)</f>
        <v>0.48</v>
      </c>
      <c r="M27" s="482">
        <f>CHOOSE($K$4,M24,M25,M26)</f>
        <v>0.48</v>
      </c>
      <c r="N27" s="482">
        <f>CHOOSE($K$4,N24,N25,N26)</f>
        <v>0.5</v>
      </c>
      <c r="O27" s="482">
        <f>CHOOSE($K$4,O24,O25,O26)</f>
        <v>0.5</v>
      </c>
      <c r="P27" s="482">
        <f t="shared" ref="P27:T27" si="13">CHOOSE($K$4,P24,P25,P26)</f>
        <v>0.5</v>
      </c>
      <c r="Q27" s="482">
        <f t="shared" si="13"/>
        <v>0.5</v>
      </c>
      <c r="R27" s="482">
        <f t="shared" si="13"/>
        <v>0.5</v>
      </c>
      <c r="S27" s="482">
        <f t="shared" si="13"/>
        <v>0.5</v>
      </c>
      <c r="T27" s="482">
        <f t="shared" si="13"/>
        <v>0.5</v>
      </c>
    </row>
    <row r="28" spans="1:20" hidden="1" outlineLevel="1">
      <c r="E28" s="44"/>
      <c r="F28" s="44"/>
      <c r="G28" s="44"/>
      <c r="H28" s="44"/>
      <c r="I28" s="44"/>
      <c r="J28" s="44"/>
      <c r="K28" s="44"/>
      <c r="L28" s="44"/>
      <c r="M28" s="44"/>
      <c r="N28" s="44"/>
      <c r="O28" s="44"/>
      <c r="P28" s="44"/>
      <c r="Q28" s="44"/>
      <c r="R28" s="44"/>
      <c r="S28" s="44"/>
      <c r="T28" s="44"/>
    </row>
    <row r="29" spans="1:20" hidden="1" outlineLevel="1">
      <c r="B29" s="15" t="s">
        <v>760</v>
      </c>
      <c r="C29" s="16"/>
      <c r="D29" s="16"/>
      <c r="E29" s="481"/>
      <c r="F29" s="481"/>
      <c r="G29" s="481"/>
      <c r="H29" s="481"/>
      <c r="I29" s="481"/>
      <c r="J29" s="481"/>
      <c r="K29" s="483">
        <f>1-K27</f>
        <v>0.52</v>
      </c>
      <c r="L29" s="483">
        <f t="shared" ref="L29:O29" si="14">1-L27</f>
        <v>0.52</v>
      </c>
      <c r="M29" s="483">
        <f t="shared" si="14"/>
        <v>0.52</v>
      </c>
      <c r="N29" s="483">
        <f t="shared" si="14"/>
        <v>0.5</v>
      </c>
      <c r="O29" s="483">
        <f t="shared" si="14"/>
        <v>0.5</v>
      </c>
      <c r="P29" s="483">
        <f t="shared" ref="P29:T29" si="15">1-P27</f>
        <v>0.5</v>
      </c>
      <c r="Q29" s="483">
        <f t="shared" si="15"/>
        <v>0.5</v>
      </c>
      <c r="R29" s="483">
        <f t="shared" si="15"/>
        <v>0.5</v>
      </c>
      <c r="S29" s="483">
        <f t="shared" si="15"/>
        <v>0.5</v>
      </c>
      <c r="T29" s="483">
        <f t="shared" si="15"/>
        <v>0.5</v>
      </c>
    </row>
    <row r="30" spans="1:20" collapsed="1"/>
    <row r="31" spans="1:20" ht="18">
      <c r="A31" t="s">
        <v>21</v>
      </c>
      <c r="B31" s="25" t="s">
        <v>28</v>
      </c>
      <c r="C31" s="11"/>
      <c r="D31" s="11"/>
      <c r="E31" s="11"/>
      <c r="F31" s="11"/>
      <c r="G31" s="11"/>
      <c r="H31" s="11"/>
      <c r="I31" s="11"/>
      <c r="J31" s="11"/>
      <c r="K31" s="11"/>
      <c r="L31" s="11"/>
      <c r="M31" s="11"/>
      <c r="N31" s="11"/>
      <c r="O31" s="11"/>
      <c r="P31" s="11"/>
      <c r="Q31" s="11"/>
      <c r="R31" s="11"/>
      <c r="S31" s="11"/>
      <c r="T31" s="11"/>
    </row>
    <row r="32" spans="1:20" hidden="1" outlineLevel="1"/>
    <row r="33" spans="2:20" hidden="1" outlineLevel="1">
      <c r="B33" s="26" t="s">
        <v>455</v>
      </c>
      <c r="C33" s="27"/>
      <c r="D33" s="27"/>
      <c r="E33" s="27"/>
      <c r="F33" s="27"/>
      <c r="G33" s="27"/>
      <c r="H33" s="27"/>
      <c r="I33" s="27"/>
      <c r="J33" s="27"/>
      <c r="K33" s="27"/>
      <c r="L33" s="27"/>
      <c r="M33" s="27"/>
      <c r="N33" s="27"/>
      <c r="O33" s="27"/>
      <c r="P33" s="27"/>
      <c r="Q33" s="27"/>
      <c r="R33" s="27"/>
      <c r="S33" s="27"/>
      <c r="T33" s="27"/>
    </row>
    <row r="34" spans="2:20" hidden="1" outlineLevel="1">
      <c r="B34" s="14" t="s">
        <v>22</v>
      </c>
      <c r="C34" s="13"/>
      <c r="D34" s="13"/>
      <c r="E34" s="201">
        <f>'Assumptions Working '!D245</f>
        <v>6.5345181134654817E-2</v>
      </c>
      <c r="F34" s="201">
        <f>'Assumptions Working '!E245</f>
        <v>7.0825049701789267E-2</v>
      </c>
      <c r="G34" s="201">
        <f>'Assumptions Working '!F245</f>
        <v>6.1606391925988227E-2</v>
      </c>
      <c r="H34" s="201">
        <f>'Assumptions Working '!G245</f>
        <v>6.6878328553871366E-2</v>
      </c>
      <c r="I34" s="201">
        <f>'Assumptions Working '!H245</f>
        <v>7.6970889878794163E-2</v>
      </c>
      <c r="J34" s="201">
        <f>'Assumptions Working '!I245</f>
        <v>7.6724217523774355E-2</v>
      </c>
      <c r="K34" s="17">
        <v>7.5999999999999998E-2</v>
      </c>
      <c r="L34" s="17">
        <v>7.5999999999999998E-2</v>
      </c>
      <c r="M34" s="17">
        <v>7.5999999999999998E-2</v>
      </c>
      <c r="N34" s="17">
        <v>7.5999999999999998E-2</v>
      </c>
      <c r="O34" s="17">
        <v>7.5999999999999998E-2</v>
      </c>
      <c r="P34" s="17">
        <v>7.5999999999999998E-2</v>
      </c>
      <c r="Q34" s="17">
        <v>7.5999999999999998E-2</v>
      </c>
      <c r="R34" s="17">
        <v>7.5999999999999998E-2</v>
      </c>
      <c r="S34" s="17">
        <v>7.5999999999999998E-2</v>
      </c>
      <c r="T34" s="17">
        <v>7.5999999999999998E-2</v>
      </c>
    </row>
    <row r="35" spans="2:20" hidden="1" outlineLevel="1">
      <c r="B35" s="14" t="s">
        <v>404</v>
      </c>
      <c r="C35" s="13"/>
      <c r="D35" s="13"/>
      <c r="E35" s="201">
        <f>E34</f>
        <v>6.5345181134654817E-2</v>
      </c>
      <c r="F35" s="201">
        <f t="shared" ref="F35:J36" si="16">F34</f>
        <v>7.0825049701789267E-2</v>
      </c>
      <c r="G35" s="201">
        <f t="shared" si="16"/>
        <v>6.1606391925988227E-2</v>
      </c>
      <c r="H35" s="201">
        <f t="shared" si="16"/>
        <v>6.6878328553871366E-2</v>
      </c>
      <c r="I35" s="201">
        <f t="shared" si="16"/>
        <v>7.6970889878794163E-2</v>
      </c>
      <c r="J35" s="201">
        <f t="shared" si="16"/>
        <v>7.6724217523774355E-2</v>
      </c>
      <c r="K35" s="17">
        <v>7.0000000000000007E-2</v>
      </c>
      <c r="L35" s="17">
        <v>7.0000000000000007E-2</v>
      </c>
      <c r="M35" s="17">
        <v>7.0000000000000007E-2</v>
      </c>
      <c r="N35" s="17">
        <v>7.0000000000000007E-2</v>
      </c>
      <c r="O35" s="17">
        <v>7.0000000000000007E-2</v>
      </c>
      <c r="P35" s="17">
        <v>7.0000000000000007E-2</v>
      </c>
      <c r="Q35" s="17">
        <v>7.0000000000000007E-2</v>
      </c>
      <c r="R35" s="17">
        <v>7.0000000000000007E-2</v>
      </c>
      <c r="S35" s="17">
        <v>7.0000000000000007E-2</v>
      </c>
      <c r="T35" s="17">
        <v>7.0000000000000007E-2</v>
      </c>
    </row>
    <row r="36" spans="2:20" hidden="1" outlineLevel="1">
      <c r="B36" s="14" t="s">
        <v>24</v>
      </c>
      <c r="C36" s="13"/>
      <c r="D36" s="13"/>
      <c r="E36" s="201">
        <f>E35</f>
        <v>6.5345181134654817E-2</v>
      </c>
      <c r="F36" s="201">
        <f t="shared" si="16"/>
        <v>7.0825049701789267E-2</v>
      </c>
      <c r="G36" s="201">
        <f t="shared" si="16"/>
        <v>6.1606391925988227E-2</v>
      </c>
      <c r="H36" s="201">
        <f t="shared" si="16"/>
        <v>6.6878328553871366E-2</v>
      </c>
      <c r="I36" s="201">
        <f t="shared" si="16"/>
        <v>7.6970889878794163E-2</v>
      </c>
      <c r="J36" s="201">
        <f t="shared" si="16"/>
        <v>7.6724217523774355E-2</v>
      </c>
      <c r="K36" s="17">
        <v>0.08</v>
      </c>
      <c r="L36" s="17">
        <v>0.08</v>
      </c>
      <c r="M36" s="17">
        <v>0.08</v>
      </c>
      <c r="N36" s="17">
        <v>0.08</v>
      </c>
      <c r="O36" s="17">
        <v>0.08</v>
      </c>
      <c r="P36" s="17">
        <v>0.08</v>
      </c>
      <c r="Q36" s="17">
        <v>0.08</v>
      </c>
      <c r="R36" s="17">
        <v>0.08</v>
      </c>
      <c r="S36" s="17">
        <v>0.08</v>
      </c>
      <c r="T36" s="17">
        <v>0.08</v>
      </c>
    </row>
    <row r="37" spans="2:20" hidden="1" outlineLevel="1">
      <c r="B37" s="15" t="str">
        <f>"Current Case - "&amp;CHOOSE($K$4,B34,B35,B36)</f>
        <v>Current Case - Management Case</v>
      </c>
      <c r="C37" s="16"/>
      <c r="D37" s="16"/>
      <c r="E37" s="16"/>
      <c r="F37" s="16"/>
      <c r="G37" s="16"/>
      <c r="H37" s="16"/>
      <c r="I37" s="16"/>
      <c r="J37" s="16"/>
      <c r="K37" s="37">
        <f>CHOOSE($K$4,K34,K35,K36)</f>
        <v>7.5999999999999998E-2</v>
      </c>
      <c r="L37" s="37">
        <f>CHOOSE($K$4,L34,L35,L36)</f>
        <v>7.5999999999999998E-2</v>
      </c>
      <c r="M37" s="37">
        <f>CHOOSE($K$4,M34,M35,M36)</f>
        <v>7.5999999999999998E-2</v>
      </c>
      <c r="N37" s="37">
        <f>CHOOSE($K$4,N34,N35,N36)</f>
        <v>7.5999999999999998E-2</v>
      </c>
      <c r="O37" s="37">
        <f>CHOOSE($K$4,O34,O35,O36)</f>
        <v>7.5999999999999998E-2</v>
      </c>
      <c r="P37" s="37">
        <f t="shared" ref="P37:T37" si="17">CHOOSE($K$4,P34,P35,P36)</f>
        <v>7.5999999999999998E-2</v>
      </c>
      <c r="Q37" s="37">
        <f t="shared" si="17"/>
        <v>7.5999999999999998E-2</v>
      </c>
      <c r="R37" s="37">
        <f t="shared" si="17"/>
        <v>7.5999999999999998E-2</v>
      </c>
      <c r="S37" s="37">
        <f t="shared" si="17"/>
        <v>7.5999999999999998E-2</v>
      </c>
      <c r="T37" s="37">
        <f t="shared" si="17"/>
        <v>7.5999999999999998E-2</v>
      </c>
    </row>
    <row r="38" spans="2:20" hidden="1" outlineLevel="1"/>
    <row r="39" spans="2:20" hidden="1" outlineLevel="1">
      <c r="B39" s="26" t="s">
        <v>454</v>
      </c>
      <c r="C39" s="27"/>
      <c r="D39" s="27"/>
      <c r="E39" s="27"/>
      <c r="F39" s="27"/>
      <c r="G39" s="27"/>
      <c r="H39" s="27"/>
      <c r="I39" s="27"/>
      <c r="J39" s="27"/>
      <c r="K39" s="27"/>
      <c r="L39" s="27"/>
      <c r="M39" s="27"/>
      <c r="N39" s="27"/>
      <c r="O39" s="27"/>
      <c r="P39" s="27"/>
      <c r="Q39" s="27"/>
      <c r="R39" s="27"/>
      <c r="S39" s="27"/>
      <c r="T39" s="27"/>
    </row>
    <row r="40" spans="2:20" hidden="1" outlineLevel="1">
      <c r="B40" s="14" t="s">
        <v>22</v>
      </c>
      <c r="C40" s="13"/>
      <c r="D40" s="13"/>
      <c r="E40" s="201">
        <f>'Assumptions Working '!D248</f>
        <v>9.9384825700615173E-2</v>
      </c>
      <c r="F40" s="201">
        <f>'Assumptions Working '!E248</f>
        <v>8.6729622266401588E-2</v>
      </c>
      <c r="G40" s="201">
        <f>'Assumptions Working '!F248</f>
        <v>8.3683767872161474E-2</v>
      </c>
      <c r="H40" s="201">
        <f>'Assumptions Working '!G248</f>
        <v>8.6235149528881602E-2</v>
      </c>
      <c r="I40" s="201">
        <f>'Assumptions Working '!H248</f>
        <v>9.8622189992748369E-2</v>
      </c>
      <c r="J40" s="201">
        <f>'Assumptions Working '!I248</f>
        <v>0.10414550826331825</v>
      </c>
      <c r="K40" s="17">
        <v>0.115</v>
      </c>
      <c r="L40" s="17">
        <v>0.115</v>
      </c>
      <c r="M40" s="17">
        <v>0.115</v>
      </c>
      <c r="N40" s="17">
        <v>0.115</v>
      </c>
      <c r="O40" s="17">
        <v>0.115</v>
      </c>
      <c r="P40" s="17">
        <v>0.115</v>
      </c>
      <c r="Q40" s="17">
        <v>0.115</v>
      </c>
      <c r="R40" s="17">
        <v>0.115</v>
      </c>
      <c r="S40" s="17">
        <v>0.115</v>
      </c>
      <c r="T40" s="17">
        <v>0.115</v>
      </c>
    </row>
    <row r="41" spans="2:20" hidden="1" outlineLevel="1">
      <c r="B41" s="14" t="s">
        <v>404</v>
      </c>
      <c r="C41" s="13"/>
      <c r="D41" s="13"/>
      <c r="E41" s="201">
        <f>E40</f>
        <v>9.9384825700615173E-2</v>
      </c>
      <c r="F41" s="201">
        <f t="shared" ref="F41:F42" si="18">F40</f>
        <v>8.6729622266401588E-2</v>
      </c>
      <c r="G41" s="201">
        <f t="shared" ref="G41:G42" si="19">G40</f>
        <v>8.3683767872161474E-2</v>
      </c>
      <c r="H41" s="201">
        <f t="shared" ref="H41:H42" si="20">H40</f>
        <v>8.6235149528881602E-2</v>
      </c>
      <c r="I41" s="201">
        <f t="shared" ref="I41:I42" si="21">I40</f>
        <v>9.8622189992748369E-2</v>
      </c>
      <c r="J41" s="201">
        <f t="shared" ref="J41:J42" si="22">J40</f>
        <v>0.10414550826331825</v>
      </c>
      <c r="K41" s="17">
        <v>0.09</v>
      </c>
      <c r="L41" s="17">
        <v>0.09</v>
      </c>
      <c r="M41" s="17">
        <v>0.09</v>
      </c>
      <c r="N41" s="17">
        <v>0.09</v>
      </c>
      <c r="O41" s="17">
        <v>0.09</v>
      </c>
      <c r="P41" s="17">
        <v>0.09</v>
      </c>
      <c r="Q41" s="17">
        <v>0.09</v>
      </c>
      <c r="R41" s="17">
        <v>0.09</v>
      </c>
      <c r="S41" s="17">
        <v>0.09</v>
      </c>
      <c r="T41" s="17">
        <v>0.09</v>
      </c>
    </row>
    <row r="42" spans="2:20" hidden="1" outlineLevel="1">
      <c r="B42" s="14" t="s">
        <v>24</v>
      </c>
      <c r="C42" s="13"/>
      <c r="D42" s="13"/>
      <c r="E42" s="201">
        <f>E41</f>
        <v>9.9384825700615173E-2</v>
      </c>
      <c r="F42" s="201">
        <f t="shared" si="18"/>
        <v>8.6729622266401588E-2</v>
      </c>
      <c r="G42" s="201">
        <f t="shared" si="19"/>
        <v>8.3683767872161474E-2</v>
      </c>
      <c r="H42" s="201">
        <f t="shared" si="20"/>
        <v>8.6235149528881602E-2</v>
      </c>
      <c r="I42" s="201">
        <f t="shared" si="21"/>
        <v>9.8622189992748369E-2</v>
      </c>
      <c r="J42" s="201">
        <f t="shared" si="22"/>
        <v>0.10414550826331825</v>
      </c>
      <c r="K42" s="17">
        <v>0.1</v>
      </c>
      <c r="L42" s="17">
        <v>0.1</v>
      </c>
      <c r="M42" s="17">
        <v>0.1</v>
      </c>
      <c r="N42" s="17">
        <v>0.1</v>
      </c>
      <c r="O42" s="17">
        <v>0.1</v>
      </c>
      <c r="P42" s="17">
        <v>0.1</v>
      </c>
      <c r="Q42" s="17">
        <v>0.1</v>
      </c>
      <c r="R42" s="17">
        <v>0.1</v>
      </c>
      <c r="S42" s="17">
        <v>0.1</v>
      </c>
      <c r="T42" s="17">
        <v>0.1</v>
      </c>
    </row>
    <row r="43" spans="2:20" hidden="1" outlineLevel="1">
      <c r="B43" s="15" t="str">
        <f>"Current Case - "&amp;CHOOSE($K$4,B40,B41,B42)</f>
        <v>Current Case - Management Case</v>
      </c>
      <c r="C43" s="16"/>
      <c r="D43" s="16"/>
      <c r="E43" s="16"/>
      <c r="F43" s="16"/>
      <c r="G43" s="16"/>
      <c r="H43" s="16"/>
      <c r="I43" s="16"/>
      <c r="J43" s="16"/>
      <c r="K43" s="37">
        <f>CHOOSE($K$4,K40,K41,K42)</f>
        <v>0.115</v>
      </c>
      <c r="L43" s="37">
        <f>CHOOSE($K$4,L40,L41,L42)</f>
        <v>0.115</v>
      </c>
      <c r="M43" s="37">
        <f>CHOOSE($K$4,M40,M41,M42)</f>
        <v>0.115</v>
      </c>
      <c r="N43" s="37">
        <f>CHOOSE($K$4,N40,N41,N42)</f>
        <v>0.115</v>
      </c>
      <c r="O43" s="37">
        <f>CHOOSE($K$4,O40,O41,O42)</f>
        <v>0.115</v>
      </c>
      <c r="P43" s="37">
        <f t="shared" ref="P43:T43" si="23">CHOOSE($K$4,P40,P41,P42)</f>
        <v>0.115</v>
      </c>
      <c r="Q43" s="37">
        <f t="shared" si="23"/>
        <v>0.115</v>
      </c>
      <c r="R43" s="37">
        <f t="shared" si="23"/>
        <v>0.115</v>
      </c>
      <c r="S43" s="37">
        <f t="shared" si="23"/>
        <v>0.115</v>
      </c>
      <c r="T43" s="37">
        <f t="shared" si="23"/>
        <v>0.115</v>
      </c>
    </row>
    <row r="44" spans="2:20" hidden="1" outlineLevel="1"/>
    <row r="45" spans="2:20" hidden="1" outlineLevel="1">
      <c r="B45" s="26" t="s">
        <v>458</v>
      </c>
      <c r="C45" s="27"/>
      <c r="D45" s="27"/>
      <c r="E45" s="27"/>
      <c r="F45" s="27"/>
      <c r="G45" s="27"/>
      <c r="H45" s="27"/>
      <c r="I45" s="27"/>
      <c r="J45" s="27"/>
      <c r="K45" s="27"/>
      <c r="L45" s="27"/>
      <c r="M45" s="27"/>
      <c r="N45" s="27"/>
      <c r="O45" s="27"/>
      <c r="P45" s="27"/>
      <c r="Q45" s="27"/>
      <c r="R45" s="27"/>
      <c r="S45" s="27"/>
      <c r="T45" s="27"/>
    </row>
    <row r="46" spans="2:20" hidden="1" outlineLevel="1">
      <c r="B46" s="14" t="s">
        <v>22</v>
      </c>
      <c r="C46" s="13"/>
      <c r="D46" s="13"/>
      <c r="E46" s="201">
        <f>'Assumptions Working '!D251</f>
        <v>4.0191387559808611E-2</v>
      </c>
      <c r="F46" s="201">
        <f>'Assumptions Working '!E251</f>
        <v>3.7897614314115306E-2</v>
      </c>
      <c r="G46" s="201">
        <f>'Assumptions Working '!F251</f>
        <v>3.7216148023549202E-2</v>
      </c>
      <c r="H46" s="201">
        <f>'Assumptions Working '!G251</f>
        <v>3.9635395329782878E-2</v>
      </c>
      <c r="I46" s="201">
        <f>'Assumptions Working '!H251</f>
        <v>4.3095410753133744E-2</v>
      </c>
      <c r="J46" s="201">
        <f>'Assumptions Working '!I251</f>
        <v>4.1455082633182531E-2</v>
      </c>
      <c r="K46" s="17">
        <v>0.04</v>
      </c>
      <c r="L46" s="17">
        <v>0.04</v>
      </c>
      <c r="M46" s="17">
        <v>0.04</v>
      </c>
      <c r="N46" s="17">
        <v>0.04</v>
      </c>
      <c r="O46" s="17">
        <v>0.04</v>
      </c>
      <c r="P46" s="17">
        <v>0.04</v>
      </c>
      <c r="Q46" s="17">
        <v>0.04</v>
      </c>
      <c r="R46" s="17">
        <v>0.04</v>
      </c>
      <c r="S46" s="17">
        <v>0.04</v>
      </c>
      <c r="T46" s="17">
        <v>0.04</v>
      </c>
    </row>
    <row r="47" spans="2:20" hidden="1" outlineLevel="1">
      <c r="B47" s="14" t="s">
        <v>404</v>
      </c>
      <c r="C47" s="13"/>
      <c r="D47" s="13"/>
      <c r="E47" s="201">
        <f>E46</f>
        <v>4.0191387559808611E-2</v>
      </c>
      <c r="F47" s="201">
        <f t="shared" ref="F47:F48" si="24">F46</f>
        <v>3.7897614314115306E-2</v>
      </c>
      <c r="G47" s="201">
        <f t="shared" ref="G47:G48" si="25">G46</f>
        <v>3.7216148023549202E-2</v>
      </c>
      <c r="H47" s="201">
        <f t="shared" ref="H47:H48" si="26">H46</f>
        <v>3.9635395329782878E-2</v>
      </c>
      <c r="I47" s="201">
        <f t="shared" ref="I47:I48" si="27">I46</f>
        <v>4.3095410753133744E-2</v>
      </c>
      <c r="J47" s="201">
        <f t="shared" ref="J47:J48" si="28">J46</f>
        <v>4.1455082633182531E-2</v>
      </c>
      <c r="K47" s="17">
        <v>3.5999999999999997E-2</v>
      </c>
      <c r="L47" s="17">
        <v>3.5999999999999997E-2</v>
      </c>
      <c r="M47" s="17">
        <v>3.5999999999999997E-2</v>
      </c>
      <c r="N47" s="17">
        <v>3.5999999999999997E-2</v>
      </c>
      <c r="O47" s="17">
        <v>3.5999999999999997E-2</v>
      </c>
      <c r="P47" s="17">
        <v>3.5999999999999997E-2</v>
      </c>
      <c r="Q47" s="17">
        <v>3.5999999999999997E-2</v>
      </c>
      <c r="R47" s="17">
        <v>3.5999999999999997E-2</v>
      </c>
      <c r="S47" s="17">
        <v>3.5999999999999997E-2</v>
      </c>
      <c r="T47" s="17">
        <v>3.5999999999999997E-2</v>
      </c>
    </row>
    <row r="48" spans="2:20" hidden="1" outlineLevel="1">
      <c r="B48" s="14" t="s">
        <v>24</v>
      </c>
      <c r="C48" s="13"/>
      <c r="D48" s="13"/>
      <c r="E48" s="201">
        <f>E47</f>
        <v>4.0191387559808611E-2</v>
      </c>
      <c r="F48" s="201">
        <f t="shared" si="24"/>
        <v>3.7897614314115306E-2</v>
      </c>
      <c r="G48" s="201">
        <f t="shared" si="25"/>
        <v>3.7216148023549202E-2</v>
      </c>
      <c r="H48" s="201">
        <f t="shared" si="26"/>
        <v>3.9635395329782878E-2</v>
      </c>
      <c r="I48" s="201">
        <f t="shared" si="27"/>
        <v>4.3095410753133744E-2</v>
      </c>
      <c r="J48" s="201">
        <f t="shared" si="28"/>
        <v>4.1455082633182531E-2</v>
      </c>
      <c r="K48" s="17">
        <v>3.5999999999999997E-2</v>
      </c>
      <c r="L48" s="17">
        <v>3.5999999999999997E-2</v>
      </c>
      <c r="M48" s="17">
        <v>3.5999999999999997E-2</v>
      </c>
      <c r="N48" s="17">
        <v>3.5999999999999997E-2</v>
      </c>
      <c r="O48" s="17">
        <v>3.5999999999999997E-2</v>
      </c>
      <c r="P48" s="17">
        <v>3.5999999999999997E-2</v>
      </c>
      <c r="Q48" s="17">
        <v>3.5999999999999997E-2</v>
      </c>
      <c r="R48" s="17">
        <v>3.5999999999999997E-2</v>
      </c>
      <c r="S48" s="17">
        <v>3.5999999999999997E-2</v>
      </c>
      <c r="T48" s="17">
        <v>3.5999999999999997E-2</v>
      </c>
    </row>
    <row r="49" spans="1:20" hidden="1" outlineLevel="1">
      <c r="B49" s="15" t="str">
        <f>"Current Case - "&amp;CHOOSE($K$4,B46,B47,B48)</f>
        <v>Current Case - Management Case</v>
      </c>
      <c r="C49" s="16"/>
      <c r="D49" s="16"/>
      <c r="E49" s="16"/>
      <c r="F49" s="16"/>
      <c r="G49" s="16"/>
      <c r="H49" s="16"/>
      <c r="I49" s="16"/>
      <c r="J49" s="16"/>
      <c r="K49" s="37">
        <f>CHOOSE($K$4,K46,K47,K48)</f>
        <v>0.04</v>
      </c>
      <c r="L49" s="37">
        <f>CHOOSE($K$4,L46,L47,L48)</f>
        <v>0.04</v>
      </c>
      <c r="M49" s="37">
        <f>CHOOSE($K$4,M46,M47,M48)</f>
        <v>0.04</v>
      </c>
      <c r="N49" s="37">
        <f>CHOOSE($K$4,N46,N47,N48)</f>
        <v>0.04</v>
      </c>
      <c r="O49" s="37">
        <f>CHOOSE($K$4,O46,O47,O48)</f>
        <v>0.04</v>
      </c>
      <c r="P49" s="37">
        <f t="shared" ref="P49:T49" si="29">CHOOSE($K$4,P46,P47,P48)</f>
        <v>0.04</v>
      </c>
      <c r="Q49" s="37">
        <f t="shared" si="29"/>
        <v>0.04</v>
      </c>
      <c r="R49" s="37">
        <f t="shared" si="29"/>
        <v>0.04</v>
      </c>
      <c r="S49" s="37">
        <f t="shared" si="29"/>
        <v>0.04</v>
      </c>
      <c r="T49" s="37">
        <f t="shared" si="29"/>
        <v>0.04</v>
      </c>
    </row>
    <row r="50" spans="1:20" hidden="1" outlineLevel="1"/>
    <row r="51" spans="1:20" hidden="1" outlineLevel="1">
      <c r="B51" s="26" t="s">
        <v>459</v>
      </c>
      <c r="C51" s="27"/>
      <c r="D51" s="27"/>
      <c r="E51" s="27"/>
      <c r="F51" s="27"/>
      <c r="G51" s="27"/>
      <c r="H51" s="27"/>
      <c r="I51" s="27"/>
      <c r="J51" s="27"/>
      <c r="K51" s="27"/>
      <c r="L51" s="27"/>
      <c r="M51" s="27"/>
      <c r="N51" s="27"/>
      <c r="O51" s="27"/>
      <c r="P51" s="27"/>
      <c r="Q51" s="27"/>
      <c r="R51" s="27"/>
      <c r="S51" s="27"/>
      <c r="T51" s="27"/>
    </row>
    <row r="52" spans="1:20" hidden="1" outlineLevel="1">
      <c r="B52" s="14" t="s">
        <v>22</v>
      </c>
      <c r="C52" s="13"/>
      <c r="D52" s="13"/>
      <c r="E52" s="201">
        <f>'Assumptions Working '!D254</f>
        <v>8.6261107313738802E-2</v>
      </c>
      <c r="F52" s="201">
        <f>'Assumptions Working '!E254</f>
        <v>7.4925447316103358E-2</v>
      </c>
      <c r="G52" s="201">
        <f>'Assumptions Working '!F254</f>
        <v>6.9280908326324636E-2</v>
      </c>
      <c r="H52" s="201">
        <f>'Assumptions Working '!G254</f>
        <v>7.3842687423187212E-2</v>
      </c>
      <c r="I52" s="201">
        <f>'Assumptions Working '!H254</f>
        <v>7.956075831347767E-2</v>
      </c>
      <c r="J52" s="201">
        <f>'Assumptions Working '!I254</f>
        <v>8.2725510109869824E-2</v>
      </c>
      <c r="K52" s="17">
        <v>0.08</v>
      </c>
      <c r="L52" s="17">
        <v>0.08</v>
      </c>
      <c r="M52" s="17">
        <v>0.08</v>
      </c>
      <c r="N52" s="17">
        <v>0.08</v>
      </c>
      <c r="O52" s="17">
        <v>0.08</v>
      </c>
      <c r="P52" s="17">
        <v>0.08</v>
      </c>
      <c r="Q52" s="17">
        <v>0.08</v>
      </c>
      <c r="R52" s="17">
        <v>0.08</v>
      </c>
      <c r="S52" s="17">
        <v>0.08</v>
      </c>
      <c r="T52" s="17">
        <v>0.08</v>
      </c>
    </row>
    <row r="53" spans="1:20" hidden="1" outlineLevel="1">
      <c r="B53" s="14" t="s">
        <v>404</v>
      </c>
      <c r="C53" s="13"/>
      <c r="D53" s="13"/>
      <c r="E53" s="201">
        <f>E52</f>
        <v>8.6261107313738802E-2</v>
      </c>
      <c r="F53" s="201">
        <f t="shared" ref="F53:F54" si="30">F52</f>
        <v>7.4925447316103358E-2</v>
      </c>
      <c r="G53" s="201">
        <f t="shared" ref="G53:G54" si="31">G52</f>
        <v>6.9280908326324636E-2</v>
      </c>
      <c r="H53" s="201">
        <f t="shared" ref="H53:H54" si="32">H52</f>
        <v>7.3842687423187212E-2</v>
      </c>
      <c r="I53" s="201">
        <f t="shared" ref="I53:I54" si="33">I52</f>
        <v>7.956075831347767E-2</v>
      </c>
      <c r="J53" s="201">
        <f t="shared" ref="J53:J54" si="34">J52</f>
        <v>8.2725510109869824E-2</v>
      </c>
      <c r="K53" s="17">
        <v>7.2900000000000006E-2</v>
      </c>
      <c r="L53" s="17">
        <v>7.2900000000000006E-2</v>
      </c>
      <c r="M53" s="17">
        <v>7.2900000000000006E-2</v>
      </c>
      <c r="N53" s="17">
        <v>7.2900000000000006E-2</v>
      </c>
      <c r="O53" s="17">
        <v>7.2900000000000006E-2</v>
      </c>
      <c r="P53" s="17">
        <v>7.2900000000000006E-2</v>
      </c>
      <c r="Q53" s="17">
        <v>7.2900000000000006E-2</v>
      </c>
      <c r="R53" s="17">
        <v>7.2900000000000006E-2</v>
      </c>
      <c r="S53" s="17">
        <v>7.2900000000000006E-2</v>
      </c>
      <c r="T53" s="17">
        <v>7.2900000000000006E-2</v>
      </c>
    </row>
    <row r="54" spans="1:20" hidden="1" outlineLevel="1">
      <c r="B54" s="14" t="s">
        <v>24</v>
      </c>
      <c r="C54" s="13"/>
      <c r="D54" s="13"/>
      <c r="E54" s="201">
        <f>E53</f>
        <v>8.6261107313738802E-2</v>
      </c>
      <c r="F54" s="201">
        <f t="shared" si="30"/>
        <v>7.4925447316103358E-2</v>
      </c>
      <c r="G54" s="201">
        <f t="shared" si="31"/>
        <v>6.9280908326324636E-2</v>
      </c>
      <c r="H54" s="201">
        <f t="shared" si="32"/>
        <v>7.3842687423187212E-2</v>
      </c>
      <c r="I54" s="201">
        <f t="shared" si="33"/>
        <v>7.956075831347767E-2</v>
      </c>
      <c r="J54" s="201">
        <f t="shared" si="34"/>
        <v>8.2725510109869824E-2</v>
      </c>
      <c r="K54" s="17">
        <v>7.0000000000000007E-2</v>
      </c>
      <c r="L54" s="17">
        <v>7.0000000000000007E-2</v>
      </c>
      <c r="M54" s="17">
        <v>7.0000000000000007E-2</v>
      </c>
      <c r="N54" s="17">
        <v>7.0000000000000007E-2</v>
      </c>
      <c r="O54" s="17">
        <v>7.0000000000000007E-2</v>
      </c>
      <c r="P54" s="17">
        <v>7.0000000000000007E-2</v>
      </c>
      <c r="Q54" s="17">
        <v>7.0000000000000007E-2</v>
      </c>
      <c r="R54" s="17">
        <v>7.0000000000000007E-2</v>
      </c>
      <c r="S54" s="17">
        <v>7.0000000000000007E-2</v>
      </c>
      <c r="T54" s="17">
        <v>7.0000000000000007E-2</v>
      </c>
    </row>
    <row r="55" spans="1:20" hidden="1" outlineLevel="1">
      <c r="B55" s="15" t="str">
        <f>"Current Case - "&amp;CHOOSE($K$4,B52,B53,B54)</f>
        <v>Current Case - Management Case</v>
      </c>
      <c r="C55" s="16"/>
      <c r="D55" s="16"/>
      <c r="E55" s="16"/>
      <c r="F55" s="16"/>
      <c r="G55" s="16"/>
      <c r="H55" s="16"/>
      <c r="I55" s="16"/>
      <c r="J55" s="16"/>
      <c r="K55" s="37">
        <f>CHOOSE($K$4,K52,K53,K54)</f>
        <v>0.08</v>
      </c>
      <c r="L55" s="37">
        <f>CHOOSE($K$4,L52,L53,L54)</f>
        <v>0.08</v>
      </c>
      <c r="M55" s="37">
        <f>CHOOSE($K$4,M52,M53,M54)</f>
        <v>0.08</v>
      </c>
      <c r="N55" s="37">
        <f>CHOOSE($K$4,N52,N53,N54)</f>
        <v>0.08</v>
      </c>
      <c r="O55" s="37">
        <f>CHOOSE($K$4,O52,O53,O54)</f>
        <v>0.08</v>
      </c>
      <c r="P55" s="37">
        <f t="shared" ref="P55:T55" si="35">CHOOSE($K$4,P52,P53,P54)</f>
        <v>0.08</v>
      </c>
      <c r="Q55" s="37">
        <f t="shared" si="35"/>
        <v>0.08</v>
      </c>
      <c r="R55" s="37">
        <f t="shared" si="35"/>
        <v>0.08</v>
      </c>
      <c r="S55" s="37">
        <f t="shared" si="35"/>
        <v>0.08</v>
      </c>
      <c r="T55" s="37">
        <f t="shared" si="35"/>
        <v>0.08</v>
      </c>
    </row>
    <row r="56" spans="1:20" hidden="1" outlineLevel="1"/>
    <row r="57" spans="1:20" hidden="1" outlineLevel="1">
      <c r="B57" s="202" t="s">
        <v>456</v>
      </c>
      <c r="C57" s="202"/>
      <c r="D57" s="202"/>
      <c r="E57" s="459">
        <f>E52+E46+E40+E34</f>
        <v>0.29118250170881743</v>
      </c>
      <c r="F57" s="459">
        <f t="shared" ref="F57:O57" si="36">F52+F46+F40+F34</f>
        <v>0.2703777335984095</v>
      </c>
      <c r="G57" s="459">
        <f t="shared" si="36"/>
        <v>0.25178721614802352</v>
      </c>
      <c r="H57" s="459">
        <f t="shared" si="36"/>
        <v>0.26659156083572305</v>
      </c>
      <c r="I57" s="459">
        <f t="shared" si="36"/>
        <v>0.29824924893815397</v>
      </c>
      <c r="J57" s="459">
        <f t="shared" si="36"/>
        <v>0.30505031853014497</v>
      </c>
      <c r="K57" s="459">
        <f t="shared" si="36"/>
        <v>0.311</v>
      </c>
      <c r="L57" s="459">
        <f t="shared" si="36"/>
        <v>0.311</v>
      </c>
      <c r="M57" s="459">
        <f t="shared" si="36"/>
        <v>0.311</v>
      </c>
      <c r="N57" s="459">
        <f t="shared" si="36"/>
        <v>0.311</v>
      </c>
      <c r="O57" s="459">
        <f t="shared" si="36"/>
        <v>0.311</v>
      </c>
      <c r="P57" s="459">
        <f t="shared" ref="P57:T57" si="37">P52+P46+P40+P34</f>
        <v>0.311</v>
      </c>
      <c r="Q57" s="459">
        <f t="shared" si="37"/>
        <v>0.311</v>
      </c>
      <c r="R57" s="459">
        <f t="shared" si="37"/>
        <v>0.311</v>
      </c>
      <c r="S57" s="459">
        <f t="shared" si="37"/>
        <v>0.311</v>
      </c>
      <c r="T57" s="459">
        <f t="shared" si="37"/>
        <v>0.311</v>
      </c>
    </row>
    <row r="58" spans="1:20" collapsed="1"/>
    <row r="59" spans="1:20" ht="18">
      <c r="A59" t="s">
        <v>21</v>
      </c>
      <c r="B59" s="25" t="s">
        <v>669</v>
      </c>
      <c r="C59" s="11"/>
      <c r="D59" s="11"/>
      <c r="E59" s="11"/>
      <c r="F59" s="11"/>
      <c r="G59" s="11"/>
      <c r="H59" s="11"/>
      <c r="I59" s="11"/>
      <c r="J59" s="11"/>
      <c r="K59" s="11"/>
      <c r="L59" s="11"/>
      <c r="M59" s="11"/>
      <c r="N59" s="11"/>
      <c r="O59" s="11"/>
      <c r="P59" s="11"/>
      <c r="Q59" s="11"/>
      <c r="R59" s="11"/>
      <c r="S59" s="11"/>
      <c r="T59" s="11"/>
    </row>
    <row r="60" spans="1:20" hidden="1" outlineLevel="1"/>
    <row r="61" spans="1:20" ht="15.6" hidden="1" outlineLevel="1">
      <c r="B61" s="31" t="s">
        <v>615</v>
      </c>
      <c r="C61" s="12"/>
      <c r="D61" s="12"/>
      <c r="E61" s="12"/>
      <c r="F61" s="12"/>
      <c r="G61" s="12"/>
      <c r="H61" s="12"/>
      <c r="I61" s="12"/>
      <c r="J61" s="12"/>
      <c r="K61" s="12"/>
      <c r="L61" s="12"/>
      <c r="M61" s="12"/>
      <c r="N61" s="12"/>
      <c r="O61" s="12"/>
      <c r="P61" s="12"/>
      <c r="Q61" s="12"/>
      <c r="R61" s="12"/>
      <c r="S61" s="12"/>
      <c r="T61" s="12"/>
    </row>
    <row r="62" spans="1:20" hidden="1" outlineLevel="1"/>
    <row r="63" spans="1:20" hidden="1" outlineLevel="1">
      <c r="B63" s="26" t="s">
        <v>616</v>
      </c>
      <c r="C63" s="27"/>
      <c r="D63" s="27"/>
      <c r="E63" s="27"/>
      <c r="F63" s="27"/>
      <c r="G63" s="27"/>
      <c r="H63" s="27"/>
      <c r="I63" s="27"/>
      <c r="J63" s="27"/>
      <c r="K63" s="27"/>
      <c r="L63" s="27"/>
      <c r="M63" s="27"/>
      <c r="N63" s="27"/>
      <c r="O63" s="27"/>
      <c r="P63" s="27"/>
      <c r="Q63" s="27"/>
      <c r="R63" s="27"/>
      <c r="S63" s="27"/>
      <c r="T63" s="27"/>
    </row>
    <row r="64" spans="1:20" hidden="1" outlineLevel="1">
      <c r="B64" s="14" t="s">
        <v>22</v>
      </c>
      <c r="C64" s="13"/>
      <c r="D64" s="13"/>
      <c r="E64" s="13"/>
      <c r="F64" s="13"/>
      <c r="G64" s="13"/>
      <c r="H64" s="13"/>
      <c r="I64" s="13"/>
      <c r="J64" s="17"/>
      <c r="K64" s="17">
        <v>0</v>
      </c>
      <c r="L64" s="17">
        <v>0</v>
      </c>
      <c r="M64" s="17">
        <v>0</v>
      </c>
      <c r="N64" s="17">
        <v>0</v>
      </c>
      <c r="O64" s="17">
        <v>0</v>
      </c>
      <c r="P64" s="17">
        <v>0</v>
      </c>
      <c r="Q64" s="17">
        <v>0</v>
      </c>
      <c r="R64" s="17">
        <v>0</v>
      </c>
      <c r="S64" s="17">
        <v>0</v>
      </c>
      <c r="T64" s="17">
        <v>0</v>
      </c>
    </row>
    <row r="65" spans="2:20" hidden="1" outlineLevel="1">
      <c r="B65" s="14" t="s">
        <v>23</v>
      </c>
      <c r="C65" s="13"/>
      <c r="D65" s="13"/>
      <c r="E65" s="13"/>
      <c r="F65" s="13"/>
      <c r="G65" s="13"/>
      <c r="H65" s="13"/>
      <c r="I65" s="13"/>
      <c r="J65" s="13"/>
      <c r="K65" s="17">
        <v>0</v>
      </c>
      <c r="L65" s="17">
        <v>0</v>
      </c>
      <c r="M65" s="17">
        <v>0</v>
      </c>
      <c r="N65" s="17">
        <v>0</v>
      </c>
      <c r="O65" s="17">
        <v>0</v>
      </c>
      <c r="P65" s="17">
        <v>0</v>
      </c>
      <c r="Q65" s="17">
        <v>0</v>
      </c>
      <c r="R65" s="17">
        <v>0</v>
      </c>
      <c r="S65" s="17">
        <v>0</v>
      </c>
      <c r="T65" s="17">
        <v>0</v>
      </c>
    </row>
    <row r="66" spans="2:20" hidden="1" outlineLevel="1">
      <c r="B66" s="14" t="s">
        <v>24</v>
      </c>
      <c r="C66" s="13"/>
      <c r="D66" s="13"/>
      <c r="E66" s="13"/>
      <c r="F66" s="13"/>
      <c r="G66" s="13"/>
      <c r="H66" s="13"/>
      <c r="I66" s="13"/>
      <c r="J66" s="13"/>
      <c r="K66" s="17">
        <v>0</v>
      </c>
      <c r="L66" s="17">
        <v>0</v>
      </c>
      <c r="M66" s="17">
        <v>0</v>
      </c>
      <c r="N66" s="17">
        <v>0</v>
      </c>
      <c r="O66" s="17">
        <v>0</v>
      </c>
      <c r="P66" s="17">
        <v>0</v>
      </c>
      <c r="Q66" s="17">
        <v>0</v>
      </c>
      <c r="R66" s="17">
        <v>0</v>
      </c>
      <c r="S66" s="17">
        <v>0</v>
      </c>
      <c r="T66" s="17">
        <v>0</v>
      </c>
    </row>
    <row r="67" spans="2:20" hidden="1" outlineLevel="1">
      <c r="B67" s="15" t="str">
        <f>"Current Case - "&amp;CHOOSE($K$4,B64,B65,B66)</f>
        <v>Current Case - Management Case</v>
      </c>
      <c r="C67" s="16"/>
      <c r="D67" s="16"/>
      <c r="E67" s="16"/>
      <c r="F67" s="16"/>
      <c r="G67" s="16"/>
      <c r="H67" s="16"/>
      <c r="I67" s="16"/>
      <c r="J67" s="16"/>
      <c r="K67" s="37">
        <f>CHOOSE($K$4,K64,K65,K66)</f>
        <v>0</v>
      </c>
      <c r="L67" s="37">
        <f>CHOOSE($K$4,L64,L65,L66)</f>
        <v>0</v>
      </c>
      <c r="M67" s="37">
        <f>CHOOSE($K$4,M64,M65,M66)</f>
        <v>0</v>
      </c>
      <c r="N67" s="37">
        <f>CHOOSE($K$4,N64,N65,N66)</f>
        <v>0</v>
      </c>
      <c r="O67" s="37">
        <f>CHOOSE($K$4,O64,O65,O66)</f>
        <v>0</v>
      </c>
      <c r="P67" s="37">
        <f t="shared" ref="P67:T67" si="38">CHOOSE($K$4,P64,P65,P66)</f>
        <v>0</v>
      </c>
      <c r="Q67" s="37">
        <f t="shared" si="38"/>
        <v>0</v>
      </c>
      <c r="R67" s="37">
        <f t="shared" si="38"/>
        <v>0</v>
      </c>
      <c r="S67" s="37">
        <f t="shared" si="38"/>
        <v>0</v>
      </c>
      <c r="T67" s="37">
        <f t="shared" si="38"/>
        <v>0</v>
      </c>
    </row>
    <row r="68" spans="2:20" hidden="1" outlineLevel="1">
      <c r="K68" s="190"/>
      <c r="L68" s="190"/>
      <c r="M68" s="190"/>
      <c r="N68" s="190"/>
      <c r="O68" s="190"/>
      <c r="P68" s="190"/>
      <c r="Q68" s="190"/>
      <c r="R68" s="190"/>
      <c r="S68" s="190"/>
      <c r="T68" s="190"/>
    </row>
    <row r="69" spans="2:20" hidden="1" outlineLevel="1">
      <c r="B69" s="26" t="s">
        <v>762</v>
      </c>
      <c r="C69" s="27"/>
      <c r="D69" s="27"/>
      <c r="E69" s="27"/>
      <c r="F69" s="27"/>
      <c r="G69" s="27"/>
      <c r="H69" s="27"/>
      <c r="I69" s="27"/>
      <c r="J69" s="27"/>
      <c r="K69" s="27"/>
      <c r="L69" s="27"/>
      <c r="M69" s="27"/>
      <c r="N69" s="27"/>
      <c r="O69" s="27"/>
      <c r="P69" s="27"/>
      <c r="Q69" s="27"/>
      <c r="R69" s="27"/>
      <c r="S69" s="27"/>
      <c r="T69" s="27"/>
    </row>
    <row r="70" spans="2:20" hidden="1" outlineLevel="1">
      <c r="B70" s="14" t="s">
        <v>22</v>
      </c>
      <c r="C70" s="13"/>
      <c r="D70" s="13"/>
      <c r="E70" s="13"/>
      <c r="F70" s="13"/>
      <c r="G70" s="13"/>
      <c r="H70" s="13"/>
      <c r="I70" s="13"/>
      <c r="J70" s="17"/>
      <c r="K70" s="17">
        <v>0</v>
      </c>
      <c r="L70" s="17">
        <v>0</v>
      </c>
      <c r="M70" s="17">
        <v>0</v>
      </c>
      <c r="N70" s="17">
        <v>0</v>
      </c>
      <c r="O70" s="17">
        <v>0</v>
      </c>
      <c r="P70" s="17">
        <v>0</v>
      </c>
      <c r="Q70" s="17">
        <v>0</v>
      </c>
      <c r="R70" s="17">
        <v>0</v>
      </c>
      <c r="S70" s="17">
        <v>0</v>
      </c>
      <c r="T70" s="17">
        <v>0</v>
      </c>
    </row>
    <row r="71" spans="2:20" hidden="1" outlineLevel="1">
      <c r="B71" s="14" t="s">
        <v>23</v>
      </c>
      <c r="C71" s="13"/>
      <c r="D71" s="13"/>
      <c r="E71" s="13"/>
      <c r="F71" s="13"/>
      <c r="G71" s="13"/>
      <c r="H71" s="13"/>
      <c r="I71" s="13"/>
      <c r="J71" s="13"/>
      <c r="K71" s="17">
        <v>0</v>
      </c>
      <c r="L71" s="17">
        <v>0</v>
      </c>
      <c r="M71" s="17">
        <v>0</v>
      </c>
      <c r="N71" s="17">
        <v>0</v>
      </c>
      <c r="O71" s="17">
        <v>0</v>
      </c>
      <c r="P71" s="17">
        <v>0</v>
      </c>
      <c r="Q71" s="17">
        <v>0</v>
      </c>
      <c r="R71" s="17">
        <v>0</v>
      </c>
      <c r="S71" s="17">
        <v>0</v>
      </c>
      <c r="T71" s="17">
        <v>0</v>
      </c>
    </row>
    <row r="72" spans="2:20" hidden="1" outlineLevel="1">
      <c r="B72" s="14" t="s">
        <v>24</v>
      </c>
      <c r="C72" s="13"/>
      <c r="D72" s="13"/>
      <c r="E72" s="13"/>
      <c r="F72" s="13"/>
      <c r="G72" s="13"/>
      <c r="H72" s="13"/>
      <c r="I72" s="13"/>
      <c r="J72" s="13"/>
      <c r="K72" s="17">
        <v>0</v>
      </c>
      <c r="L72" s="17">
        <v>0</v>
      </c>
      <c r="M72" s="17">
        <v>0</v>
      </c>
      <c r="N72" s="17">
        <v>0</v>
      </c>
      <c r="O72" s="17">
        <v>0</v>
      </c>
      <c r="P72" s="17">
        <v>0</v>
      </c>
      <c r="Q72" s="17">
        <v>0</v>
      </c>
      <c r="R72" s="17">
        <v>0</v>
      </c>
      <c r="S72" s="17">
        <v>0</v>
      </c>
      <c r="T72" s="17">
        <v>0</v>
      </c>
    </row>
    <row r="73" spans="2:20" hidden="1" outlineLevel="1">
      <c r="B73" s="15" t="str">
        <f>"Current Case - "&amp;CHOOSE($K$4,B70,B71,B72)</f>
        <v>Current Case - Management Case</v>
      </c>
      <c r="C73" s="16"/>
      <c r="D73" s="16"/>
      <c r="E73" s="16"/>
      <c r="F73" s="16"/>
      <c r="G73" s="16"/>
      <c r="H73" s="16"/>
      <c r="I73" s="16"/>
      <c r="J73" s="16"/>
      <c r="K73" s="37">
        <f>CHOOSE($K$4,K70,K71,K72)</f>
        <v>0</v>
      </c>
      <c r="L73" s="37">
        <f>CHOOSE($K$4,L70,L71,L72)</f>
        <v>0</v>
      </c>
      <c r="M73" s="37">
        <f>CHOOSE($K$4,M70,M71,M72)</f>
        <v>0</v>
      </c>
      <c r="N73" s="37">
        <f>CHOOSE($K$4,N70,N71,N72)</f>
        <v>0</v>
      </c>
      <c r="O73" s="37">
        <f>CHOOSE($K$4,O70,O71,O72)</f>
        <v>0</v>
      </c>
      <c r="P73" s="37">
        <f t="shared" ref="P73:T73" si="39">CHOOSE($K$4,P70,P71,P72)</f>
        <v>0</v>
      </c>
      <c r="Q73" s="37">
        <f t="shared" si="39"/>
        <v>0</v>
      </c>
      <c r="R73" s="37">
        <f t="shared" si="39"/>
        <v>0</v>
      </c>
      <c r="S73" s="37">
        <f t="shared" si="39"/>
        <v>0</v>
      </c>
      <c r="T73" s="37">
        <f t="shared" si="39"/>
        <v>0</v>
      </c>
    </row>
    <row r="74" spans="2:20" hidden="1" outlineLevel="1">
      <c r="K74" s="190"/>
      <c r="L74" s="190"/>
      <c r="M74" s="190"/>
      <c r="N74" s="190"/>
      <c r="O74" s="190"/>
      <c r="P74" s="190"/>
      <c r="Q74" s="190"/>
      <c r="R74" s="190"/>
      <c r="S74" s="190"/>
      <c r="T74" s="190"/>
    </row>
    <row r="75" spans="2:20" hidden="1" outlineLevel="1">
      <c r="B75" s="26" t="s">
        <v>652</v>
      </c>
      <c r="C75" s="27"/>
      <c r="D75" s="27"/>
      <c r="E75" s="27"/>
      <c r="F75" s="27"/>
      <c r="G75" s="27"/>
      <c r="H75" s="27"/>
      <c r="I75" s="27"/>
      <c r="J75" s="27"/>
      <c r="K75" s="27"/>
      <c r="L75" s="27"/>
      <c r="M75" s="27"/>
      <c r="N75" s="27"/>
      <c r="O75" s="27"/>
      <c r="P75" s="27"/>
      <c r="Q75" s="27"/>
      <c r="R75" s="27"/>
      <c r="S75" s="27"/>
      <c r="T75" s="27"/>
    </row>
    <row r="76" spans="2:20" hidden="1" outlineLevel="1">
      <c r="B76" s="14" t="s">
        <v>22</v>
      </c>
      <c r="C76" s="13"/>
      <c r="D76" s="13"/>
      <c r="E76" s="13"/>
      <c r="F76" s="13"/>
      <c r="G76" s="13"/>
      <c r="H76" s="13"/>
      <c r="I76" s="13"/>
      <c r="J76" s="17"/>
      <c r="K76" s="17">
        <v>0</v>
      </c>
      <c r="L76" s="17">
        <v>0</v>
      </c>
      <c r="M76" s="17">
        <v>0</v>
      </c>
      <c r="N76" s="17">
        <v>0</v>
      </c>
      <c r="O76" s="17">
        <v>0</v>
      </c>
      <c r="P76" s="17">
        <v>0</v>
      </c>
      <c r="Q76" s="17">
        <v>0</v>
      </c>
      <c r="R76" s="17">
        <v>0</v>
      </c>
      <c r="S76" s="17">
        <v>0</v>
      </c>
      <c r="T76" s="17">
        <v>0</v>
      </c>
    </row>
    <row r="77" spans="2:20" hidden="1" outlineLevel="1">
      <c r="B77" s="14" t="s">
        <v>23</v>
      </c>
      <c r="C77" s="13"/>
      <c r="D77" s="13"/>
      <c r="E77" s="13"/>
      <c r="F77" s="13"/>
      <c r="G77" s="13"/>
      <c r="H77" s="13"/>
      <c r="I77" s="13"/>
      <c r="J77" s="13"/>
      <c r="K77" s="17">
        <v>0</v>
      </c>
      <c r="L77" s="17">
        <v>0</v>
      </c>
      <c r="M77" s="17">
        <v>0</v>
      </c>
      <c r="N77" s="17">
        <v>0</v>
      </c>
      <c r="O77" s="17">
        <v>0</v>
      </c>
      <c r="P77" s="17">
        <v>0</v>
      </c>
      <c r="Q77" s="17">
        <v>0</v>
      </c>
      <c r="R77" s="17">
        <v>0</v>
      </c>
      <c r="S77" s="17">
        <v>0</v>
      </c>
      <c r="T77" s="17">
        <v>0</v>
      </c>
    </row>
    <row r="78" spans="2:20" hidden="1" outlineLevel="1">
      <c r="B78" s="14" t="s">
        <v>24</v>
      </c>
      <c r="C78" s="13"/>
      <c r="D78" s="13"/>
      <c r="E78" s="13"/>
      <c r="F78" s="13"/>
      <c r="G78" s="13"/>
      <c r="H78" s="13"/>
      <c r="I78" s="13"/>
      <c r="J78" s="13"/>
      <c r="K78" s="17">
        <v>0</v>
      </c>
      <c r="L78" s="17">
        <v>0</v>
      </c>
      <c r="M78" s="17">
        <v>0</v>
      </c>
      <c r="N78" s="17">
        <v>0</v>
      </c>
      <c r="O78" s="17">
        <v>0</v>
      </c>
      <c r="P78" s="17">
        <v>0</v>
      </c>
      <c r="Q78" s="17">
        <v>0</v>
      </c>
      <c r="R78" s="17">
        <v>0</v>
      </c>
      <c r="S78" s="17">
        <v>0</v>
      </c>
      <c r="T78" s="17">
        <v>0</v>
      </c>
    </row>
    <row r="79" spans="2:20" hidden="1" outlineLevel="1">
      <c r="B79" s="15" t="str">
        <f>"Current Case - "&amp;CHOOSE($K$4,B76,B77,B78)</f>
        <v>Current Case - Management Case</v>
      </c>
      <c r="C79" s="16"/>
      <c r="D79" s="16"/>
      <c r="E79" s="16"/>
      <c r="F79" s="16"/>
      <c r="G79" s="16"/>
      <c r="H79" s="16"/>
      <c r="I79" s="16"/>
      <c r="J79" s="16"/>
      <c r="K79" s="37">
        <f>CHOOSE($K$4,K76,K77,K78)</f>
        <v>0</v>
      </c>
      <c r="L79" s="37">
        <f>CHOOSE($K$4,L76,L77,L78)</f>
        <v>0</v>
      </c>
      <c r="M79" s="37">
        <f>CHOOSE($K$4,M76,M77,M78)</f>
        <v>0</v>
      </c>
      <c r="N79" s="37">
        <f>CHOOSE($K$4,N76,N77,N78)</f>
        <v>0</v>
      </c>
      <c r="O79" s="37">
        <f>CHOOSE($K$4,O76,O77,O78)</f>
        <v>0</v>
      </c>
      <c r="P79" s="37">
        <f t="shared" ref="P79:T79" si="40">CHOOSE($K$4,P76,P77,P78)</f>
        <v>0</v>
      </c>
      <c r="Q79" s="37">
        <f t="shared" si="40"/>
        <v>0</v>
      </c>
      <c r="R79" s="37">
        <f t="shared" si="40"/>
        <v>0</v>
      </c>
      <c r="S79" s="37">
        <f t="shared" si="40"/>
        <v>0</v>
      </c>
      <c r="T79" s="37">
        <f t="shared" si="40"/>
        <v>0</v>
      </c>
    </row>
    <row r="80" spans="2:20" hidden="1" outlineLevel="1">
      <c r="K80" s="190"/>
      <c r="L80" s="190"/>
      <c r="M80" s="190"/>
      <c r="N80" s="190"/>
      <c r="O80" s="190"/>
      <c r="P80" s="190"/>
      <c r="Q80" s="190"/>
      <c r="R80" s="190"/>
      <c r="S80" s="190"/>
      <c r="T80" s="190"/>
    </row>
    <row r="81" spans="2:20" ht="15.6" hidden="1" outlineLevel="1">
      <c r="B81" s="31" t="s">
        <v>35</v>
      </c>
      <c r="C81" s="12"/>
      <c r="D81" s="12"/>
      <c r="E81" s="12"/>
      <c r="F81" s="12"/>
      <c r="G81" s="12"/>
      <c r="H81" s="12"/>
      <c r="I81" s="12"/>
      <c r="J81" s="12"/>
      <c r="K81" s="12"/>
      <c r="L81" s="12"/>
      <c r="M81" s="12"/>
      <c r="N81" s="12"/>
      <c r="O81" s="12"/>
      <c r="P81" s="12"/>
      <c r="Q81" s="12"/>
      <c r="R81" s="12"/>
      <c r="S81" s="12"/>
      <c r="T81" s="12"/>
    </row>
    <row r="82" spans="2:20" hidden="1" outlineLevel="1"/>
    <row r="83" spans="2:20" hidden="1" outlineLevel="1">
      <c r="B83" s="26" t="s">
        <v>617</v>
      </c>
      <c r="C83" s="27"/>
      <c r="D83" s="27"/>
      <c r="E83" s="27"/>
      <c r="F83" s="27"/>
      <c r="G83" s="27"/>
      <c r="H83" s="27"/>
      <c r="I83" s="27"/>
      <c r="J83" s="27"/>
      <c r="K83" s="27"/>
      <c r="L83" s="27"/>
      <c r="M83" s="27"/>
      <c r="N83" s="27"/>
      <c r="O83" s="27"/>
      <c r="P83" s="27"/>
      <c r="Q83" s="27"/>
      <c r="R83" s="27"/>
      <c r="S83" s="27"/>
      <c r="T83" s="27"/>
    </row>
    <row r="84" spans="2:20" hidden="1" outlineLevel="1">
      <c r="B84" s="14" t="s">
        <v>22</v>
      </c>
      <c r="C84" s="13"/>
      <c r="D84" s="13"/>
      <c r="E84" s="13"/>
      <c r="F84" s="13"/>
      <c r="G84" s="13"/>
      <c r="H84" s="13"/>
      <c r="I84" s="13"/>
      <c r="J84" s="17"/>
      <c r="K84" s="17">
        <v>0</v>
      </c>
      <c r="L84" s="17">
        <v>0</v>
      </c>
      <c r="M84" s="17">
        <v>0</v>
      </c>
      <c r="N84" s="17">
        <v>0</v>
      </c>
      <c r="O84" s="17">
        <v>0</v>
      </c>
      <c r="P84" s="17">
        <v>0</v>
      </c>
      <c r="Q84" s="17">
        <v>0</v>
      </c>
      <c r="R84" s="17">
        <v>0</v>
      </c>
      <c r="S84" s="17">
        <v>0</v>
      </c>
      <c r="T84" s="17">
        <v>0</v>
      </c>
    </row>
    <row r="85" spans="2:20" hidden="1" outlineLevel="1">
      <c r="B85" s="14" t="s">
        <v>23</v>
      </c>
      <c r="C85" s="13"/>
      <c r="D85" s="13"/>
      <c r="E85" s="13"/>
      <c r="F85" s="13"/>
      <c r="G85" s="13"/>
      <c r="H85" s="13"/>
      <c r="I85" s="13"/>
      <c r="J85" s="13"/>
      <c r="K85" s="17">
        <v>0</v>
      </c>
      <c r="L85" s="17">
        <v>0</v>
      </c>
      <c r="M85" s="17">
        <v>0</v>
      </c>
      <c r="N85" s="17">
        <v>0</v>
      </c>
      <c r="O85" s="17">
        <v>0</v>
      </c>
      <c r="P85" s="17">
        <v>0</v>
      </c>
      <c r="Q85" s="17">
        <v>0</v>
      </c>
      <c r="R85" s="17">
        <v>0</v>
      </c>
      <c r="S85" s="17">
        <v>0</v>
      </c>
      <c r="T85" s="17">
        <v>0</v>
      </c>
    </row>
    <row r="86" spans="2:20" hidden="1" outlineLevel="1">
      <c r="B86" s="14" t="s">
        <v>24</v>
      </c>
      <c r="C86" s="13"/>
      <c r="D86" s="13"/>
      <c r="E86" s="13"/>
      <c r="F86" s="13"/>
      <c r="G86" s="13"/>
      <c r="H86" s="13"/>
      <c r="I86" s="13"/>
      <c r="J86" s="13"/>
      <c r="K86" s="17">
        <v>0</v>
      </c>
      <c r="L86" s="17">
        <v>0</v>
      </c>
      <c r="M86" s="17">
        <v>0</v>
      </c>
      <c r="N86" s="17">
        <v>0</v>
      </c>
      <c r="O86" s="17">
        <v>0</v>
      </c>
      <c r="P86" s="17">
        <v>0</v>
      </c>
      <c r="Q86" s="17">
        <v>0</v>
      </c>
      <c r="R86" s="17">
        <v>0</v>
      </c>
      <c r="S86" s="17">
        <v>0</v>
      </c>
      <c r="T86" s="17">
        <v>0</v>
      </c>
    </row>
    <row r="87" spans="2:20" hidden="1" outlineLevel="1">
      <c r="B87" s="15" t="str">
        <f>"Current Case - "&amp;CHOOSE($K$4,B84,B85,B86)</f>
        <v>Current Case - Management Case</v>
      </c>
      <c r="C87" s="16"/>
      <c r="D87" s="16"/>
      <c r="E87" s="16"/>
      <c r="F87" s="16"/>
      <c r="G87" s="16"/>
      <c r="H87" s="16"/>
      <c r="I87" s="16"/>
      <c r="J87" s="16"/>
      <c r="K87" s="37">
        <f>CHOOSE($K$4,K84,K85,K86)</f>
        <v>0</v>
      </c>
      <c r="L87" s="37">
        <f>CHOOSE($K$4,L84,L85,L86)</f>
        <v>0</v>
      </c>
      <c r="M87" s="37">
        <f>CHOOSE($K$4,M84,M85,M86)</f>
        <v>0</v>
      </c>
      <c r="N87" s="37">
        <f>CHOOSE($K$4,N84,N85,N86)</f>
        <v>0</v>
      </c>
      <c r="O87" s="37">
        <f>CHOOSE($K$4,O84,O85,O86)</f>
        <v>0</v>
      </c>
      <c r="P87" s="37">
        <f t="shared" ref="P87:T87" si="41">CHOOSE($K$4,P84,P85,P86)</f>
        <v>0</v>
      </c>
      <c r="Q87" s="37">
        <f t="shared" si="41"/>
        <v>0</v>
      </c>
      <c r="R87" s="37">
        <f t="shared" si="41"/>
        <v>0</v>
      </c>
      <c r="S87" s="37">
        <f t="shared" si="41"/>
        <v>0</v>
      </c>
      <c r="T87" s="37">
        <f t="shared" si="41"/>
        <v>0</v>
      </c>
    </row>
    <row r="88" spans="2:20" hidden="1" outlineLevel="1">
      <c r="K88" s="190"/>
      <c r="L88" s="190"/>
      <c r="M88" s="190"/>
      <c r="N88" s="190"/>
      <c r="O88" s="190"/>
      <c r="P88" s="190"/>
      <c r="Q88" s="190"/>
      <c r="R88" s="190"/>
      <c r="S88" s="190"/>
      <c r="T88" s="190"/>
    </row>
    <row r="89" spans="2:20" hidden="1" outlineLevel="1">
      <c r="B89" s="26" t="s">
        <v>618</v>
      </c>
      <c r="C89" s="27"/>
      <c r="D89" s="27"/>
      <c r="E89" s="27"/>
      <c r="F89" s="27"/>
      <c r="G89" s="27"/>
      <c r="H89" s="27"/>
      <c r="I89" s="27"/>
      <c r="J89" s="27"/>
      <c r="K89" s="27"/>
      <c r="L89" s="27"/>
      <c r="M89" s="27"/>
      <c r="N89" s="27"/>
      <c r="O89" s="27"/>
      <c r="P89" s="27"/>
      <c r="Q89" s="27"/>
      <c r="R89" s="27"/>
      <c r="S89" s="27"/>
      <c r="T89" s="27"/>
    </row>
    <row r="90" spans="2:20" hidden="1" outlineLevel="1">
      <c r="B90" s="14" t="s">
        <v>22</v>
      </c>
      <c r="C90" s="13"/>
      <c r="D90" s="13"/>
      <c r="E90" s="13"/>
      <c r="F90" s="13"/>
      <c r="G90" s="13"/>
      <c r="H90" s="13"/>
      <c r="I90" s="13"/>
      <c r="J90" s="17"/>
      <c r="K90" s="17">
        <v>0</v>
      </c>
      <c r="L90" s="17">
        <v>0</v>
      </c>
      <c r="M90" s="17">
        <v>0</v>
      </c>
      <c r="N90" s="17">
        <v>0</v>
      </c>
      <c r="O90" s="17">
        <v>0</v>
      </c>
      <c r="P90" s="17">
        <v>0</v>
      </c>
      <c r="Q90" s="17">
        <v>0</v>
      </c>
      <c r="R90" s="17">
        <v>0</v>
      </c>
      <c r="S90" s="17">
        <v>0</v>
      </c>
      <c r="T90" s="17">
        <v>0</v>
      </c>
    </row>
    <row r="91" spans="2:20" hidden="1" outlineLevel="1">
      <c r="B91" s="14" t="s">
        <v>23</v>
      </c>
      <c r="C91" s="13"/>
      <c r="D91" s="13"/>
      <c r="E91" s="13"/>
      <c r="F91" s="13"/>
      <c r="G91" s="13"/>
      <c r="H91" s="13"/>
      <c r="I91" s="13"/>
      <c r="J91" s="13"/>
      <c r="K91" s="17">
        <v>0</v>
      </c>
      <c r="L91" s="17">
        <v>0</v>
      </c>
      <c r="M91" s="17">
        <v>0</v>
      </c>
      <c r="N91" s="17">
        <v>0</v>
      </c>
      <c r="O91" s="17">
        <v>0</v>
      </c>
      <c r="P91" s="17">
        <v>0</v>
      </c>
      <c r="Q91" s="17">
        <v>0</v>
      </c>
      <c r="R91" s="17">
        <v>0</v>
      </c>
      <c r="S91" s="17">
        <v>0</v>
      </c>
      <c r="T91" s="17">
        <v>0</v>
      </c>
    </row>
    <row r="92" spans="2:20" hidden="1" outlineLevel="1">
      <c r="B92" s="14" t="s">
        <v>24</v>
      </c>
      <c r="C92" s="13"/>
      <c r="D92" s="13"/>
      <c r="E92" s="13"/>
      <c r="F92" s="13"/>
      <c r="G92" s="13"/>
      <c r="H92" s="13"/>
      <c r="I92" s="13"/>
      <c r="J92" s="13"/>
      <c r="K92" s="17">
        <v>0</v>
      </c>
      <c r="L92" s="17">
        <v>0</v>
      </c>
      <c r="M92" s="17">
        <v>0</v>
      </c>
      <c r="N92" s="17">
        <v>0</v>
      </c>
      <c r="O92" s="17">
        <v>0</v>
      </c>
      <c r="P92" s="17">
        <v>0</v>
      </c>
      <c r="Q92" s="17">
        <v>0</v>
      </c>
      <c r="R92" s="17">
        <v>0</v>
      </c>
      <c r="S92" s="17">
        <v>0</v>
      </c>
      <c r="T92" s="17">
        <v>0</v>
      </c>
    </row>
    <row r="93" spans="2:20" hidden="1" outlineLevel="1">
      <c r="B93" s="15" t="str">
        <f>"Current Case - "&amp;CHOOSE($K$4,B90,B91,B92)</f>
        <v>Current Case - Management Case</v>
      </c>
      <c r="C93" s="16"/>
      <c r="D93" s="16"/>
      <c r="E93" s="16"/>
      <c r="F93" s="16"/>
      <c r="G93" s="16"/>
      <c r="H93" s="16"/>
      <c r="I93" s="16"/>
      <c r="J93" s="16"/>
      <c r="K93" s="37">
        <f>CHOOSE($K$4,K90,K91,K92)</f>
        <v>0</v>
      </c>
      <c r="L93" s="37">
        <f>CHOOSE($K$4,L90,L91,L92)</f>
        <v>0</v>
      </c>
      <c r="M93" s="37">
        <f>CHOOSE($K$4,M90,M91,M92)</f>
        <v>0</v>
      </c>
      <c r="N93" s="37">
        <f>CHOOSE($K$4,N90,N91,N92)</f>
        <v>0</v>
      </c>
      <c r="O93" s="37">
        <f>CHOOSE($K$4,O90,O91,O92)</f>
        <v>0</v>
      </c>
      <c r="P93" s="37">
        <f t="shared" ref="P93:T93" si="42">CHOOSE($K$4,P90,P91,P92)</f>
        <v>0</v>
      </c>
      <c r="Q93" s="37">
        <f t="shared" si="42"/>
        <v>0</v>
      </c>
      <c r="R93" s="37">
        <f t="shared" si="42"/>
        <v>0</v>
      </c>
      <c r="S93" s="37">
        <f t="shared" si="42"/>
        <v>0</v>
      </c>
      <c r="T93" s="37">
        <f t="shared" si="42"/>
        <v>0</v>
      </c>
    </row>
    <row r="94" spans="2:20" hidden="1" outlineLevel="1">
      <c r="K94" s="190"/>
      <c r="L94" s="190"/>
      <c r="M94" s="190"/>
      <c r="N94" s="190"/>
      <c r="O94" s="190"/>
      <c r="P94" s="190"/>
      <c r="Q94" s="190"/>
      <c r="R94" s="190"/>
      <c r="S94" s="190"/>
      <c r="T94" s="190"/>
    </row>
    <row r="95" spans="2:20" hidden="1" outlineLevel="1">
      <c r="B95" s="26" t="s">
        <v>656</v>
      </c>
      <c r="C95" s="27"/>
      <c r="D95" s="27"/>
      <c r="E95" s="27"/>
      <c r="F95" s="27"/>
      <c r="G95" s="27"/>
      <c r="H95" s="27"/>
      <c r="I95" s="27"/>
      <c r="J95" s="27"/>
      <c r="K95" s="27"/>
      <c r="L95" s="27"/>
      <c r="M95" s="27"/>
      <c r="N95" s="27"/>
      <c r="O95" s="27"/>
      <c r="P95" s="27"/>
      <c r="Q95" s="27"/>
      <c r="R95" s="27"/>
      <c r="S95" s="27"/>
      <c r="T95" s="27"/>
    </row>
    <row r="96" spans="2:20" hidden="1" outlineLevel="1">
      <c r="B96" s="14" t="s">
        <v>22</v>
      </c>
      <c r="C96" s="13"/>
      <c r="D96" s="13"/>
      <c r="E96" s="13"/>
      <c r="F96" s="13"/>
      <c r="G96" s="13"/>
      <c r="H96" s="13"/>
      <c r="I96" s="13"/>
      <c r="J96" s="17"/>
      <c r="K96" s="17">
        <v>0</v>
      </c>
      <c r="L96" s="17">
        <v>0</v>
      </c>
      <c r="M96" s="17">
        <v>0</v>
      </c>
      <c r="N96" s="17">
        <v>0</v>
      </c>
      <c r="O96" s="17">
        <v>0</v>
      </c>
      <c r="P96" s="17">
        <v>0</v>
      </c>
      <c r="Q96" s="17">
        <v>0</v>
      </c>
      <c r="R96" s="17">
        <v>0</v>
      </c>
      <c r="S96" s="17">
        <v>0</v>
      </c>
      <c r="T96" s="17">
        <v>0</v>
      </c>
    </row>
    <row r="97" spans="2:20" hidden="1" outlineLevel="1">
      <c r="B97" s="14" t="s">
        <v>23</v>
      </c>
      <c r="C97" s="13"/>
      <c r="D97" s="13"/>
      <c r="E97" s="13"/>
      <c r="F97" s="13"/>
      <c r="G97" s="13"/>
      <c r="H97" s="13"/>
      <c r="I97" s="13"/>
      <c r="J97" s="13"/>
      <c r="K97" s="17">
        <v>0</v>
      </c>
      <c r="L97" s="17">
        <v>0</v>
      </c>
      <c r="M97" s="17">
        <v>0</v>
      </c>
      <c r="N97" s="17">
        <v>0</v>
      </c>
      <c r="O97" s="17">
        <v>0</v>
      </c>
      <c r="P97" s="17">
        <v>0</v>
      </c>
      <c r="Q97" s="17">
        <v>0</v>
      </c>
      <c r="R97" s="17">
        <v>0</v>
      </c>
      <c r="S97" s="17">
        <v>0</v>
      </c>
      <c r="T97" s="17">
        <v>0</v>
      </c>
    </row>
    <row r="98" spans="2:20" hidden="1" outlineLevel="1">
      <c r="B98" s="14" t="s">
        <v>24</v>
      </c>
      <c r="C98" s="13"/>
      <c r="D98" s="13"/>
      <c r="E98" s="13"/>
      <c r="F98" s="13"/>
      <c r="G98" s="13"/>
      <c r="H98" s="13"/>
      <c r="I98" s="13"/>
      <c r="J98" s="13"/>
      <c r="K98" s="17">
        <v>0</v>
      </c>
      <c r="L98" s="17">
        <v>0</v>
      </c>
      <c r="M98" s="17">
        <v>0</v>
      </c>
      <c r="N98" s="17">
        <v>0</v>
      </c>
      <c r="O98" s="17">
        <v>0</v>
      </c>
      <c r="P98" s="17">
        <v>0</v>
      </c>
      <c r="Q98" s="17">
        <v>0</v>
      </c>
      <c r="R98" s="17">
        <v>0</v>
      </c>
      <c r="S98" s="17">
        <v>0</v>
      </c>
      <c r="T98" s="17">
        <v>0</v>
      </c>
    </row>
    <row r="99" spans="2:20" hidden="1" outlineLevel="1">
      <c r="B99" s="15" t="str">
        <f>"Current Case - "&amp;CHOOSE($K$4,B96,B97,B98)</f>
        <v>Current Case - Management Case</v>
      </c>
      <c r="C99" s="16"/>
      <c r="D99" s="16"/>
      <c r="E99" s="16"/>
      <c r="F99" s="16"/>
      <c r="G99" s="16"/>
      <c r="H99" s="16"/>
      <c r="I99" s="16"/>
      <c r="J99" s="16"/>
      <c r="K99" s="37">
        <f>CHOOSE($K$4,K96,K97,K98)</f>
        <v>0</v>
      </c>
      <c r="L99" s="37">
        <f>CHOOSE($K$4,L96,L97,L98)</f>
        <v>0</v>
      </c>
      <c r="M99" s="37">
        <f>CHOOSE($K$4,M96,M97,M98)</f>
        <v>0</v>
      </c>
      <c r="N99" s="37">
        <f>CHOOSE($K$4,N96,N97,N98)</f>
        <v>0</v>
      </c>
      <c r="O99" s="37">
        <f>CHOOSE($K$4,O96,O97,O98)</f>
        <v>0</v>
      </c>
      <c r="P99" s="37">
        <f t="shared" ref="P99:T99" si="43">CHOOSE($K$4,P96,P97,P98)</f>
        <v>0</v>
      </c>
      <c r="Q99" s="37">
        <f t="shared" si="43"/>
        <v>0</v>
      </c>
      <c r="R99" s="37">
        <f t="shared" si="43"/>
        <v>0</v>
      </c>
      <c r="S99" s="37">
        <f t="shared" si="43"/>
        <v>0</v>
      </c>
      <c r="T99" s="37">
        <f t="shared" si="43"/>
        <v>0</v>
      </c>
    </row>
    <row r="100" spans="2:20" hidden="1" outlineLevel="1">
      <c r="K100" s="190"/>
      <c r="L100" s="190"/>
      <c r="M100" s="190"/>
      <c r="N100" s="190"/>
      <c r="O100" s="190"/>
      <c r="P100" s="190"/>
      <c r="Q100" s="190"/>
      <c r="R100" s="190"/>
      <c r="S100" s="190"/>
      <c r="T100" s="190"/>
    </row>
    <row r="101" spans="2:20" hidden="1" outlineLevel="1">
      <c r="B101" s="26" t="s">
        <v>660</v>
      </c>
      <c r="C101" s="27"/>
      <c r="D101" s="27"/>
      <c r="E101" s="27"/>
      <c r="F101" s="27"/>
      <c r="G101" s="27"/>
      <c r="H101" s="27"/>
      <c r="I101" s="27"/>
      <c r="J101" s="27"/>
      <c r="K101" s="27"/>
      <c r="L101" s="27"/>
      <c r="M101" s="27"/>
      <c r="N101" s="27"/>
      <c r="O101" s="27"/>
      <c r="P101" s="27"/>
      <c r="Q101" s="27"/>
      <c r="R101" s="27"/>
      <c r="S101" s="27"/>
      <c r="T101" s="27"/>
    </row>
    <row r="102" spans="2:20" hidden="1" outlineLevel="1">
      <c r="B102" s="14" t="s">
        <v>22</v>
      </c>
      <c r="C102" s="13"/>
      <c r="D102" s="13"/>
      <c r="E102" s="13"/>
      <c r="F102" s="13"/>
      <c r="G102" s="13"/>
      <c r="H102" s="13"/>
      <c r="I102" s="13"/>
      <c r="J102" s="17"/>
      <c r="K102" s="17">
        <v>0</v>
      </c>
      <c r="L102" s="17">
        <v>0</v>
      </c>
      <c r="M102" s="17">
        <v>0</v>
      </c>
      <c r="N102" s="17">
        <v>0</v>
      </c>
      <c r="O102" s="17">
        <v>0</v>
      </c>
      <c r="P102" s="17">
        <v>0</v>
      </c>
      <c r="Q102" s="17">
        <v>0</v>
      </c>
      <c r="R102" s="17">
        <v>0</v>
      </c>
      <c r="S102" s="17">
        <v>0</v>
      </c>
      <c r="T102" s="17">
        <v>0</v>
      </c>
    </row>
    <row r="103" spans="2:20" hidden="1" outlineLevel="1">
      <c r="B103" s="14" t="s">
        <v>23</v>
      </c>
      <c r="C103" s="13"/>
      <c r="D103" s="13"/>
      <c r="E103" s="13"/>
      <c r="F103" s="13"/>
      <c r="G103" s="13"/>
      <c r="H103" s="13"/>
      <c r="I103" s="13"/>
      <c r="J103" s="13"/>
      <c r="K103" s="17">
        <v>0</v>
      </c>
      <c r="L103" s="17">
        <v>0</v>
      </c>
      <c r="M103" s="17">
        <v>0</v>
      </c>
      <c r="N103" s="17">
        <v>0</v>
      </c>
      <c r="O103" s="17">
        <v>0</v>
      </c>
      <c r="P103" s="17">
        <v>0</v>
      </c>
      <c r="Q103" s="17">
        <v>0</v>
      </c>
      <c r="R103" s="17">
        <v>0</v>
      </c>
      <c r="S103" s="17">
        <v>0</v>
      </c>
      <c r="T103" s="17">
        <v>0</v>
      </c>
    </row>
    <row r="104" spans="2:20" hidden="1" outlineLevel="1">
      <c r="B104" s="14" t="s">
        <v>24</v>
      </c>
      <c r="C104" s="13"/>
      <c r="D104" s="13"/>
      <c r="E104" s="13"/>
      <c r="F104" s="13"/>
      <c r="G104" s="13"/>
      <c r="H104" s="13"/>
      <c r="I104" s="13"/>
      <c r="J104" s="13"/>
      <c r="K104" s="17">
        <v>0</v>
      </c>
      <c r="L104" s="17">
        <v>0</v>
      </c>
      <c r="M104" s="17">
        <v>0</v>
      </c>
      <c r="N104" s="17">
        <v>0</v>
      </c>
      <c r="O104" s="17">
        <v>0</v>
      </c>
      <c r="P104" s="17">
        <v>0</v>
      </c>
      <c r="Q104" s="17">
        <v>0</v>
      </c>
      <c r="R104" s="17">
        <v>0</v>
      </c>
      <c r="S104" s="17">
        <v>0</v>
      </c>
      <c r="T104" s="17">
        <v>0</v>
      </c>
    </row>
    <row r="105" spans="2:20" hidden="1" outlineLevel="1">
      <c r="B105" s="15" t="str">
        <f>"Current Case - "&amp;CHOOSE($K$4,B102,B103,B104)</f>
        <v>Current Case - Management Case</v>
      </c>
      <c r="C105" s="16"/>
      <c r="D105" s="16"/>
      <c r="E105" s="16"/>
      <c r="F105" s="16"/>
      <c r="G105" s="16"/>
      <c r="H105" s="16"/>
      <c r="I105" s="16"/>
      <c r="J105" s="16"/>
      <c r="K105" s="37">
        <f>CHOOSE($K$4,K102,K103,K104)</f>
        <v>0</v>
      </c>
      <c r="L105" s="37">
        <f>CHOOSE($K$4,L102,L103,L104)</f>
        <v>0</v>
      </c>
      <c r="M105" s="37">
        <f>CHOOSE($K$4,M102,M103,M104)</f>
        <v>0</v>
      </c>
      <c r="N105" s="37">
        <f>CHOOSE($K$4,N102,N103,N104)</f>
        <v>0</v>
      </c>
      <c r="O105" s="37">
        <f>CHOOSE($K$4,O102,O103,O104)</f>
        <v>0</v>
      </c>
      <c r="P105" s="37">
        <f t="shared" ref="P105:T105" si="44">CHOOSE($K$4,P102,P103,P104)</f>
        <v>0</v>
      </c>
      <c r="Q105" s="37">
        <f t="shared" si="44"/>
        <v>0</v>
      </c>
      <c r="R105" s="37">
        <f t="shared" si="44"/>
        <v>0</v>
      </c>
      <c r="S105" s="37">
        <f t="shared" si="44"/>
        <v>0</v>
      </c>
      <c r="T105" s="37">
        <f t="shared" si="44"/>
        <v>0</v>
      </c>
    </row>
    <row r="106" spans="2:20" hidden="1" outlineLevel="1">
      <c r="B106" s="18"/>
      <c r="K106" s="180"/>
      <c r="L106" s="180"/>
      <c r="M106" s="180"/>
      <c r="N106" s="180"/>
      <c r="O106" s="180"/>
      <c r="P106" s="180"/>
      <c r="Q106" s="180"/>
      <c r="R106" s="180"/>
      <c r="S106" s="180"/>
      <c r="T106" s="180"/>
    </row>
    <row r="107" spans="2:20" hidden="1" outlineLevel="1">
      <c r="B107" s="26" t="s">
        <v>665</v>
      </c>
      <c r="C107" s="27"/>
      <c r="D107" s="27"/>
      <c r="E107" s="27"/>
      <c r="F107" s="27"/>
      <c r="G107" s="27"/>
      <c r="H107" s="27"/>
      <c r="I107" s="27"/>
      <c r="J107" s="27"/>
      <c r="K107" s="27"/>
      <c r="L107" s="27"/>
      <c r="M107" s="27"/>
      <c r="N107" s="27"/>
      <c r="O107" s="27"/>
      <c r="P107" s="27"/>
      <c r="Q107" s="27"/>
      <c r="R107" s="27"/>
      <c r="S107" s="27"/>
      <c r="T107" s="27"/>
    </row>
    <row r="108" spans="2:20" hidden="1" outlineLevel="1">
      <c r="B108" s="14" t="s">
        <v>22</v>
      </c>
      <c r="C108" s="13"/>
      <c r="D108" s="13"/>
      <c r="E108" s="13"/>
      <c r="F108" s="13"/>
      <c r="G108" s="13"/>
      <c r="H108" s="13"/>
      <c r="I108" s="13"/>
      <c r="J108" s="17"/>
      <c r="K108" s="17">
        <v>0</v>
      </c>
      <c r="L108" s="17">
        <v>0</v>
      </c>
      <c r="M108" s="17">
        <v>0</v>
      </c>
      <c r="N108" s="17">
        <v>0</v>
      </c>
      <c r="O108" s="17">
        <v>0</v>
      </c>
      <c r="P108" s="17">
        <v>0</v>
      </c>
      <c r="Q108" s="17">
        <v>0</v>
      </c>
      <c r="R108" s="17">
        <v>0</v>
      </c>
      <c r="S108" s="17">
        <v>0</v>
      </c>
      <c r="T108" s="17">
        <v>0</v>
      </c>
    </row>
    <row r="109" spans="2:20" hidden="1" outlineLevel="1">
      <c r="B109" s="14" t="s">
        <v>23</v>
      </c>
      <c r="C109" s="13"/>
      <c r="D109" s="13"/>
      <c r="E109" s="13"/>
      <c r="F109" s="13"/>
      <c r="G109" s="13"/>
      <c r="H109" s="13"/>
      <c r="I109" s="13"/>
      <c r="J109" s="13"/>
      <c r="K109" s="17">
        <v>0</v>
      </c>
      <c r="L109" s="17">
        <v>0</v>
      </c>
      <c r="M109" s="17">
        <v>0</v>
      </c>
      <c r="N109" s="17">
        <v>0</v>
      </c>
      <c r="O109" s="17">
        <v>0</v>
      </c>
      <c r="P109" s="17">
        <v>0</v>
      </c>
      <c r="Q109" s="17">
        <v>0</v>
      </c>
      <c r="R109" s="17">
        <v>0</v>
      </c>
      <c r="S109" s="17">
        <v>0</v>
      </c>
      <c r="T109" s="17">
        <v>0</v>
      </c>
    </row>
    <row r="110" spans="2:20" hidden="1" outlineLevel="1">
      <c r="B110" s="14" t="s">
        <v>24</v>
      </c>
      <c r="C110" s="13"/>
      <c r="D110" s="13"/>
      <c r="E110" s="13"/>
      <c r="F110" s="13"/>
      <c r="G110" s="13"/>
      <c r="H110" s="13"/>
      <c r="I110" s="13"/>
      <c r="J110" s="13"/>
      <c r="K110" s="17">
        <v>0</v>
      </c>
      <c r="L110" s="17">
        <v>0</v>
      </c>
      <c r="M110" s="17">
        <v>0</v>
      </c>
      <c r="N110" s="17">
        <v>0</v>
      </c>
      <c r="O110" s="17">
        <v>0</v>
      </c>
      <c r="P110" s="17">
        <v>0</v>
      </c>
      <c r="Q110" s="17">
        <v>0</v>
      </c>
      <c r="R110" s="17">
        <v>0</v>
      </c>
      <c r="S110" s="17">
        <v>0</v>
      </c>
      <c r="T110" s="17">
        <v>0</v>
      </c>
    </row>
    <row r="111" spans="2:20" hidden="1" outlineLevel="1">
      <c r="B111" s="15" t="str">
        <f>"Current Case - "&amp;CHOOSE($K$4,B108,B109,B110)</f>
        <v>Current Case - Management Case</v>
      </c>
      <c r="C111" s="16"/>
      <c r="D111" s="16"/>
      <c r="E111" s="16"/>
      <c r="F111" s="16"/>
      <c r="G111" s="16"/>
      <c r="H111" s="16"/>
      <c r="I111" s="16"/>
      <c r="J111" s="16"/>
      <c r="K111" s="37">
        <f>CHOOSE($K$4,K108,K109,K110)</f>
        <v>0</v>
      </c>
      <c r="L111" s="37">
        <f>CHOOSE($K$4,L108,L109,L110)</f>
        <v>0</v>
      </c>
      <c r="M111" s="37">
        <f>CHOOSE($K$4,M108,M109,M110)</f>
        <v>0</v>
      </c>
      <c r="N111" s="37">
        <f>CHOOSE($K$4,N108,N109,N110)</f>
        <v>0</v>
      </c>
      <c r="O111" s="37">
        <f>CHOOSE($K$4,O108,O109,O110)</f>
        <v>0</v>
      </c>
      <c r="P111" s="37">
        <f t="shared" ref="P111:T111" si="45">CHOOSE($K$4,P108,P109,P110)</f>
        <v>0</v>
      </c>
      <c r="Q111" s="37">
        <f t="shared" si="45"/>
        <v>0</v>
      </c>
      <c r="R111" s="37">
        <f t="shared" si="45"/>
        <v>0</v>
      </c>
      <c r="S111" s="37">
        <f t="shared" si="45"/>
        <v>0</v>
      </c>
      <c r="T111" s="37">
        <f t="shared" si="45"/>
        <v>0</v>
      </c>
    </row>
    <row r="112" spans="2:20" hidden="1" outlineLevel="1">
      <c r="B112" s="18"/>
      <c r="K112" s="180"/>
      <c r="L112" s="180"/>
      <c r="M112" s="180"/>
      <c r="N112" s="180"/>
      <c r="O112" s="180"/>
      <c r="P112" s="180"/>
      <c r="Q112" s="180"/>
      <c r="R112" s="180"/>
      <c r="S112" s="180"/>
      <c r="T112" s="180"/>
    </row>
    <row r="113" spans="1:20" hidden="1" outlineLevel="1">
      <c r="B113" s="26" t="s">
        <v>657</v>
      </c>
      <c r="C113" s="27"/>
      <c r="D113" s="27"/>
      <c r="E113" s="27"/>
      <c r="F113" s="27"/>
      <c r="G113" s="27"/>
      <c r="H113" s="27"/>
      <c r="I113" s="27"/>
      <c r="J113" s="27"/>
      <c r="K113" s="27"/>
      <c r="L113" s="27"/>
      <c r="M113" s="27"/>
      <c r="N113" s="27"/>
      <c r="O113" s="27"/>
      <c r="P113" s="27"/>
      <c r="Q113" s="27"/>
      <c r="R113" s="27"/>
      <c r="S113" s="27"/>
      <c r="T113" s="27"/>
    </row>
    <row r="114" spans="1:20" hidden="1" outlineLevel="1">
      <c r="B114" s="14" t="s">
        <v>22</v>
      </c>
      <c r="C114" s="13"/>
      <c r="D114" s="13"/>
      <c r="E114" s="13"/>
      <c r="F114" s="13"/>
      <c r="G114" s="13"/>
      <c r="H114" s="13"/>
      <c r="I114" s="13"/>
      <c r="J114" s="17"/>
      <c r="K114" s="17">
        <v>0</v>
      </c>
      <c r="L114" s="17">
        <v>0</v>
      </c>
      <c r="M114" s="17">
        <v>0</v>
      </c>
      <c r="N114" s="17">
        <v>0</v>
      </c>
      <c r="O114" s="17">
        <v>0</v>
      </c>
      <c r="P114" s="17">
        <v>0</v>
      </c>
      <c r="Q114" s="17">
        <v>0</v>
      </c>
      <c r="R114" s="17">
        <v>0</v>
      </c>
      <c r="S114" s="17">
        <v>0</v>
      </c>
      <c r="T114" s="17">
        <v>0</v>
      </c>
    </row>
    <row r="115" spans="1:20" hidden="1" outlineLevel="1">
      <c r="B115" s="14" t="s">
        <v>23</v>
      </c>
      <c r="C115" s="13"/>
      <c r="D115" s="13"/>
      <c r="E115" s="13"/>
      <c r="F115" s="13"/>
      <c r="G115" s="13"/>
      <c r="H115" s="13"/>
      <c r="I115" s="13"/>
      <c r="J115" s="13"/>
      <c r="K115" s="17">
        <v>0</v>
      </c>
      <c r="L115" s="17">
        <v>0</v>
      </c>
      <c r="M115" s="17">
        <v>0</v>
      </c>
      <c r="N115" s="17">
        <v>0</v>
      </c>
      <c r="O115" s="17">
        <v>0</v>
      </c>
      <c r="P115" s="17">
        <v>0</v>
      </c>
      <c r="Q115" s="17">
        <v>0</v>
      </c>
      <c r="R115" s="17">
        <v>0</v>
      </c>
      <c r="S115" s="17">
        <v>0</v>
      </c>
      <c r="T115" s="17">
        <v>0</v>
      </c>
    </row>
    <row r="116" spans="1:20" hidden="1" outlineLevel="1">
      <c r="B116" s="14" t="s">
        <v>24</v>
      </c>
      <c r="C116" s="13"/>
      <c r="D116" s="13"/>
      <c r="E116" s="13"/>
      <c r="F116" s="13"/>
      <c r="G116" s="13"/>
      <c r="H116" s="13"/>
      <c r="I116" s="13"/>
      <c r="J116" s="13"/>
      <c r="K116" s="17">
        <v>0</v>
      </c>
      <c r="L116" s="17">
        <v>0</v>
      </c>
      <c r="M116" s="17">
        <v>0</v>
      </c>
      <c r="N116" s="17">
        <v>0</v>
      </c>
      <c r="O116" s="17">
        <v>0</v>
      </c>
      <c r="P116" s="17">
        <v>0</v>
      </c>
      <c r="Q116" s="17">
        <v>0</v>
      </c>
      <c r="R116" s="17">
        <v>0</v>
      </c>
      <c r="S116" s="17">
        <v>0</v>
      </c>
      <c r="T116" s="17">
        <v>0</v>
      </c>
    </row>
    <row r="117" spans="1:20" hidden="1" outlineLevel="1">
      <c r="B117" s="15" t="str">
        <f>"Current Case - "&amp;CHOOSE($K$4,B114,B115,B116)</f>
        <v>Current Case - Management Case</v>
      </c>
      <c r="C117" s="16"/>
      <c r="D117" s="16"/>
      <c r="E117" s="16"/>
      <c r="F117" s="16"/>
      <c r="G117" s="16"/>
      <c r="H117" s="16"/>
      <c r="I117" s="16"/>
      <c r="J117" s="16"/>
      <c r="K117" s="37">
        <f>CHOOSE($K$4,K114,K115,K116)</f>
        <v>0</v>
      </c>
      <c r="L117" s="37">
        <f>CHOOSE($K$4,L114,L115,L116)</f>
        <v>0</v>
      </c>
      <c r="M117" s="37">
        <f>CHOOSE($K$4,M114,M115,M116)</f>
        <v>0</v>
      </c>
      <c r="N117" s="37">
        <f>CHOOSE($K$4,N114,N115,N116)</f>
        <v>0</v>
      </c>
      <c r="O117" s="37">
        <f>CHOOSE($K$4,O114,O115,O116)</f>
        <v>0</v>
      </c>
      <c r="P117" s="37">
        <f t="shared" ref="P117:T117" si="46">CHOOSE($K$4,P114,P115,P116)</f>
        <v>0</v>
      </c>
      <c r="Q117" s="37">
        <f t="shared" si="46"/>
        <v>0</v>
      </c>
      <c r="R117" s="37">
        <f t="shared" si="46"/>
        <v>0</v>
      </c>
      <c r="S117" s="37">
        <f t="shared" si="46"/>
        <v>0</v>
      </c>
      <c r="T117" s="37">
        <f t="shared" si="46"/>
        <v>0</v>
      </c>
    </row>
    <row r="118" spans="1:20" collapsed="1"/>
    <row r="119" spans="1:20" ht="18">
      <c r="A119" t="s">
        <v>21</v>
      </c>
      <c r="B119" s="25" t="s">
        <v>752</v>
      </c>
      <c r="C119" s="11"/>
      <c r="D119" s="11"/>
      <c r="E119" s="11"/>
      <c r="F119" s="11"/>
      <c r="G119" s="11"/>
      <c r="H119" s="11"/>
      <c r="I119" s="11"/>
      <c r="J119" s="11"/>
      <c r="K119" s="11"/>
      <c r="L119" s="11"/>
      <c r="M119" s="11"/>
      <c r="N119" s="11"/>
      <c r="O119" s="11"/>
      <c r="P119" s="11"/>
      <c r="Q119" s="11"/>
      <c r="R119" s="11"/>
      <c r="S119" s="11"/>
      <c r="T119" s="11"/>
    </row>
    <row r="120" spans="1:20" hidden="1" outlineLevel="1"/>
    <row r="121" spans="1:20" hidden="1" outlineLevel="1">
      <c r="B121" s="26" t="s">
        <v>31</v>
      </c>
      <c r="C121" s="27"/>
      <c r="D121" s="27"/>
      <c r="E121" s="27"/>
      <c r="F121" s="27"/>
      <c r="G121" s="27"/>
      <c r="H121" s="27"/>
      <c r="I121" s="27"/>
      <c r="J121" s="27"/>
      <c r="K121" s="27"/>
      <c r="L121" s="27"/>
      <c r="M121" s="27"/>
      <c r="N121" s="27"/>
      <c r="O121" s="27"/>
      <c r="P121" s="27"/>
      <c r="Q121" s="27"/>
      <c r="R121" s="27"/>
      <c r="S121" s="27"/>
      <c r="T121" s="27"/>
    </row>
    <row r="122" spans="1:20" hidden="1" outlineLevel="1">
      <c r="B122" s="14" t="s">
        <v>22</v>
      </c>
      <c r="C122" s="13"/>
      <c r="D122" s="13"/>
      <c r="E122" s="13"/>
      <c r="F122" s="13"/>
      <c r="G122" s="13"/>
      <c r="H122" s="13"/>
      <c r="I122" s="13"/>
      <c r="J122" s="17"/>
      <c r="K122" s="17">
        <v>0.25119999999999998</v>
      </c>
      <c r="L122" s="17">
        <v>0.25119999999999998</v>
      </c>
      <c r="M122" s="17">
        <v>0.25119999999999998</v>
      </c>
      <c r="N122" s="17">
        <v>0.25119999999999998</v>
      </c>
      <c r="O122" s="17">
        <v>0.25119999999999998</v>
      </c>
      <c r="P122" s="17">
        <v>0.25119999999999998</v>
      </c>
      <c r="Q122" s="17">
        <v>0.25119999999999998</v>
      </c>
      <c r="R122" s="17">
        <v>0.25119999999999998</v>
      </c>
      <c r="S122" s="17">
        <v>0.25119999999999998</v>
      </c>
      <c r="T122" s="17">
        <v>0.25119999999999998</v>
      </c>
    </row>
    <row r="123" spans="1:20" hidden="1" outlineLevel="1">
      <c r="B123" s="14" t="s">
        <v>23</v>
      </c>
      <c r="C123" s="13"/>
      <c r="D123" s="13"/>
      <c r="E123" s="13"/>
      <c r="F123" s="13"/>
      <c r="G123" s="13"/>
      <c r="H123" s="13"/>
      <c r="I123" s="13"/>
      <c r="J123" s="13"/>
      <c r="K123" s="17">
        <v>0.25119999999999998</v>
      </c>
      <c r="L123" s="17">
        <v>0.25119999999999998</v>
      </c>
      <c r="M123" s="17">
        <v>0.25119999999999998</v>
      </c>
      <c r="N123" s="17">
        <v>0.25119999999999998</v>
      </c>
      <c r="O123" s="17">
        <v>0.25119999999999998</v>
      </c>
      <c r="P123" s="17">
        <v>0.25119999999999998</v>
      </c>
      <c r="Q123" s="17">
        <v>0.25119999999999998</v>
      </c>
      <c r="R123" s="17">
        <v>0.25119999999999998</v>
      </c>
      <c r="S123" s="17">
        <v>0.25119999999999998</v>
      </c>
      <c r="T123" s="17">
        <v>0.25119999999999998</v>
      </c>
    </row>
    <row r="124" spans="1:20" hidden="1" outlineLevel="1">
      <c r="B124" s="14" t="s">
        <v>24</v>
      </c>
      <c r="C124" s="13"/>
      <c r="D124" s="13"/>
      <c r="E124" s="13"/>
      <c r="F124" s="13"/>
      <c r="G124" s="13"/>
      <c r="H124" s="13"/>
      <c r="I124" s="13"/>
      <c r="J124" s="13"/>
      <c r="K124" s="17">
        <v>0.25119999999999998</v>
      </c>
      <c r="L124" s="17">
        <v>0.25119999999999998</v>
      </c>
      <c r="M124" s="17">
        <v>0.25119999999999998</v>
      </c>
      <c r="N124" s="17">
        <v>0.25119999999999998</v>
      </c>
      <c r="O124" s="17">
        <v>0.25119999999999998</v>
      </c>
      <c r="P124" s="17">
        <v>0.25119999999999998</v>
      </c>
      <c r="Q124" s="17">
        <v>0.25119999999999998</v>
      </c>
      <c r="R124" s="17">
        <v>0.25119999999999998</v>
      </c>
      <c r="S124" s="17">
        <v>0.25119999999999998</v>
      </c>
      <c r="T124" s="17">
        <v>0.25119999999999998</v>
      </c>
    </row>
    <row r="125" spans="1:20" hidden="1" outlineLevel="1">
      <c r="B125" s="15" t="str">
        <f>"Current Case - "&amp;CHOOSE($K$4,B122,B123,B124)</f>
        <v>Current Case - Management Case</v>
      </c>
      <c r="C125" s="16"/>
      <c r="D125" s="16"/>
      <c r="E125" s="16"/>
      <c r="F125" s="16"/>
      <c r="G125" s="16"/>
      <c r="H125" s="16"/>
      <c r="I125" s="16"/>
      <c r="J125" s="16"/>
      <c r="K125" s="37">
        <f>CHOOSE($K$4,K122,K123,K124)</f>
        <v>0.25119999999999998</v>
      </c>
      <c r="L125" s="37">
        <f>CHOOSE($K$4,L122,L123,L124)</f>
        <v>0.25119999999999998</v>
      </c>
      <c r="M125" s="37">
        <f>CHOOSE($K$4,M122,M123,M124)</f>
        <v>0.25119999999999998</v>
      </c>
      <c r="N125" s="37">
        <f>CHOOSE($K$4,N122,N123,N124)</f>
        <v>0.25119999999999998</v>
      </c>
      <c r="O125" s="37">
        <f>CHOOSE($K$4,O122,O123,O124)</f>
        <v>0.25119999999999998</v>
      </c>
      <c r="P125" s="37">
        <f t="shared" ref="P125:T125" si="47">CHOOSE($K$4,P122,P123,P124)</f>
        <v>0.25119999999999998</v>
      </c>
      <c r="Q125" s="37">
        <f t="shared" si="47"/>
        <v>0.25119999999999998</v>
      </c>
      <c r="R125" s="37">
        <f t="shared" si="47"/>
        <v>0.25119999999999998</v>
      </c>
      <c r="S125" s="37">
        <f t="shared" si="47"/>
        <v>0.25119999999999998</v>
      </c>
      <c r="T125" s="37">
        <f t="shared" si="47"/>
        <v>0.25119999999999998</v>
      </c>
    </row>
    <row r="126" spans="1:20" collapsed="1"/>
    <row r="127" spans="1:20" ht="18">
      <c r="A127" t="s">
        <v>21</v>
      </c>
      <c r="B127" s="25" t="s">
        <v>756</v>
      </c>
      <c r="C127" s="11"/>
      <c r="D127" s="11"/>
      <c r="E127" s="11"/>
      <c r="F127" s="11"/>
      <c r="G127" s="11"/>
      <c r="H127" s="11"/>
      <c r="I127" s="11"/>
      <c r="J127" s="11"/>
      <c r="K127" s="11"/>
      <c r="L127" s="11"/>
      <c r="M127" s="11"/>
      <c r="N127" s="11"/>
      <c r="O127" s="11"/>
      <c r="P127" s="11"/>
      <c r="Q127" s="11"/>
      <c r="R127" s="11"/>
      <c r="S127" s="11"/>
      <c r="T127" s="11"/>
    </row>
    <row r="128" spans="1:20" outlineLevel="1"/>
    <row r="129" spans="1:20" outlineLevel="1">
      <c r="B129" s="26" t="s">
        <v>633</v>
      </c>
      <c r="C129" s="27"/>
      <c r="D129" s="27"/>
      <c r="E129" s="27"/>
      <c r="F129" s="27"/>
      <c r="G129" s="27"/>
      <c r="H129" s="27"/>
      <c r="I129" s="27"/>
      <c r="J129" s="27"/>
      <c r="K129" s="27"/>
      <c r="L129" s="27"/>
      <c r="M129" s="27"/>
      <c r="N129" s="27"/>
      <c r="O129" s="27"/>
      <c r="P129" s="27"/>
      <c r="Q129" s="27"/>
      <c r="R129" s="27"/>
      <c r="S129" s="27"/>
      <c r="T129" s="27"/>
    </row>
    <row r="130" spans="1:20" outlineLevel="1">
      <c r="B130" s="14" t="s">
        <v>22</v>
      </c>
      <c r="C130" s="13"/>
      <c r="D130" s="13"/>
      <c r="E130" s="13"/>
      <c r="F130" s="13"/>
      <c r="G130" s="13"/>
      <c r="H130" s="13"/>
      <c r="I130" s="13"/>
      <c r="J130" s="17"/>
      <c r="K130" s="17">
        <v>0.04</v>
      </c>
      <c r="L130" s="17">
        <v>0.04</v>
      </c>
      <c r="M130" s="17">
        <v>0.03</v>
      </c>
      <c r="N130" s="17">
        <v>0.03</v>
      </c>
      <c r="O130" s="17">
        <v>0.03</v>
      </c>
      <c r="P130" s="17">
        <v>2.5100000000000001E-2</v>
      </c>
      <c r="Q130" s="17">
        <v>2.5000000000000001E-2</v>
      </c>
      <c r="R130" s="17">
        <v>2.5000000000000001E-2</v>
      </c>
      <c r="S130" s="17">
        <v>2.5000000000000001E-2</v>
      </c>
      <c r="T130" s="17">
        <v>2.5000000000000001E-2</v>
      </c>
    </row>
    <row r="131" spans="1:20" outlineLevel="1">
      <c r="B131" s="14" t="s">
        <v>23</v>
      </c>
      <c r="C131" s="13"/>
      <c r="D131" s="13"/>
      <c r="E131" s="13"/>
      <c r="F131" s="13"/>
      <c r="G131" s="13"/>
      <c r="H131" s="13"/>
      <c r="I131" s="13"/>
      <c r="J131" s="13"/>
      <c r="K131" s="17">
        <v>0.04</v>
      </c>
      <c r="L131" s="17">
        <v>0.04</v>
      </c>
      <c r="M131" s="17">
        <v>0.04</v>
      </c>
      <c r="N131" s="17">
        <v>0.04</v>
      </c>
      <c r="O131" s="17">
        <v>0.04</v>
      </c>
      <c r="P131" s="17">
        <v>0.04</v>
      </c>
      <c r="Q131" s="17">
        <v>0.04</v>
      </c>
      <c r="R131" s="17">
        <v>0.04</v>
      </c>
      <c r="S131" s="17">
        <v>0.04</v>
      </c>
      <c r="T131" s="17">
        <v>0.04</v>
      </c>
    </row>
    <row r="132" spans="1:20" outlineLevel="1">
      <c r="B132" s="14" t="s">
        <v>24</v>
      </c>
      <c r="C132" s="13"/>
      <c r="D132" s="13"/>
      <c r="E132" s="13"/>
      <c r="F132" s="13"/>
      <c r="G132" s="13"/>
      <c r="H132" s="13"/>
      <c r="I132" s="13"/>
      <c r="J132" s="13"/>
      <c r="K132" s="17">
        <v>0.04</v>
      </c>
      <c r="L132" s="17">
        <v>0.04</v>
      </c>
      <c r="M132" s="17">
        <v>0.04</v>
      </c>
      <c r="N132" s="17">
        <v>0.04</v>
      </c>
      <c r="O132" s="17">
        <v>0.04</v>
      </c>
      <c r="P132" s="17">
        <v>0.04</v>
      </c>
      <c r="Q132" s="17">
        <v>0.04</v>
      </c>
      <c r="R132" s="17">
        <v>0.04</v>
      </c>
      <c r="S132" s="17">
        <v>0.04</v>
      </c>
      <c r="T132" s="17">
        <v>0.04</v>
      </c>
    </row>
    <row r="133" spans="1:20" outlineLevel="1">
      <c r="B133" s="15" t="str">
        <f>"Current Case - "&amp;CHOOSE($K$4,B130,B131,B132)</f>
        <v>Current Case - Management Case</v>
      </c>
      <c r="C133" s="16"/>
      <c r="D133" s="16"/>
      <c r="E133" s="16"/>
      <c r="F133" s="16"/>
      <c r="G133" s="16"/>
      <c r="H133" s="16"/>
      <c r="I133" s="16"/>
      <c r="J133" s="16"/>
      <c r="K133" s="37">
        <f>CHOOSE($K$4,K130,K131,K132)</f>
        <v>0.04</v>
      </c>
      <c r="L133" s="37">
        <f>CHOOSE($K$4,L130,L131,L132)</f>
        <v>0.04</v>
      </c>
      <c r="M133" s="37">
        <f>CHOOSE($K$4,M130,M131,M132)</f>
        <v>0.03</v>
      </c>
      <c r="N133" s="37">
        <f>CHOOSE($K$4,N130,N131,N132)</f>
        <v>0.03</v>
      </c>
      <c r="O133" s="37">
        <f>CHOOSE($K$4,O130,O131,O132)</f>
        <v>0.03</v>
      </c>
      <c r="P133" s="37">
        <f t="shared" ref="P133:T133" si="48">CHOOSE($K$4,P130,P131,P132)</f>
        <v>2.5100000000000001E-2</v>
      </c>
      <c r="Q133" s="37">
        <f t="shared" si="48"/>
        <v>2.5000000000000001E-2</v>
      </c>
      <c r="R133" s="37">
        <f t="shared" si="48"/>
        <v>2.5000000000000001E-2</v>
      </c>
      <c r="S133" s="37">
        <f t="shared" si="48"/>
        <v>2.5000000000000001E-2</v>
      </c>
      <c r="T133" s="37">
        <f t="shared" si="48"/>
        <v>2.5000000000000001E-2</v>
      </c>
    </row>
    <row r="134" spans="1:20">
      <c r="B134" s="18"/>
      <c r="K134" s="281"/>
      <c r="L134" s="281"/>
      <c r="M134" s="281"/>
      <c r="N134" s="281"/>
      <c r="O134" s="281"/>
      <c r="P134" s="281"/>
      <c r="Q134" s="281"/>
      <c r="R134" s="281"/>
      <c r="S134" s="281"/>
      <c r="T134" s="281"/>
    </row>
    <row r="135" spans="1:20" ht="18">
      <c r="A135" t="s">
        <v>21</v>
      </c>
      <c r="B135" s="25" t="s">
        <v>755</v>
      </c>
      <c r="C135" s="11"/>
      <c r="D135" s="11"/>
      <c r="E135" s="11"/>
      <c r="F135" s="11"/>
      <c r="G135" s="11"/>
      <c r="H135" s="11"/>
      <c r="I135" s="11"/>
      <c r="J135" s="11"/>
      <c r="K135" s="11"/>
      <c r="L135" s="11"/>
      <c r="M135" s="11"/>
      <c r="N135" s="11"/>
      <c r="O135" s="11"/>
      <c r="P135" s="11"/>
      <c r="Q135" s="11"/>
      <c r="R135" s="11"/>
      <c r="S135" s="11"/>
      <c r="T135" s="11"/>
    </row>
    <row r="136" spans="1:20" hidden="1" outlineLevel="1"/>
    <row r="137" spans="1:20" hidden="1" outlineLevel="1">
      <c r="B137" s="26" t="s">
        <v>634</v>
      </c>
      <c r="C137" s="27"/>
      <c r="D137" s="27"/>
      <c r="E137" s="27"/>
      <c r="F137" s="27"/>
      <c r="G137" s="27"/>
      <c r="H137" s="27"/>
      <c r="I137" s="27"/>
      <c r="J137" s="27"/>
      <c r="K137" s="27"/>
      <c r="L137" s="27"/>
      <c r="M137" s="27"/>
      <c r="N137" s="27"/>
      <c r="O137" s="27"/>
      <c r="P137" s="27"/>
      <c r="Q137" s="27"/>
      <c r="R137" s="27"/>
      <c r="S137" s="27"/>
      <c r="T137" s="27"/>
    </row>
    <row r="138" spans="1:20" hidden="1" outlineLevel="1">
      <c r="B138" s="14" t="s">
        <v>22</v>
      </c>
      <c r="C138" s="13"/>
      <c r="D138" s="13"/>
      <c r="E138" s="13"/>
      <c r="F138" s="13"/>
      <c r="G138" s="13"/>
      <c r="H138" s="13"/>
      <c r="I138" s="13"/>
      <c r="J138" s="17"/>
      <c r="K138" s="17">
        <v>0</v>
      </c>
      <c r="L138" s="17">
        <v>0</v>
      </c>
      <c r="M138" s="17">
        <v>0</v>
      </c>
      <c r="N138" s="17">
        <v>0</v>
      </c>
      <c r="O138" s="17">
        <v>0</v>
      </c>
      <c r="P138" s="17">
        <v>0</v>
      </c>
      <c r="Q138" s="17">
        <v>0</v>
      </c>
      <c r="R138" s="17">
        <v>0</v>
      </c>
      <c r="S138" s="17">
        <v>0</v>
      </c>
      <c r="T138" s="17">
        <v>0</v>
      </c>
    </row>
    <row r="139" spans="1:20" hidden="1" outlineLevel="1">
      <c r="B139" s="14" t="s">
        <v>23</v>
      </c>
      <c r="C139" s="13"/>
      <c r="D139" s="13"/>
      <c r="E139" s="13"/>
      <c r="F139" s="13"/>
      <c r="G139" s="13"/>
      <c r="H139" s="13"/>
      <c r="I139" s="13"/>
      <c r="J139" s="13"/>
      <c r="K139" s="17">
        <v>0</v>
      </c>
      <c r="L139" s="17">
        <v>0</v>
      </c>
      <c r="M139" s="17">
        <v>0</v>
      </c>
      <c r="N139" s="17">
        <v>0</v>
      </c>
      <c r="O139" s="17">
        <v>0</v>
      </c>
      <c r="P139" s="17">
        <v>0</v>
      </c>
      <c r="Q139" s="17">
        <v>0</v>
      </c>
      <c r="R139" s="17">
        <v>0</v>
      </c>
      <c r="S139" s="17">
        <v>0</v>
      </c>
      <c r="T139" s="17">
        <v>0</v>
      </c>
    </row>
    <row r="140" spans="1:20" hidden="1" outlineLevel="1">
      <c r="B140" s="14" t="s">
        <v>24</v>
      </c>
      <c r="C140" s="13"/>
      <c r="D140" s="13"/>
      <c r="E140" s="13"/>
      <c r="F140" s="13"/>
      <c r="G140" s="13"/>
      <c r="H140" s="13"/>
      <c r="I140" s="13"/>
      <c r="J140" s="13"/>
      <c r="K140" s="17">
        <v>0.01</v>
      </c>
      <c r="L140" s="17">
        <v>0.01</v>
      </c>
      <c r="M140" s="17">
        <v>0.01</v>
      </c>
      <c r="N140" s="17">
        <v>0.01</v>
      </c>
      <c r="O140" s="17">
        <v>0.01</v>
      </c>
      <c r="P140" s="17">
        <v>0.01</v>
      </c>
      <c r="Q140" s="17">
        <v>0.01</v>
      </c>
      <c r="R140" s="17">
        <v>0.01</v>
      </c>
      <c r="S140" s="17">
        <v>0.01</v>
      </c>
      <c r="T140" s="17">
        <v>0.01</v>
      </c>
    </row>
    <row r="141" spans="1:20" hidden="1" outlineLevel="1">
      <c r="B141" s="15" t="str">
        <f>"Current Case - "&amp;CHOOSE($K$4,B138,B139,B140)</f>
        <v>Current Case - Management Case</v>
      </c>
      <c r="C141" s="16"/>
      <c r="D141" s="16"/>
      <c r="E141" s="16"/>
      <c r="F141" s="16"/>
      <c r="G141" s="16"/>
      <c r="H141" s="16"/>
      <c r="I141" s="16"/>
      <c r="J141" s="16"/>
      <c r="K141" s="37">
        <f>CHOOSE($K$4,K138,K139,K140)</f>
        <v>0</v>
      </c>
      <c r="L141" s="37">
        <f>CHOOSE($K$4,L138,L139,L140)</f>
        <v>0</v>
      </c>
      <c r="M141" s="37">
        <f>CHOOSE($K$4,M138,M139,M140)</f>
        <v>0</v>
      </c>
      <c r="N141" s="37">
        <f>CHOOSE($K$4,N138,N139,N140)</f>
        <v>0</v>
      </c>
      <c r="O141" s="37">
        <f>CHOOSE($K$4,O138,O139,O140)</f>
        <v>0</v>
      </c>
      <c r="P141" s="37">
        <f t="shared" ref="P141:T141" si="49">CHOOSE($K$4,P138,P139,P140)</f>
        <v>0</v>
      </c>
      <c r="Q141" s="37">
        <f t="shared" si="49"/>
        <v>0</v>
      </c>
      <c r="R141" s="37">
        <f t="shared" si="49"/>
        <v>0</v>
      </c>
      <c r="S141" s="37">
        <f t="shared" si="49"/>
        <v>0</v>
      </c>
      <c r="T141" s="37">
        <f t="shared" si="49"/>
        <v>0</v>
      </c>
    </row>
    <row r="142" spans="1:20" collapsed="1"/>
    <row r="143" spans="1:20" ht="18">
      <c r="A143" t="s">
        <v>21</v>
      </c>
      <c r="B143" s="25" t="s">
        <v>686</v>
      </c>
      <c r="C143" s="11"/>
      <c r="D143" s="11"/>
      <c r="E143" s="11"/>
      <c r="F143" s="11"/>
      <c r="G143" s="11"/>
      <c r="H143" s="11"/>
      <c r="I143" s="11"/>
      <c r="J143" s="11"/>
      <c r="K143" s="11"/>
      <c r="L143" s="11"/>
      <c r="M143" s="11"/>
      <c r="N143" s="11"/>
      <c r="O143" s="11"/>
      <c r="P143" s="11"/>
      <c r="Q143" s="11"/>
      <c r="R143" s="11"/>
      <c r="S143" s="11"/>
      <c r="T143" s="11"/>
    </row>
    <row r="144" spans="1:20" hidden="1" outlineLevel="1"/>
    <row r="145" spans="1:20" hidden="1" outlineLevel="1">
      <c r="B145" s="26" t="s">
        <v>687</v>
      </c>
      <c r="C145" s="27"/>
      <c r="D145" s="27"/>
      <c r="E145" s="27"/>
      <c r="F145" s="27"/>
      <c r="G145" s="27"/>
      <c r="H145" s="27"/>
      <c r="I145" s="27"/>
      <c r="J145" s="27"/>
      <c r="K145" s="27"/>
      <c r="L145" s="27"/>
      <c r="M145" s="27"/>
      <c r="N145" s="27"/>
      <c r="O145" s="27"/>
      <c r="P145" s="27"/>
      <c r="Q145" s="27"/>
      <c r="R145" s="27"/>
      <c r="S145" s="27"/>
      <c r="T145" s="27"/>
    </row>
    <row r="146" spans="1:20" hidden="1" outlineLevel="1">
      <c r="B146" s="14" t="s">
        <v>22</v>
      </c>
      <c r="C146" s="13"/>
      <c r="D146" s="13"/>
      <c r="E146" s="13"/>
      <c r="F146" s="13"/>
      <c r="G146" s="13"/>
      <c r="H146" s="13"/>
      <c r="I146" s="13"/>
      <c r="J146" s="17"/>
      <c r="K146" s="17">
        <v>1.4999999999999999E-2</v>
      </c>
      <c r="L146" s="17">
        <v>1.4999999999999999E-2</v>
      </c>
      <c r="M146" s="17">
        <v>1.4999999999999999E-2</v>
      </c>
      <c r="N146" s="17">
        <v>1.4999999999999999E-2</v>
      </c>
      <c r="O146" s="17">
        <v>1.4999999999999999E-2</v>
      </c>
      <c r="P146" s="17">
        <v>1.4999999999999999E-2</v>
      </c>
      <c r="Q146" s="17">
        <v>1.4999999999999999E-2</v>
      </c>
      <c r="R146" s="17">
        <v>1.4999999999999999E-2</v>
      </c>
      <c r="S146" s="17">
        <v>1.4999999999999999E-2</v>
      </c>
      <c r="T146" s="17">
        <v>1.4999999999999999E-2</v>
      </c>
    </row>
    <row r="147" spans="1:20" hidden="1" outlineLevel="1">
      <c r="B147" s="14" t="s">
        <v>23</v>
      </c>
      <c r="C147" s="13"/>
      <c r="D147" s="13"/>
      <c r="E147" s="13"/>
      <c r="F147" s="13"/>
      <c r="G147" s="13"/>
      <c r="H147" s="13"/>
      <c r="I147" s="13"/>
      <c r="J147" s="13"/>
      <c r="K147" s="17">
        <v>1.4999999999999999E-2</v>
      </c>
      <c r="L147" s="17">
        <v>1.4999999999999999E-2</v>
      </c>
      <c r="M147" s="17">
        <v>1.4999999999999999E-2</v>
      </c>
      <c r="N147" s="17">
        <v>1.4999999999999999E-2</v>
      </c>
      <c r="O147" s="17">
        <v>1.4999999999999999E-2</v>
      </c>
      <c r="P147" s="17">
        <v>1.4999999999999999E-2</v>
      </c>
      <c r="Q147" s="17">
        <v>1.4999999999999999E-2</v>
      </c>
      <c r="R147" s="17">
        <v>1.4999999999999999E-2</v>
      </c>
      <c r="S147" s="17">
        <v>1.4999999999999999E-2</v>
      </c>
      <c r="T147" s="17">
        <v>1.4999999999999999E-2</v>
      </c>
    </row>
    <row r="148" spans="1:20" hidden="1" outlineLevel="1">
      <c r="B148" s="14" t="s">
        <v>24</v>
      </c>
      <c r="C148" s="13"/>
      <c r="D148" s="13"/>
      <c r="E148" s="13"/>
      <c r="F148" s="13"/>
      <c r="G148" s="13"/>
      <c r="H148" s="13"/>
      <c r="I148" s="13"/>
      <c r="J148" s="13"/>
      <c r="K148" s="17">
        <v>1.4999999999999999E-2</v>
      </c>
      <c r="L148" s="17">
        <v>1.4999999999999999E-2</v>
      </c>
      <c r="M148" s="17">
        <v>1.4999999999999999E-2</v>
      </c>
      <c r="N148" s="17">
        <v>1.4999999999999999E-2</v>
      </c>
      <c r="O148" s="17">
        <v>1.4999999999999999E-2</v>
      </c>
      <c r="P148" s="17">
        <v>1.4999999999999999E-2</v>
      </c>
      <c r="Q148" s="17">
        <v>1.4999999999999999E-2</v>
      </c>
      <c r="R148" s="17">
        <v>1.4999999999999999E-2</v>
      </c>
      <c r="S148" s="17">
        <v>1.4999999999999999E-2</v>
      </c>
      <c r="T148" s="17">
        <v>1.4999999999999999E-2</v>
      </c>
    </row>
    <row r="149" spans="1:20" hidden="1" outlineLevel="1">
      <c r="B149" s="38" t="str">
        <f>"Current Case - "&amp;CHOOSE($K$4,B146,B147,B148)</f>
        <v>Current Case - Management Case</v>
      </c>
      <c r="C149" s="38"/>
      <c r="D149" s="38"/>
      <c r="E149" s="38"/>
      <c r="F149" s="38"/>
      <c r="G149" s="38"/>
      <c r="H149" s="38"/>
      <c r="I149" s="38"/>
      <c r="J149" s="38"/>
      <c r="K149" s="37">
        <f>CHOOSE($K$4,K146,K147,K148)</f>
        <v>1.4999999999999999E-2</v>
      </c>
      <c r="L149" s="37">
        <f>CHOOSE($K$4,L146,L147,L148)</f>
        <v>1.4999999999999999E-2</v>
      </c>
      <c r="M149" s="37">
        <f>CHOOSE($K$4,M146,M147,M148)</f>
        <v>1.4999999999999999E-2</v>
      </c>
      <c r="N149" s="37">
        <f>CHOOSE($K$4,N146,N147,N148)</f>
        <v>1.4999999999999999E-2</v>
      </c>
      <c r="O149" s="37">
        <f>CHOOSE($K$4,O146,O147,O148)</f>
        <v>1.4999999999999999E-2</v>
      </c>
      <c r="P149" s="37">
        <f t="shared" ref="P149:T149" si="50">CHOOSE($K$4,P146,P147,P148)</f>
        <v>1.4999999999999999E-2</v>
      </c>
      <c r="Q149" s="37">
        <f t="shared" si="50"/>
        <v>1.4999999999999999E-2</v>
      </c>
      <c r="R149" s="37">
        <f t="shared" si="50"/>
        <v>1.4999999999999999E-2</v>
      </c>
      <c r="S149" s="37">
        <f t="shared" si="50"/>
        <v>1.4999999999999999E-2</v>
      </c>
      <c r="T149" s="37">
        <f t="shared" si="50"/>
        <v>1.4999999999999999E-2</v>
      </c>
    </row>
    <row r="150" spans="1:20" collapsed="1"/>
    <row r="151" spans="1:20" ht="18">
      <c r="A151" t="s">
        <v>21</v>
      </c>
      <c r="B151" s="25" t="s">
        <v>718</v>
      </c>
      <c r="C151" s="11"/>
      <c r="D151" s="11"/>
      <c r="E151" s="11"/>
      <c r="F151" s="11"/>
      <c r="G151" s="11"/>
      <c r="H151" s="11"/>
      <c r="I151" s="11"/>
      <c r="J151" s="11"/>
      <c r="K151" s="11"/>
      <c r="L151" s="11"/>
      <c r="M151" s="11"/>
      <c r="N151" s="11"/>
      <c r="O151" s="11"/>
      <c r="P151" s="11"/>
      <c r="Q151" s="11"/>
      <c r="R151" s="11"/>
      <c r="S151" s="11"/>
      <c r="T151" s="11"/>
    </row>
    <row r="152" spans="1:20" hidden="1" outlineLevel="1">
      <c r="B152" s="36" t="s">
        <v>32</v>
      </c>
    </row>
    <row r="153" spans="1:20" hidden="1" outlineLevel="1">
      <c r="B153" s="26" t="s">
        <v>720</v>
      </c>
      <c r="C153" s="27"/>
      <c r="D153" s="27"/>
      <c r="E153" s="27"/>
      <c r="F153" s="27"/>
      <c r="G153" s="27"/>
      <c r="H153" s="27"/>
      <c r="I153" s="27"/>
      <c r="J153" s="27"/>
      <c r="K153" s="27"/>
      <c r="L153" s="27"/>
      <c r="M153" s="27"/>
      <c r="N153" s="27"/>
      <c r="O153" s="27"/>
      <c r="P153" s="27"/>
      <c r="Q153" s="27"/>
      <c r="R153" s="27"/>
      <c r="S153" s="27"/>
      <c r="T153" s="27"/>
    </row>
    <row r="154" spans="1:20" hidden="1" outlineLevel="1">
      <c r="B154" s="14" t="s">
        <v>22</v>
      </c>
      <c r="C154" s="13"/>
      <c r="D154" s="13"/>
      <c r="E154" s="13"/>
      <c r="F154" s="13"/>
      <c r="G154" s="13"/>
      <c r="H154" s="13"/>
      <c r="I154" s="13"/>
      <c r="J154" s="17"/>
      <c r="K154" s="17">
        <v>0.125</v>
      </c>
      <c r="L154" s="17">
        <v>0.125</v>
      </c>
      <c r="M154" s="17">
        <v>0.125</v>
      </c>
      <c r="N154" s="17">
        <v>0.125</v>
      </c>
      <c r="O154" s="17">
        <v>0.125</v>
      </c>
      <c r="P154" s="17">
        <v>0.125</v>
      </c>
      <c r="Q154" s="17">
        <v>0.125</v>
      </c>
      <c r="R154" s="17">
        <v>0.125</v>
      </c>
      <c r="S154" s="17">
        <v>0.125</v>
      </c>
      <c r="T154" s="17">
        <v>0.125</v>
      </c>
    </row>
    <row r="155" spans="1:20" hidden="1" outlineLevel="1">
      <c r="B155" s="14" t="s">
        <v>23</v>
      </c>
      <c r="C155" s="13"/>
      <c r="D155" s="13"/>
      <c r="E155" s="13"/>
      <c r="F155" s="13"/>
      <c r="G155" s="13"/>
      <c r="H155" s="13"/>
      <c r="I155" s="13"/>
      <c r="J155" s="13"/>
      <c r="K155" s="17">
        <v>0.125</v>
      </c>
      <c r="L155" s="17">
        <v>0.125</v>
      </c>
      <c r="M155" s="17">
        <v>0.125</v>
      </c>
      <c r="N155" s="17">
        <v>0.125</v>
      </c>
      <c r="O155" s="17">
        <v>0.125</v>
      </c>
      <c r="P155" s="17">
        <v>0.125</v>
      </c>
      <c r="Q155" s="17">
        <v>0.125</v>
      </c>
      <c r="R155" s="17">
        <v>0.125</v>
      </c>
      <c r="S155" s="17">
        <v>0.125</v>
      </c>
      <c r="T155" s="17">
        <v>0.125</v>
      </c>
    </row>
    <row r="156" spans="1:20" hidden="1" outlineLevel="1">
      <c r="B156" s="14" t="s">
        <v>24</v>
      </c>
      <c r="C156" s="13"/>
      <c r="D156" s="13"/>
      <c r="E156" s="13"/>
      <c r="F156" s="13"/>
      <c r="G156" s="13"/>
      <c r="H156" s="13"/>
      <c r="I156" s="13"/>
      <c r="J156" s="13"/>
      <c r="K156" s="17">
        <v>0.125</v>
      </c>
      <c r="L156" s="17">
        <v>0.125</v>
      </c>
      <c r="M156" s="17">
        <v>0.125</v>
      </c>
      <c r="N156" s="17">
        <v>0.125</v>
      </c>
      <c r="O156" s="17">
        <v>0.125</v>
      </c>
      <c r="P156" s="17">
        <v>0.125</v>
      </c>
      <c r="Q156" s="17">
        <v>0.125</v>
      </c>
      <c r="R156" s="17">
        <v>0.125</v>
      </c>
      <c r="S156" s="17">
        <v>0.125</v>
      </c>
      <c r="T156" s="17">
        <v>0.125</v>
      </c>
    </row>
    <row r="157" spans="1:20" hidden="1" outlineLevel="1">
      <c r="B157" s="15" t="str">
        <f>"Current Case - "&amp;CHOOSE($K$4,B154,B155,B156)</f>
        <v>Current Case - Management Case</v>
      </c>
      <c r="C157" s="16"/>
      <c r="D157" s="16"/>
      <c r="E157" s="16"/>
      <c r="F157" s="16"/>
      <c r="G157" s="16"/>
      <c r="H157" s="16"/>
      <c r="I157" s="16"/>
      <c r="J157" s="16"/>
      <c r="K157" s="37">
        <f>CHOOSE($K$4,K154,K155,K156)</f>
        <v>0.125</v>
      </c>
      <c r="L157" s="37">
        <f>CHOOSE($K$4,L154,L155,L156)</f>
        <v>0.125</v>
      </c>
      <c r="M157" s="37">
        <f>CHOOSE($K$4,M154,M155,M156)</f>
        <v>0.125</v>
      </c>
      <c r="N157" s="37">
        <f>CHOOSE($K$4,N154,N155,N156)</f>
        <v>0.125</v>
      </c>
      <c r="O157" s="37">
        <f>CHOOSE($K$4,O154,O155,O156)</f>
        <v>0.125</v>
      </c>
      <c r="P157" s="37">
        <f t="shared" ref="P157:T157" si="51">CHOOSE($K$4,P154,P155,P156)</f>
        <v>0.125</v>
      </c>
      <c r="Q157" s="37">
        <f t="shared" si="51"/>
        <v>0.125</v>
      </c>
      <c r="R157" s="37">
        <f t="shared" si="51"/>
        <v>0.125</v>
      </c>
      <c r="S157" s="37">
        <f t="shared" si="51"/>
        <v>0.125</v>
      </c>
      <c r="T157" s="37">
        <f t="shared" si="51"/>
        <v>0.125</v>
      </c>
    </row>
    <row r="158" spans="1:20" collapsed="1"/>
    <row r="159" spans="1:20" ht="18">
      <c r="A159" t="s">
        <v>21</v>
      </c>
      <c r="B159" s="25" t="s">
        <v>753</v>
      </c>
      <c r="C159" s="11"/>
      <c r="D159" s="11"/>
      <c r="E159" s="11"/>
      <c r="F159" s="11"/>
      <c r="G159" s="11"/>
      <c r="H159" s="11"/>
      <c r="I159" s="11"/>
      <c r="J159" s="11"/>
      <c r="K159" s="11"/>
      <c r="L159" s="11"/>
      <c r="M159" s="11"/>
      <c r="N159" s="11"/>
      <c r="O159" s="11"/>
      <c r="P159" s="11"/>
      <c r="Q159" s="11"/>
      <c r="R159" s="11"/>
      <c r="S159" s="11"/>
      <c r="T159" s="11"/>
    </row>
    <row r="160" spans="1:20" hidden="1" outlineLevel="1"/>
    <row r="161" spans="2:20" hidden="1" outlineLevel="1">
      <c r="B161" s="26" t="s">
        <v>33</v>
      </c>
      <c r="C161" s="27"/>
      <c r="D161" s="27"/>
      <c r="E161" s="27"/>
      <c r="F161" s="27"/>
      <c r="G161" s="27"/>
      <c r="H161" s="27"/>
      <c r="I161" s="27"/>
      <c r="J161" s="27"/>
      <c r="K161" s="27"/>
      <c r="L161" s="27"/>
      <c r="M161" s="27"/>
      <c r="N161" s="27"/>
      <c r="O161" s="27"/>
      <c r="P161" s="27"/>
      <c r="Q161" s="27"/>
      <c r="R161" s="27"/>
      <c r="S161" s="27"/>
      <c r="T161" s="27"/>
    </row>
    <row r="162" spans="2:20" hidden="1" outlineLevel="1">
      <c r="B162" s="14" t="s">
        <v>22</v>
      </c>
      <c r="C162" s="13"/>
      <c r="D162" s="13"/>
      <c r="E162" s="13"/>
      <c r="F162" s="13"/>
      <c r="G162" s="13"/>
      <c r="H162" s="13"/>
      <c r="I162" s="13"/>
      <c r="J162" s="17"/>
      <c r="K162" s="17">
        <v>0.8</v>
      </c>
      <c r="L162" s="17">
        <v>0.8</v>
      </c>
      <c r="M162" s="17">
        <v>0.8</v>
      </c>
      <c r="N162" s="17">
        <v>0.8</v>
      </c>
      <c r="O162" s="17">
        <v>0.85</v>
      </c>
      <c r="P162" s="17">
        <v>0.85</v>
      </c>
      <c r="Q162" s="17">
        <v>0.85</v>
      </c>
      <c r="R162" s="17">
        <v>0.85</v>
      </c>
      <c r="S162" s="17">
        <v>0.85</v>
      </c>
      <c r="T162" s="17">
        <v>0.85</v>
      </c>
    </row>
    <row r="163" spans="2:20" hidden="1" outlineLevel="1">
      <c r="B163" s="14" t="s">
        <v>23</v>
      </c>
      <c r="C163" s="13"/>
      <c r="D163" s="13"/>
      <c r="E163" s="13"/>
      <c r="F163" s="13"/>
      <c r="G163" s="13"/>
      <c r="H163" s="13"/>
      <c r="I163" s="13"/>
      <c r="J163" s="13"/>
      <c r="K163" s="17">
        <v>0.85</v>
      </c>
      <c r="L163" s="17">
        <v>0.85</v>
      </c>
      <c r="M163" s="17">
        <v>0.85</v>
      </c>
      <c r="N163" s="17">
        <v>0.85</v>
      </c>
      <c r="O163" s="17">
        <v>0.85</v>
      </c>
      <c r="P163" s="17">
        <v>0.85</v>
      </c>
      <c r="Q163" s="17">
        <v>0.85</v>
      </c>
      <c r="R163" s="17">
        <v>0.85</v>
      </c>
      <c r="S163" s="17">
        <v>0.85</v>
      </c>
      <c r="T163" s="17">
        <v>0.85</v>
      </c>
    </row>
    <row r="164" spans="2:20" hidden="1" outlineLevel="1">
      <c r="B164" s="14" t="s">
        <v>24</v>
      </c>
      <c r="C164" s="13"/>
      <c r="D164" s="13"/>
      <c r="E164" s="13"/>
      <c r="F164" s="13"/>
      <c r="G164" s="13"/>
      <c r="H164" s="13"/>
      <c r="I164" s="13"/>
      <c r="J164" s="13"/>
      <c r="K164" s="17">
        <v>0.85</v>
      </c>
      <c r="L164" s="17">
        <v>0.85</v>
      </c>
      <c r="M164" s="17">
        <v>0.85</v>
      </c>
      <c r="N164" s="17">
        <v>0.85</v>
      </c>
      <c r="O164" s="17">
        <v>0.85</v>
      </c>
      <c r="P164" s="17">
        <v>0.85</v>
      </c>
      <c r="Q164" s="17">
        <v>0.85</v>
      </c>
      <c r="R164" s="17">
        <v>0.85</v>
      </c>
      <c r="S164" s="17">
        <v>0.85</v>
      </c>
      <c r="T164" s="17">
        <v>0.85</v>
      </c>
    </row>
    <row r="165" spans="2:20" hidden="1" outlineLevel="1">
      <c r="B165" s="15" t="str">
        <f>"Current Case - "&amp;CHOOSE($K$4,B162,B163,B164)</f>
        <v>Current Case - Management Case</v>
      </c>
      <c r="C165" s="16"/>
      <c r="D165" s="16"/>
      <c r="E165" s="16"/>
      <c r="F165" s="16"/>
      <c r="G165" s="16"/>
      <c r="H165" s="16"/>
      <c r="I165" s="16"/>
      <c r="J165" s="16"/>
      <c r="K165" s="37">
        <f>CHOOSE($K$4,K162,K163,K164)</f>
        <v>0.8</v>
      </c>
      <c r="L165" s="37">
        <f>CHOOSE($K$4,L162,L163,L164)</f>
        <v>0.8</v>
      </c>
      <c r="M165" s="37">
        <f>CHOOSE($K$4,M162,M163,M164)</f>
        <v>0.8</v>
      </c>
      <c r="N165" s="37">
        <f>CHOOSE($K$4,N162,N163,N164)</f>
        <v>0.8</v>
      </c>
      <c r="O165" s="37">
        <f>CHOOSE($K$4,O162,O163,O164)</f>
        <v>0.85</v>
      </c>
      <c r="P165" s="37">
        <f t="shared" ref="P165:T165" si="52">CHOOSE($K$4,P162,P163,P164)</f>
        <v>0.85</v>
      </c>
      <c r="Q165" s="37">
        <f t="shared" si="52"/>
        <v>0.85</v>
      </c>
      <c r="R165" s="37">
        <f t="shared" si="52"/>
        <v>0.85</v>
      </c>
      <c r="S165" s="37">
        <f t="shared" si="52"/>
        <v>0.85</v>
      </c>
      <c r="T165" s="37">
        <f t="shared" si="52"/>
        <v>0.85</v>
      </c>
    </row>
    <row r="166" spans="2:20" collapsed="1"/>
    <row r="167" spans="2:20" ht="18">
      <c r="B167" s="25" t="s">
        <v>754</v>
      </c>
      <c r="C167" s="11"/>
      <c r="D167" s="11"/>
      <c r="E167" s="11"/>
      <c r="F167" s="11"/>
      <c r="G167" s="11"/>
      <c r="H167" s="11"/>
      <c r="I167" s="11"/>
      <c r="J167" s="11"/>
      <c r="K167" s="11"/>
      <c r="L167" s="11"/>
      <c r="M167" s="11"/>
      <c r="N167" s="11"/>
      <c r="O167" s="11"/>
      <c r="P167" s="11"/>
      <c r="Q167" s="11"/>
      <c r="R167" s="11"/>
      <c r="S167" s="11"/>
      <c r="T167" s="11"/>
    </row>
    <row r="168" spans="2:20" outlineLevel="1"/>
    <row r="169" spans="2:20" outlineLevel="1">
      <c r="B169" s="26" t="s">
        <v>765</v>
      </c>
      <c r="C169" s="27"/>
      <c r="D169" s="27"/>
      <c r="E169" s="27"/>
      <c r="F169" s="27"/>
      <c r="G169" s="27"/>
      <c r="H169" s="27"/>
      <c r="I169" s="27"/>
      <c r="J169" s="27"/>
      <c r="K169" s="27"/>
      <c r="L169" s="27"/>
      <c r="M169" s="27"/>
      <c r="N169" s="27"/>
      <c r="O169" s="27"/>
      <c r="P169" s="27"/>
      <c r="Q169" s="27"/>
      <c r="R169" s="27"/>
      <c r="S169" s="27"/>
      <c r="T169" s="27"/>
    </row>
    <row r="170" spans="2:20" outlineLevel="1">
      <c r="B170" s="14" t="s">
        <v>22</v>
      </c>
      <c r="C170" s="13"/>
      <c r="D170" s="13"/>
      <c r="E170" s="13"/>
      <c r="F170" s="13"/>
      <c r="G170" s="13"/>
      <c r="H170" s="13"/>
      <c r="I170" s="13"/>
      <c r="J170" s="17"/>
      <c r="K170" s="14">
        <v>45</v>
      </c>
      <c r="L170" s="14">
        <v>45</v>
      </c>
      <c r="M170" s="14">
        <v>42</v>
      </c>
      <c r="N170" s="14">
        <v>42</v>
      </c>
      <c r="O170" s="14">
        <v>42</v>
      </c>
      <c r="P170" s="14">
        <v>40</v>
      </c>
      <c r="Q170" s="14">
        <v>40</v>
      </c>
      <c r="R170" s="14">
        <v>39</v>
      </c>
      <c r="S170" s="607">
        <v>39.4</v>
      </c>
      <c r="T170" s="14">
        <v>39</v>
      </c>
    </row>
    <row r="171" spans="2:20" outlineLevel="1">
      <c r="B171" s="14" t="s">
        <v>23</v>
      </c>
      <c r="C171" s="13"/>
      <c r="D171" s="13"/>
      <c r="E171" s="13"/>
      <c r="F171" s="13"/>
      <c r="G171" s="13"/>
      <c r="H171" s="13"/>
      <c r="I171" s="13"/>
      <c r="J171" s="13"/>
      <c r="K171" s="14">
        <v>43</v>
      </c>
      <c r="L171" s="14">
        <v>43</v>
      </c>
      <c r="M171" s="14">
        <v>43</v>
      </c>
      <c r="N171" s="14">
        <v>43</v>
      </c>
      <c r="O171" s="14">
        <v>43</v>
      </c>
      <c r="P171" s="14">
        <v>43</v>
      </c>
      <c r="Q171" s="14">
        <v>43</v>
      </c>
      <c r="R171" s="14">
        <v>43</v>
      </c>
      <c r="S171" s="14">
        <v>43</v>
      </c>
      <c r="T171" s="14">
        <v>43</v>
      </c>
    </row>
    <row r="172" spans="2:20" outlineLevel="1">
      <c r="B172" s="14" t="s">
        <v>24</v>
      </c>
      <c r="C172" s="13"/>
      <c r="D172" s="13"/>
      <c r="E172" s="13"/>
      <c r="F172" s="13"/>
      <c r="G172" s="13"/>
      <c r="H172" s="13"/>
      <c r="I172" s="13"/>
      <c r="J172" s="13"/>
      <c r="K172" s="14">
        <v>45</v>
      </c>
      <c r="L172" s="14">
        <v>45</v>
      </c>
      <c r="M172" s="14">
        <v>45</v>
      </c>
      <c r="N172" s="14">
        <v>45</v>
      </c>
      <c r="O172" s="14">
        <v>45</v>
      </c>
      <c r="P172" s="14">
        <v>45</v>
      </c>
      <c r="Q172" s="14">
        <v>45</v>
      </c>
      <c r="R172" s="14">
        <v>45</v>
      </c>
      <c r="S172" s="14">
        <v>45</v>
      </c>
      <c r="T172" s="14">
        <v>45</v>
      </c>
    </row>
    <row r="173" spans="2:20" outlineLevel="1">
      <c r="B173" s="15" t="str">
        <f>"Current Case - "&amp;CHOOSE($K$4,B170,B171,B172)</f>
        <v>Current Case - Management Case</v>
      </c>
      <c r="C173" s="16"/>
      <c r="D173" s="16"/>
      <c r="E173" s="16"/>
      <c r="F173" s="16"/>
      <c r="G173" s="16"/>
      <c r="H173" s="16"/>
      <c r="I173" s="16"/>
      <c r="J173" s="16"/>
      <c r="K173" s="447">
        <f>CHOOSE($K$4,K170,K171,K172)</f>
        <v>45</v>
      </c>
      <c r="L173" s="447">
        <f>CHOOSE($K$4,L170,L171,L172)</f>
        <v>45</v>
      </c>
      <c r="M173" s="447">
        <f>CHOOSE($K$4,M170,M171,M172)</f>
        <v>42</v>
      </c>
      <c r="N173" s="447">
        <f>CHOOSE($K$4,N170,N171,N172)</f>
        <v>42</v>
      </c>
      <c r="O173" s="447">
        <f>CHOOSE($K$4,O170,O171,O172)</f>
        <v>42</v>
      </c>
      <c r="P173" s="447">
        <f t="shared" ref="P173:T173" si="53">CHOOSE($K$4,P170,P171,P172)</f>
        <v>40</v>
      </c>
      <c r="Q173" s="447">
        <f t="shared" si="53"/>
        <v>40</v>
      </c>
      <c r="R173" s="447">
        <f t="shared" si="53"/>
        <v>39</v>
      </c>
      <c r="S173" s="608">
        <f t="shared" si="53"/>
        <v>39.4</v>
      </c>
      <c r="T173" s="447">
        <f t="shared" si="53"/>
        <v>39</v>
      </c>
    </row>
    <row r="174" spans="2:20" outlineLevel="1"/>
    <row r="175" spans="2:20" outlineLevel="1">
      <c r="B175" s="26" t="s">
        <v>766</v>
      </c>
      <c r="C175" s="27"/>
      <c r="D175" s="27"/>
      <c r="E175" s="27"/>
      <c r="F175" s="27"/>
      <c r="G175" s="27"/>
      <c r="H175" s="27"/>
      <c r="I175" s="27"/>
      <c r="J175" s="27"/>
      <c r="K175" s="27"/>
      <c r="L175" s="27"/>
      <c r="M175" s="27"/>
      <c r="N175" s="27"/>
      <c r="O175" s="27"/>
      <c r="P175" s="27"/>
      <c r="Q175" s="27"/>
      <c r="R175" s="27"/>
      <c r="S175" s="27"/>
      <c r="T175" s="27"/>
    </row>
    <row r="176" spans="2:20" outlineLevel="1">
      <c r="B176" s="14" t="s">
        <v>22</v>
      </c>
      <c r="C176" s="13"/>
      <c r="D176" s="13"/>
      <c r="E176" s="13"/>
      <c r="F176" s="13"/>
      <c r="G176" s="13"/>
      <c r="H176" s="13"/>
      <c r="I176" s="13"/>
      <c r="J176" s="17"/>
      <c r="K176" s="14">
        <v>47</v>
      </c>
      <c r="L176" s="14">
        <v>47</v>
      </c>
      <c r="M176" s="14">
        <v>46</v>
      </c>
      <c r="N176" s="14">
        <v>46</v>
      </c>
      <c r="O176" s="14">
        <v>46</v>
      </c>
      <c r="P176" s="14">
        <v>44</v>
      </c>
      <c r="Q176" s="14">
        <v>44</v>
      </c>
      <c r="R176" s="14">
        <v>42</v>
      </c>
      <c r="S176" s="14">
        <v>40</v>
      </c>
      <c r="T176" s="14">
        <v>40</v>
      </c>
    </row>
    <row r="177" spans="2:20" outlineLevel="1">
      <c r="B177" s="14" t="s">
        <v>23</v>
      </c>
      <c r="C177" s="13"/>
      <c r="D177" s="13"/>
      <c r="E177" s="13"/>
      <c r="F177" s="13"/>
      <c r="G177" s="13"/>
      <c r="H177" s="13"/>
      <c r="I177" s="13"/>
      <c r="J177" s="13"/>
      <c r="K177" s="14">
        <v>47</v>
      </c>
      <c r="L177" s="14">
        <v>47</v>
      </c>
      <c r="M177" s="14">
        <v>46</v>
      </c>
      <c r="N177" s="14">
        <v>46</v>
      </c>
      <c r="O177" s="14">
        <v>46</v>
      </c>
      <c r="P177" s="14">
        <v>46</v>
      </c>
      <c r="Q177" s="14">
        <v>46</v>
      </c>
      <c r="R177" s="14">
        <v>46</v>
      </c>
      <c r="S177" s="14">
        <v>46</v>
      </c>
      <c r="T177" s="14">
        <v>46</v>
      </c>
    </row>
    <row r="178" spans="2:20" outlineLevel="1">
      <c r="B178" s="14" t="s">
        <v>24</v>
      </c>
      <c r="C178" s="13"/>
      <c r="D178" s="13"/>
      <c r="E178" s="13"/>
      <c r="F178" s="13"/>
      <c r="G178" s="13"/>
      <c r="H178" s="13"/>
      <c r="I178" s="13"/>
      <c r="J178" s="13"/>
      <c r="K178" s="14">
        <v>48</v>
      </c>
      <c r="L178" s="14">
        <v>48</v>
      </c>
      <c r="M178" s="14">
        <v>48</v>
      </c>
      <c r="N178" s="14">
        <v>48</v>
      </c>
      <c r="O178" s="14">
        <v>48</v>
      </c>
      <c r="P178" s="14">
        <v>48</v>
      </c>
      <c r="Q178" s="14">
        <v>48</v>
      </c>
      <c r="R178" s="14">
        <v>48</v>
      </c>
      <c r="S178" s="14">
        <v>48</v>
      </c>
      <c r="T178" s="14">
        <v>48</v>
      </c>
    </row>
    <row r="179" spans="2:20" outlineLevel="1">
      <c r="B179" s="15" t="str">
        <f>"Current Case - "&amp;CHOOSE($K$4,B176,B177,B178)</f>
        <v>Current Case - Management Case</v>
      </c>
      <c r="C179" s="16"/>
      <c r="D179" s="16"/>
      <c r="E179" s="16"/>
      <c r="F179" s="16"/>
      <c r="G179" s="16"/>
      <c r="H179" s="16"/>
      <c r="I179" s="16"/>
      <c r="J179" s="16"/>
      <c r="K179" s="447">
        <f>CHOOSE($K$4,K176,K177,K178)</f>
        <v>47</v>
      </c>
      <c r="L179" s="447">
        <f>CHOOSE($K$4,L176,L177,L178)</f>
        <v>47</v>
      </c>
      <c r="M179" s="447">
        <f>CHOOSE($K$4,M176,M177,M178)</f>
        <v>46</v>
      </c>
      <c r="N179" s="447">
        <f>CHOOSE($K$4,N176,N177,N178)</f>
        <v>46</v>
      </c>
      <c r="O179" s="447">
        <f>CHOOSE($K$4,O176,O177,O178)</f>
        <v>46</v>
      </c>
      <c r="P179" s="447">
        <f t="shared" ref="P179:T179" si="54">CHOOSE($K$4,P176,P177,P178)</f>
        <v>44</v>
      </c>
      <c r="Q179" s="447">
        <f t="shared" si="54"/>
        <v>44</v>
      </c>
      <c r="R179" s="447">
        <f t="shared" si="54"/>
        <v>42</v>
      </c>
      <c r="S179" s="447">
        <f t="shared" si="54"/>
        <v>40</v>
      </c>
      <c r="T179" s="447">
        <f t="shared" si="54"/>
        <v>40</v>
      </c>
    </row>
    <row r="180" spans="2:20" outlineLevel="1"/>
    <row r="181" spans="2:20" outlineLevel="1">
      <c r="B181" s="26" t="s">
        <v>522</v>
      </c>
      <c r="C181" s="27"/>
      <c r="D181" s="27"/>
      <c r="E181" s="27"/>
      <c r="F181" s="27"/>
      <c r="G181" s="27"/>
      <c r="H181" s="27"/>
      <c r="I181" s="27"/>
      <c r="J181" s="27"/>
      <c r="K181" s="27"/>
      <c r="L181" s="27"/>
      <c r="M181" s="27"/>
      <c r="N181" s="27"/>
      <c r="O181" s="27"/>
      <c r="P181" s="27"/>
      <c r="Q181" s="27"/>
      <c r="R181" s="27"/>
      <c r="S181" s="27"/>
      <c r="T181" s="27"/>
    </row>
    <row r="182" spans="2:20" outlineLevel="1">
      <c r="B182" s="14" t="s">
        <v>22</v>
      </c>
      <c r="C182" s="13"/>
      <c r="D182" s="13"/>
      <c r="E182" s="13"/>
      <c r="F182" s="13"/>
      <c r="G182" s="13"/>
      <c r="H182" s="13"/>
      <c r="I182" s="13"/>
      <c r="J182" s="17"/>
      <c r="K182" s="17">
        <v>0.14000000000000001</v>
      </c>
      <c r="L182" s="17">
        <v>0.14000000000000001</v>
      </c>
      <c r="M182" s="17">
        <v>0.13</v>
      </c>
      <c r="N182" s="17">
        <v>0.12</v>
      </c>
      <c r="O182" s="17">
        <v>0.11</v>
      </c>
      <c r="P182" s="17">
        <v>0.11</v>
      </c>
      <c r="Q182" s="17">
        <v>0.1</v>
      </c>
      <c r="R182" s="17">
        <v>0.1</v>
      </c>
      <c r="S182" s="17">
        <v>0.1</v>
      </c>
      <c r="T182" s="17">
        <v>0.1</v>
      </c>
    </row>
    <row r="183" spans="2:20" outlineLevel="1">
      <c r="B183" s="14" t="s">
        <v>23</v>
      </c>
      <c r="C183" s="13"/>
      <c r="D183" s="13"/>
      <c r="E183" s="13"/>
      <c r="F183" s="13"/>
      <c r="G183" s="13"/>
      <c r="H183" s="13"/>
      <c r="I183" s="13"/>
      <c r="J183" s="13"/>
      <c r="K183" s="17">
        <v>0.14000000000000001</v>
      </c>
      <c r="L183" s="17">
        <v>0.14000000000000001</v>
      </c>
      <c r="M183" s="17">
        <v>0.13</v>
      </c>
      <c r="N183" s="17">
        <v>0.12</v>
      </c>
      <c r="O183" s="17">
        <v>0.11</v>
      </c>
      <c r="P183" s="17">
        <v>0.11</v>
      </c>
      <c r="Q183" s="17">
        <v>0.11</v>
      </c>
      <c r="R183" s="17">
        <v>0.11</v>
      </c>
      <c r="S183" s="17">
        <v>0.11</v>
      </c>
      <c r="T183" s="17">
        <v>0.11</v>
      </c>
    </row>
    <row r="184" spans="2:20" outlineLevel="1">
      <c r="B184" s="14" t="s">
        <v>24</v>
      </c>
      <c r="C184" s="13"/>
      <c r="D184" s="13"/>
      <c r="E184" s="13"/>
      <c r="F184" s="13"/>
      <c r="G184" s="13"/>
      <c r="H184" s="13"/>
      <c r="I184" s="13"/>
      <c r="J184" s="13"/>
      <c r="K184" s="17">
        <v>0.14000000000000001</v>
      </c>
      <c r="L184" s="17">
        <v>0.14000000000000001</v>
      </c>
      <c r="M184" s="17">
        <v>0.13</v>
      </c>
      <c r="N184" s="17">
        <v>0.12</v>
      </c>
      <c r="O184" s="17">
        <v>0.11</v>
      </c>
      <c r="P184" s="17">
        <v>0.11</v>
      </c>
      <c r="Q184" s="17">
        <v>0.11</v>
      </c>
      <c r="R184" s="17">
        <v>0.11</v>
      </c>
      <c r="S184" s="17">
        <v>0.11</v>
      </c>
      <c r="T184" s="17">
        <v>0.11</v>
      </c>
    </row>
    <row r="185" spans="2:20" outlineLevel="1">
      <c r="B185" s="15" t="str">
        <f>"Current Case - "&amp;CHOOSE($K$4,B182,B183,B184)</f>
        <v>Current Case - Management Case</v>
      </c>
      <c r="C185" s="16"/>
      <c r="D185" s="16"/>
      <c r="E185" s="16"/>
      <c r="F185" s="16"/>
      <c r="G185" s="16"/>
      <c r="H185" s="16"/>
      <c r="I185" s="16"/>
      <c r="J185" s="16"/>
      <c r="K185" s="37">
        <f>CHOOSE($K$4,K182,K183,K184)</f>
        <v>0.14000000000000001</v>
      </c>
      <c r="L185" s="37">
        <f>CHOOSE($K$4,L182,L183,L184)</f>
        <v>0.14000000000000001</v>
      </c>
      <c r="M185" s="37">
        <f>CHOOSE($K$4,M182,M183,M184)</f>
        <v>0.13</v>
      </c>
      <c r="N185" s="37">
        <f>CHOOSE($K$4,N182,N183,N184)</f>
        <v>0.12</v>
      </c>
      <c r="O185" s="37">
        <f>CHOOSE($K$4,O182,O183,O184)</f>
        <v>0.11</v>
      </c>
      <c r="P185" s="37">
        <f t="shared" ref="P185:T185" si="55">CHOOSE($K$4,P182,P183,P184)</f>
        <v>0.11</v>
      </c>
      <c r="Q185" s="37">
        <f t="shared" si="55"/>
        <v>0.1</v>
      </c>
      <c r="R185" s="37">
        <f t="shared" si="55"/>
        <v>0.1</v>
      </c>
      <c r="S185" s="37">
        <f t="shared" si="55"/>
        <v>0.1</v>
      </c>
      <c r="T185" s="37">
        <f t="shared" si="55"/>
        <v>0.1</v>
      </c>
    </row>
    <row r="186" spans="2:20" outlineLevel="1"/>
    <row r="187" spans="2:20" outlineLevel="1">
      <c r="B187" s="26" t="s">
        <v>767</v>
      </c>
      <c r="C187" s="27"/>
      <c r="D187" s="27"/>
      <c r="E187" s="27"/>
      <c r="F187" s="27"/>
      <c r="G187" s="27"/>
      <c r="H187" s="27"/>
      <c r="I187" s="27"/>
      <c r="J187" s="27"/>
      <c r="K187" s="27"/>
      <c r="L187" s="27"/>
      <c r="M187" s="27"/>
      <c r="N187" s="27"/>
      <c r="O187" s="27"/>
      <c r="P187" s="27"/>
      <c r="Q187" s="27"/>
      <c r="R187" s="27"/>
      <c r="S187" s="27"/>
      <c r="T187" s="27"/>
    </row>
    <row r="188" spans="2:20" outlineLevel="1">
      <c r="B188" s="14" t="s">
        <v>22</v>
      </c>
      <c r="C188" s="13"/>
      <c r="D188" s="13"/>
      <c r="E188" s="13"/>
      <c r="F188" s="13"/>
      <c r="G188" s="13"/>
      <c r="H188" s="13"/>
      <c r="I188" s="13"/>
      <c r="J188" s="17"/>
      <c r="K188" s="14">
        <v>105</v>
      </c>
      <c r="L188" s="14">
        <v>105</v>
      </c>
      <c r="M188" s="14">
        <v>105</v>
      </c>
      <c r="N188" s="14">
        <v>102</v>
      </c>
      <c r="O188" s="14">
        <v>102</v>
      </c>
      <c r="P188" s="14">
        <v>102</v>
      </c>
      <c r="Q188" s="14">
        <v>100</v>
      </c>
      <c r="R188" s="14">
        <v>100</v>
      </c>
      <c r="S188" s="14">
        <v>100</v>
      </c>
      <c r="T188" s="14">
        <v>100</v>
      </c>
    </row>
    <row r="189" spans="2:20" outlineLevel="1">
      <c r="B189" s="14" t="s">
        <v>23</v>
      </c>
      <c r="C189" s="13"/>
      <c r="D189" s="13"/>
      <c r="E189" s="13"/>
      <c r="F189" s="13"/>
      <c r="G189" s="13"/>
      <c r="H189" s="13"/>
      <c r="I189" s="13"/>
      <c r="J189" s="13"/>
      <c r="K189" s="14">
        <v>105</v>
      </c>
      <c r="L189" s="14">
        <v>105</v>
      </c>
      <c r="M189" s="14">
        <v>105</v>
      </c>
      <c r="N189" s="14">
        <v>105</v>
      </c>
      <c r="O189" s="14">
        <v>105</v>
      </c>
      <c r="P189" s="14">
        <v>105</v>
      </c>
      <c r="Q189" s="14">
        <v>105</v>
      </c>
      <c r="R189" s="14">
        <v>105</v>
      </c>
      <c r="S189" s="14">
        <v>105</v>
      </c>
      <c r="T189" s="14">
        <v>105</v>
      </c>
    </row>
    <row r="190" spans="2:20" outlineLevel="1">
      <c r="B190" s="14" t="s">
        <v>24</v>
      </c>
      <c r="C190" s="13"/>
      <c r="D190" s="13"/>
      <c r="E190" s="13"/>
      <c r="F190" s="13"/>
      <c r="G190" s="13"/>
      <c r="H190" s="13"/>
      <c r="I190" s="13"/>
      <c r="J190" s="13"/>
      <c r="K190" s="14">
        <v>108</v>
      </c>
      <c r="L190" s="14">
        <v>108</v>
      </c>
      <c r="M190" s="14">
        <v>108</v>
      </c>
      <c r="N190" s="14">
        <v>108</v>
      </c>
      <c r="O190" s="14">
        <v>108</v>
      </c>
      <c r="P190" s="14">
        <v>108</v>
      </c>
      <c r="Q190" s="14">
        <v>108</v>
      </c>
      <c r="R190" s="14">
        <v>108</v>
      </c>
      <c r="S190" s="14">
        <v>108</v>
      </c>
      <c r="T190" s="14">
        <v>108</v>
      </c>
    </row>
    <row r="191" spans="2:20" outlineLevel="1">
      <c r="B191" s="15" t="str">
        <f>"Current Case - "&amp;CHOOSE($K$4,B188,B189,B190)</f>
        <v>Current Case - Management Case</v>
      </c>
      <c r="C191" s="16"/>
      <c r="D191" s="16"/>
      <c r="E191" s="16"/>
      <c r="F191" s="16"/>
      <c r="G191" s="16"/>
      <c r="H191" s="16"/>
      <c r="I191" s="16"/>
      <c r="J191" s="16"/>
      <c r="K191" s="447">
        <f>CHOOSE($K$4,K188,K189,K190)</f>
        <v>105</v>
      </c>
      <c r="L191" s="447">
        <f t="shared" ref="L191:O191" si="56">CHOOSE($K$4,L188,L189,L190)</f>
        <v>105</v>
      </c>
      <c r="M191" s="447">
        <f t="shared" si="56"/>
        <v>105</v>
      </c>
      <c r="N191" s="447">
        <f t="shared" si="56"/>
        <v>102</v>
      </c>
      <c r="O191" s="447">
        <f t="shared" si="56"/>
        <v>102</v>
      </c>
      <c r="P191" s="447">
        <f t="shared" ref="P191:T191" si="57">CHOOSE($K$4,P188,P189,P190)</f>
        <v>102</v>
      </c>
      <c r="Q191" s="447">
        <f t="shared" si="57"/>
        <v>100</v>
      </c>
      <c r="R191" s="447">
        <f t="shared" si="57"/>
        <v>100</v>
      </c>
      <c r="S191" s="447">
        <f t="shared" si="57"/>
        <v>100</v>
      </c>
      <c r="T191" s="447">
        <f t="shared" si="57"/>
        <v>100</v>
      </c>
    </row>
    <row r="192" spans="2:20" outlineLevel="1">
      <c r="B192" s="18"/>
      <c r="K192" s="180"/>
      <c r="L192" s="180"/>
      <c r="M192" s="180"/>
      <c r="N192" s="180"/>
      <c r="O192" s="180"/>
      <c r="P192" s="180"/>
      <c r="Q192" s="180"/>
      <c r="R192" s="180"/>
      <c r="S192" s="180"/>
      <c r="T192" s="180"/>
    </row>
    <row r="193" spans="2:20" outlineLevel="1">
      <c r="B193" s="26" t="s">
        <v>768</v>
      </c>
      <c r="C193" s="27"/>
      <c r="D193" s="27"/>
      <c r="E193" s="27"/>
      <c r="F193" s="27"/>
      <c r="G193" s="27"/>
      <c r="H193" s="27"/>
      <c r="I193" s="27"/>
      <c r="J193" s="27"/>
      <c r="K193" s="27"/>
      <c r="L193" s="27"/>
      <c r="M193" s="27"/>
      <c r="N193" s="27"/>
      <c r="O193" s="27"/>
      <c r="P193" s="27"/>
      <c r="Q193" s="27"/>
      <c r="R193" s="27"/>
      <c r="S193" s="27"/>
      <c r="T193" s="27"/>
    </row>
    <row r="194" spans="2:20" outlineLevel="1">
      <c r="B194" s="14" t="s">
        <v>22</v>
      </c>
      <c r="C194" s="13"/>
      <c r="D194" s="13"/>
      <c r="E194" s="13"/>
      <c r="F194" s="13"/>
      <c r="G194" s="13"/>
      <c r="H194" s="13"/>
      <c r="I194" s="13"/>
      <c r="J194" s="17"/>
      <c r="K194" s="17">
        <v>0</v>
      </c>
      <c r="L194" s="17">
        <v>0</v>
      </c>
      <c r="M194" s="17">
        <v>0</v>
      </c>
      <c r="N194" s="17">
        <v>0</v>
      </c>
      <c r="O194" s="17">
        <v>0</v>
      </c>
      <c r="P194" s="17">
        <v>0</v>
      </c>
      <c r="Q194" s="17">
        <v>0</v>
      </c>
      <c r="R194" s="17">
        <v>0</v>
      </c>
      <c r="S194" s="17">
        <v>0</v>
      </c>
      <c r="T194" s="17">
        <v>0</v>
      </c>
    </row>
    <row r="195" spans="2:20" outlineLevel="1">
      <c r="B195" s="14" t="s">
        <v>23</v>
      </c>
      <c r="C195" s="13"/>
      <c r="D195" s="13"/>
      <c r="E195" s="13"/>
      <c r="F195" s="13"/>
      <c r="G195" s="13"/>
      <c r="H195" s="13"/>
      <c r="I195" s="13"/>
      <c r="J195" s="13"/>
      <c r="K195" s="17">
        <v>0</v>
      </c>
      <c r="L195" s="17">
        <v>0</v>
      </c>
      <c r="M195" s="17">
        <v>0</v>
      </c>
      <c r="N195" s="17">
        <v>0</v>
      </c>
      <c r="O195" s="17">
        <v>0</v>
      </c>
      <c r="P195" s="17">
        <v>0</v>
      </c>
      <c r="Q195" s="17">
        <v>0</v>
      </c>
      <c r="R195" s="17">
        <v>0</v>
      </c>
      <c r="S195" s="17">
        <v>0</v>
      </c>
      <c r="T195" s="17">
        <v>0</v>
      </c>
    </row>
    <row r="196" spans="2:20" outlineLevel="1">
      <c r="B196" s="14" t="s">
        <v>24</v>
      </c>
      <c r="C196" s="13"/>
      <c r="D196" s="13"/>
      <c r="E196" s="13"/>
      <c r="F196" s="13"/>
      <c r="G196" s="13"/>
      <c r="H196" s="13"/>
      <c r="I196" s="13"/>
      <c r="J196" s="13"/>
      <c r="K196" s="17">
        <v>0</v>
      </c>
      <c r="L196" s="17">
        <v>0</v>
      </c>
      <c r="M196" s="17">
        <v>0</v>
      </c>
      <c r="N196" s="17">
        <v>0</v>
      </c>
      <c r="O196" s="17">
        <v>0</v>
      </c>
      <c r="P196" s="17">
        <v>0</v>
      </c>
      <c r="Q196" s="17">
        <v>0</v>
      </c>
      <c r="R196" s="17">
        <v>0</v>
      </c>
      <c r="S196" s="17">
        <v>0</v>
      </c>
      <c r="T196" s="17">
        <v>0</v>
      </c>
    </row>
    <row r="197" spans="2:20" outlineLevel="1">
      <c r="B197" s="15" t="str">
        <f>"Current Case - "&amp;CHOOSE($K$4,B194,B195,B196)</f>
        <v>Current Case - Management Case</v>
      </c>
      <c r="C197" s="16"/>
      <c r="D197" s="16"/>
      <c r="E197" s="16"/>
      <c r="F197" s="16"/>
      <c r="G197" s="16"/>
      <c r="H197" s="16"/>
      <c r="I197" s="16"/>
      <c r="J197" s="16"/>
      <c r="K197" s="37">
        <f>CHOOSE($K$4,K194,K195,K196)</f>
        <v>0</v>
      </c>
      <c r="L197" s="37">
        <f>CHOOSE($K$4,L194,L195,L196)</f>
        <v>0</v>
      </c>
      <c r="M197" s="37">
        <f>CHOOSE($K$4,M194,M195,M196)</f>
        <v>0</v>
      </c>
      <c r="N197" s="37">
        <f>CHOOSE($K$4,N194,N195,N196)</f>
        <v>0</v>
      </c>
      <c r="O197" s="37">
        <f>CHOOSE($K$4,O194,O195,O196)</f>
        <v>0</v>
      </c>
      <c r="P197" s="37">
        <f t="shared" ref="P197:T197" si="58">CHOOSE($K$4,P194,P195,P196)</f>
        <v>0</v>
      </c>
      <c r="Q197" s="37">
        <f t="shared" si="58"/>
        <v>0</v>
      </c>
      <c r="R197" s="37">
        <f t="shared" si="58"/>
        <v>0</v>
      </c>
      <c r="S197" s="37">
        <f t="shared" si="58"/>
        <v>0</v>
      </c>
      <c r="T197" s="37">
        <f t="shared" si="58"/>
        <v>0</v>
      </c>
    </row>
    <row r="198" spans="2:20" outlineLevel="1"/>
    <row r="199" spans="2:20" outlineLevel="1">
      <c r="B199" s="26" t="s">
        <v>769</v>
      </c>
      <c r="C199" s="27"/>
      <c r="D199" s="27"/>
      <c r="E199" s="27"/>
      <c r="F199" s="27"/>
      <c r="G199" s="27"/>
      <c r="H199" s="27"/>
      <c r="I199" s="27"/>
      <c r="J199" s="27"/>
      <c r="K199" s="27"/>
      <c r="L199" s="27"/>
      <c r="M199" s="27"/>
      <c r="N199" s="27"/>
      <c r="O199" s="27"/>
      <c r="P199" s="27"/>
      <c r="Q199" s="27"/>
      <c r="R199" s="27"/>
      <c r="S199" s="27"/>
      <c r="T199" s="27"/>
    </row>
    <row r="200" spans="2:20" outlineLevel="1">
      <c r="B200" s="14" t="s">
        <v>22</v>
      </c>
      <c r="C200" s="13"/>
      <c r="D200" s="13"/>
      <c r="E200" s="13"/>
      <c r="F200" s="13"/>
      <c r="G200" s="13"/>
      <c r="H200" s="13"/>
      <c r="I200" s="13"/>
      <c r="J200" s="17"/>
      <c r="K200" s="17">
        <v>0</v>
      </c>
      <c r="L200" s="17">
        <v>0</v>
      </c>
      <c r="M200" s="17">
        <v>0</v>
      </c>
      <c r="N200" s="17">
        <v>0</v>
      </c>
      <c r="O200" s="17">
        <v>0</v>
      </c>
      <c r="P200" s="17">
        <v>0</v>
      </c>
      <c r="Q200" s="17">
        <v>0</v>
      </c>
      <c r="R200" s="17">
        <v>0</v>
      </c>
      <c r="S200" s="17">
        <v>0</v>
      </c>
      <c r="T200" s="17">
        <v>0</v>
      </c>
    </row>
    <row r="201" spans="2:20" outlineLevel="1">
      <c r="B201" s="14" t="s">
        <v>23</v>
      </c>
      <c r="C201" s="13"/>
      <c r="D201" s="13"/>
      <c r="E201" s="13"/>
      <c r="F201" s="13"/>
      <c r="G201" s="13"/>
      <c r="H201" s="13"/>
      <c r="I201" s="13"/>
      <c r="J201" s="13"/>
      <c r="K201" s="17">
        <v>0</v>
      </c>
      <c r="L201" s="17">
        <v>0</v>
      </c>
      <c r="M201" s="17">
        <v>0</v>
      </c>
      <c r="N201" s="17">
        <v>0</v>
      </c>
      <c r="O201" s="17">
        <v>0</v>
      </c>
      <c r="P201" s="17">
        <v>0</v>
      </c>
      <c r="Q201" s="17">
        <v>0</v>
      </c>
      <c r="R201" s="17">
        <v>0</v>
      </c>
      <c r="S201" s="17">
        <v>0</v>
      </c>
      <c r="T201" s="17">
        <v>0</v>
      </c>
    </row>
    <row r="202" spans="2:20" outlineLevel="1">
      <c r="B202" s="14" t="s">
        <v>24</v>
      </c>
      <c r="C202" s="13"/>
      <c r="D202" s="13"/>
      <c r="E202" s="13"/>
      <c r="F202" s="13"/>
      <c r="G202" s="13"/>
      <c r="H202" s="13"/>
      <c r="I202" s="13"/>
      <c r="J202" s="13"/>
      <c r="K202" s="17">
        <v>0</v>
      </c>
      <c r="L202" s="17">
        <v>0</v>
      </c>
      <c r="M202" s="17">
        <v>0</v>
      </c>
      <c r="N202" s="17">
        <v>0</v>
      </c>
      <c r="O202" s="17">
        <v>0</v>
      </c>
      <c r="P202" s="17">
        <v>0</v>
      </c>
      <c r="Q202" s="17">
        <v>0</v>
      </c>
      <c r="R202" s="17">
        <v>0</v>
      </c>
      <c r="S202" s="17">
        <v>0</v>
      </c>
      <c r="T202" s="17">
        <v>0</v>
      </c>
    </row>
    <row r="203" spans="2:20" outlineLevel="1">
      <c r="B203" s="15" t="str">
        <f>"Current Case - "&amp;CHOOSE($K$4,B200,B201,B202)</f>
        <v>Current Case - Management Case</v>
      </c>
      <c r="C203" s="16"/>
      <c r="D203" s="16"/>
      <c r="E203" s="16"/>
      <c r="F203" s="16"/>
      <c r="G203" s="16"/>
      <c r="H203" s="16"/>
      <c r="I203" s="16"/>
      <c r="J203" s="16"/>
      <c r="K203" s="37">
        <f>CHOOSE($K$4,K200,K201,K202)</f>
        <v>0</v>
      </c>
      <c r="L203" s="37">
        <f>CHOOSE($K$4,L200,L201,L202)</f>
        <v>0</v>
      </c>
      <c r="M203" s="37">
        <f>CHOOSE($K$4,M200,M201,M202)</f>
        <v>0</v>
      </c>
      <c r="N203" s="37">
        <f>CHOOSE($K$4,N200,N201,N202)</f>
        <v>0</v>
      </c>
      <c r="O203" s="37">
        <f>CHOOSE($K$4,O200,O201,O202)</f>
        <v>0</v>
      </c>
      <c r="P203" s="37">
        <f t="shared" ref="P203:T203" si="59">CHOOSE($K$4,P200,P201,P202)</f>
        <v>0</v>
      </c>
      <c r="Q203" s="37">
        <f t="shared" si="59"/>
        <v>0</v>
      </c>
      <c r="R203" s="37">
        <f t="shared" si="59"/>
        <v>0</v>
      </c>
      <c r="S203" s="37">
        <f t="shared" si="59"/>
        <v>0</v>
      </c>
      <c r="T203" s="37">
        <f t="shared" si="59"/>
        <v>0</v>
      </c>
    </row>
    <row r="204" spans="2:20" outlineLevel="1"/>
    <row r="205" spans="2:20" outlineLevel="1">
      <c r="B205" s="26" t="s">
        <v>770</v>
      </c>
      <c r="C205" s="27"/>
      <c r="D205" s="27"/>
      <c r="E205" s="27"/>
      <c r="F205" s="27"/>
      <c r="G205" s="27"/>
      <c r="H205" s="27"/>
      <c r="I205" s="27"/>
      <c r="J205" s="27"/>
      <c r="K205" s="27"/>
      <c r="L205" s="27"/>
      <c r="M205" s="27"/>
      <c r="N205" s="27"/>
      <c r="O205" s="27"/>
      <c r="P205" s="27"/>
      <c r="Q205" s="27"/>
      <c r="R205" s="27"/>
      <c r="S205" s="27"/>
      <c r="T205" s="27"/>
    </row>
    <row r="206" spans="2:20" outlineLevel="1">
      <c r="B206" s="14" t="s">
        <v>22</v>
      </c>
      <c r="C206" s="13"/>
      <c r="D206" s="13"/>
      <c r="E206" s="13"/>
      <c r="F206" s="13"/>
      <c r="G206" s="13"/>
      <c r="H206" s="13"/>
      <c r="I206" s="13"/>
      <c r="J206" s="17"/>
      <c r="K206" s="17">
        <v>0</v>
      </c>
      <c r="L206" s="17">
        <v>0</v>
      </c>
      <c r="M206" s="17">
        <v>0</v>
      </c>
      <c r="N206" s="17">
        <v>0</v>
      </c>
      <c r="O206" s="17">
        <v>0</v>
      </c>
      <c r="P206" s="17">
        <v>0</v>
      </c>
      <c r="Q206" s="17">
        <v>0</v>
      </c>
      <c r="R206" s="17">
        <v>0</v>
      </c>
      <c r="S206" s="17">
        <v>0</v>
      </c>
      <c r="T206" s="17">
        <v>0</v>
      </c>
    </row>
    <row r="207" spans="2:20" outlineLevel="1">
      <c r="B207" s="14" t="s">
        <v>23</v>
      </c>
      <c r="C207" s="13"/>
      <c r="D207" s="13"/>
      <c r="E207" s="13"/>
      <c r="F207" s="13"/>
      <c r="G207" s="13"/>
      <c r="H207" s="13"/>
      <c r="I207" s="13"/>
      <c r="J207" s="13"/>
      <c r="K207" s="17">
        <v>0</v>
      </c>
      <c r="L207" s="17">
        <v>0</v>
      </c>
      <c r="M207" s="17">
        <v>0</v>
      </c>
      <c r="N207" s="17">
        <v>0</v>
      </c>
      <c r="O207" s="17">
        <v>0</v>
      </c>
      <c r="P207" s="17">
        <v>0</v>
      </c>
      <c r="Q207" s="17">
        <v>0</v>
      </c>
      <c r="R207" s="17">
        <v>0</v>
      </c>
      <c r="S207" s="17">
        <v>0</v>
      </c>
      <c r="T207" s="17">
        <v>0</v>
      </c>
    </row>
    <row r="208" spans="2:20" outlineLevel="1">
      <c r="B208" s="14" t="s">
        <v>24</v>
      </c>
      <c r="C208" s="13"/>
      <c r="D208" s="13"/>
      <c r="E208" s="13"/>
      <c r="F208" s="13"/>
      <c r="G208" s="13"/>
      <c r="H208" s="13"/>
      <c r="I208" s="13"/>
      <c r="J208" s="13"/>
      <c r="K208" s="17">
        <v>0</v>
      </c>
      <c r="L208" s="17">
        <v>0</v>
      </c>
      <c r="M208" s="17">
        <v>0</v>
      </c>
      <c r="N208" s="17">
        <v>0</v>
      </c>
      <c r="O208" s="17">
        <v>0</v>
      </c>
      <c r="P208" s="17">
        <v>0</v>
      </c>
      <c r="Q208" s="17">
        <v>0</v>
      </c>
      <c r="R208" s="17">
        <v>0</v>
      </c>
      <c r="S208" s="17">
        <v>0</v>
      </c>
      <c r="T208" s="17">
        <v>0</v>
      </c>
    </row>
    <row r="209" spans="2:20" outlineLevel="1">
      <c r="B209" s="15" t="str">
        <f>"Current Case - "&amp;CHOOSE($K$4,B206,B207,B208)</f>
        <v>Current Case - Management Case</v>
      </c>
      <c r="C209" s="16"/>
      <c r="D209" s="16"/>
      <c r="E209" s="16"/>
      <c r="F209" s="16"/>
      <c r="G209" s="16"/>
      <c r="H209" s="16"/>
      <c r="I209" s="16"/>
      <c r="J209" s="16"/>
      <c r="K209" s="37">
        <f>CHOOSE($K$4,K206,K207,K208)</f>
        <v>0</v>
      </c>
      <c r="L209" s="37">
        <f>CHOOSE($K$4,L206,L207,L208)</f>
        <v>0</v>
      </c>
      <c r="M209" s="37">
        <f>CHOOSE($K$4,M206,M207,M208)</f>
        <v>0</v>
      </c>
      <c r="N209" s="37">
        <f>CHOOSE($K$4,N206,N207,N208)</f>
        <v>0</v>
      </c>
      <c r="O209" s="37">
        <f>CHOOSE($K$4,O206,O207,O208)</f>
        <v>0</v>
      </c>
      <c r="P209" s="37">
        <f t="shared" ref="P209:T209" si="60">CHOOSE($K$4,P206,P207,P208)</f>
        <v>0</v>
      </c>
      <c r="Q209" s="37">
        <f t="shared" si="60"/>
        <v>0</v>
      </c>
      <c r="R209" s="37">
        <f t="shared" si="60"/>
        <v>0</v>
      </c>
      <c r="S209" s="37">
        <f t="shared" si="60"/>
        <v>0</v>
      </c>
      <c r="T209" s="37">
        <f t="shared" si="60"/>
        <v>0</v>
      </c>
    </row>
    <row r="210" spans="2:20" outlineLevel="1"/>
    <row r="211" spans="2:20" outlineLevel="1">
      <c r="B211" s="26" t="s">
        <v>771</v>
      </c>
      <c r="C211" s="27"/>
      <c r="D211" s="27"/>
      <c r="E211" s="27"/>
      <c r="F211" s="27"/>
      <c r="G211" s="27"/>
      <c r="H211" s="27"/>
      <c r="I211" s="27"/>
      <c r="J211" s="27"/>
      <c r="K211" s="27"/>
      <c r="L211" s="27"/>
      <c r="M211" s="27"/>
      <c r="N211" s="27"/>
      <c r="O211" s="27"/>
      <c r="P211" s="27"/>
      <c r="Q211" s="27"/>
      <c r="R211" s="27"/>
      <c r="S211" s="27"/>
      <c r="T211" s="27"/>
    </row>
    <row r="212" spans="2:20" outlineLevel="1">
      <c r="B212" s="14" t="s">
        <v>22</v>
      </c>
      <c r="C212" s="13"/>
      <c r="D212" s="13"/>
      <c r="E212" s="13"/>
      <c r="F212" s="13"/>
      <c r="G212" s="13"/>
      <c r="H212" s="13"/>
      <c r="I212" s="13"/>
      <c r="J212" s="17"/>
      <c r="K212" s="17">
        <v>0</v>
      </c>
      <c r="L212" s="17">
        <v>0</v>
      </c>
      <c r="M212" s="17">
        <v>0</v>
      </c>
      <c r="N212" s="17">
        <v>0</v>
      </c>
      <c r="O212" s="17">
        <v>0</v>
      </c>
      <c r="P212" s="17">
        <v>0</v>
      </c>
      <c r="Q212" s="17">
        <v>0</v>
      </c>
      <c r="R212" s="17">
        <v>0</v>
      </c>
      <c r="S212" s="17">
        <v>0</v>
      </c>
      <c r="T212" s="17">
        <v>0</v>
      </c>
    </row>
    <row r="213" spans="2:20" outlineLevel="1">
      <c r="B213" s="14" t="s">
        <v>23</v>
      </c>
      <c r="C213" s="13"/>
      <c r="D213" s="13"/>
      <c r="E213" s="13"/>
      <c r="F213" s="13"/>
      <c r="G213" s="13"/>
      <c r="H213" s="13"/>
      <c r="I213" s="13"/>
      <c r="J213" s="13"/>
      <c r="K213" s="17">
        <v>0</v>
      </c>
      <c r="L213" s="17">
        <v>0</v>
      </c>
      <c r="M213" s="17">
        <v>0</v>
      </c>
      <c r="N213" s="17">
        <v>0</v>
      </c>
      <c r="O213" s="17">
        <v>0</v>
      </c>
      <c r="P213" s="17">
        <v>0</v>
      </c>
      <c r="Q213" s="17">
        <v>0</v>
      </c>
      <c r="R213" s="17">
        <v>0</v>
      </c>
      <c r="S213" s="17">
        <v>0</v>
      </c>
      <c r="T213" s="17">
        <v>0</v>
      </c>
    </row>
    <row r="214" spans="2:20" outlineLevel="1">
      <c r="B214" s="14" t="s">
        <v>24</v>
      </c>
      <c r="C214" s="13"/>
      <c r="D214" s="13"/>
      <c r="E214" s="13"/>
      <c r="F214" s="13"/>
      <c r="G214" s="13"/>
      <c r="H214" s="13"/>
      <c r="I214" s="13"/>
      <c r="J214" s="13"/>
      <c r="K214" s="17">
        <v>0</v>
      </c>
      <c r="L214" s="17">
        <v>0</v>
      </c>
      <c r="M214" s="17">
        <v>0</v>
      </c>
      <c r="N214" s="17">
        <v>0</v>
      </c>
      <c r="O214" s="17">
        <v>0</v>
      </c>
      <c r="P214" s="17">
        <v>0</v>
      </c>
      <c r="Q214" s="17">
        <v>0</v>
      </c>
      <c r="R214" s="17">
        <v>0</v>
      </c>
      <c r="S214" s="17">
        <v>0</v>
      </c>
      <c r="T214" s="17">
        <v>0</v>
      </c>
    </row>
    <row r="215" spans="2:20" outlineLevel="1">
      <c r="B215" s="15" t="str">
        <f>"Current Case - "&amp;CHOOSE($K$4,B212,B213,B214)</f>
        <v>Current Case - Management Case</v>
      </c>
      <c r="C215" s="16"/>
      <c r="D215" s="16"/>
      <c r="E215" s="16"/>
      <c r="F215" s="16"/>
      <c r="G215" s="16"/>
      <c r="H215" s="16"/>
      <c r="I215" s="16"/>
      <c r="J215" s="16"/>
      <c r="K215" s="37">
        <f>CHOOSE($K$4,K212,K213,K214)</f>
        <v>0</v>
      </c>
      <c r="L215" s="37">
        <f>CHOOSE($K$4,L212,L213,L214)</f>
        <v>0</v>
      </c>
      <c r="M215" s="37">
        <f>CHOOSE($K$4,M212,M213,M214)</f>
        <v>0</v>
      </c>
      <c r="N215" s="37">
        <f>CHOOSE($K$4,N212,N213,N214)</f>
        <v>0</v>
      </c>
      <c r="O215" s="37">
        <f>CHOOSE($K$4,O212,O213,O214)</f>
        <v>0</v>
      </c>
      <c r="P215" s="37">
        <f t="shared" ref="P215:T215" si="61">CHOOSE($K$4,P212,P213,P214)</f>
        <v>0</v>
      </c>
      <c r="Q215" s="37">
        <f t="shared" si="61"/>
        <v>0</v>
      </c>
      <c r="R215" s="37">
        <f t="shared" si="61"/>
        <v>0</v>
      </c>
      <c r="S215" s="37">
        <f t="shared" si="61"/>
        <v>0</v>
      </c>
      <c r="T215" s="37">
        <f t="shared" si="61"/>
        <v>0</v>
      </c>
    </row>
    <row r="216" spans="2:20" outlineLevel="1"/>
    <row r="217" spans="2:20" outlineLevel="1">
      <c r="B217" s="26" t="s">
        <v>772</v>
      </c>
      <c r="C217" s="27"/>
      <c r="D217" s="27"/>
      <c r="E217" s="27"/>
      <c r="F217" s="27"/>
      <c r="G217" s="27"/>
      <c r="H217" s="27"/>
      <c r="I217" s="27"/>
      <c r="J217" s="27"/>
      <c r="K217" s="27"/>
      <c r="L217" s="27"/>
      <c r="M217" s="27"/>
      <c r="N217" s="27"/>
      <c r="O217" s="27"/>
      <c r="P217" s="27"/>
      <c r="Q217" s="27"/>
      <c r="R217" s="27"/>
      <c r="S217" s="27"/>
      <c r="T217" s="27"/>
    </row>
    <row r="218" spans="2:20" outlineLevel="1">
      <c r="B218" s="14" t="s">
        <v>22</v>
      </c>
      <c r="C218" s="13"/>
      <c r="D218" s="13"/>
      <c r="E218" s="13"/>
      <c r="F218" s="13"/>
      <c r="G218" s="13"/>
      <c r="H218" s="13"/>
      <c r="I218" s="13"/>
      <c r="J218" s="17"/>
      <c r="K218" s="17">
        <v>0</v>
      </c>
      <c r="L218" s="17">
        <v>0</v>
      </c>
      <c r="M218" s="17">
        <v>0</v>
      </c>
      <c r="N218" s="17">
        <v>0</v>
      </c>
      <c r="O218" s="17">
        <v>0</v>
      </c>
      <c r="P218" s="17">
        <v>0</v>
      </c>
      <c r="Q218" s="17">
        <v>0</v>
      </c>
      <c r="R218" s="17">
        <v>0</v>
      </c>
      <c r="S218" s="17">
        <v>0</v>
      </c>
      <c r="T218" s="17">
        <v>0</v>
      </c>
    </row>
    <row r="219" spans="2:20" outlineLevel="1">
      <c r="B219" s="14" t="s">
        <v>23</v>
      </c>
      <c r="C219" s="13"/>
      <c r="D219" s="13"/>
      <c r="E219" s="13"/>
      <c r="F219" s="13"/>
      <c r="G219" s="13"/>
      <c r="H219" s="13"/>
      <c r="I219" s="13"/>
      <c r="J219" s="13"/>
      <c r="K219" s="17">
        <v>0</v>
      </c>
      <c r="L219" s="17">
        <v>0</v>
      </c>
      <c r="M219" s="17">
        <v>0</v>
      </c>
      <c r="N219" s="17">
        <v>0</v>
      </c>
      <c r="O219" s="17">
        <v>0</v>
      </c>
      <c r="P219" s="17">
        <v>0</v>
      </c>
      <c r="Q219" s="17">
        <v>0</v>
      </c>
      <c r="R219" s="17">
        <v>0</v>
      </c>
      <c r="S219" s="17">
        <v>0</v>
      </c>
      <c r="T219" s="17">
        <v>0</v>
      </c>
    </row>
    <row r="220" spans="2:20" outlineLevel="1">
      <c r="B220" s="14" t="s">
        <v>24</v>
      </c>
      <c r="C220" s="13"/>
      <c r="D220" s="13"/>
      <c r="E220" s="13"/>
      <c r="F220" s="13"/>
      <c r="G220" s="13"/>
      <c r="H220" s="13"/>
      <c r="I220" s="13"/>
      <c r="J220" s="13"/>
      <c r="K220" s="17">
        <v>0</v>
      </c>
      <c r="L220" s="17">
        <v>0</v>
      </c>
      <c r="M220" s="17">
        <v>0</v>
      </c>
      <c r="N220" s="17">
        <v>0</v>
      </c>
      <c r="O220" s="17">
        <v>0</v>
      </c>
      <c r="P220" s="17">
        <v>0</v>
      </c>
      <c r="Q220" s="17">
        <v>0</v>
      </c>
      <c r="R220" s="17">
        <v>0</v>
      </c>
      <c r="S220" s="17">
        <v>0</v>
      </c>
      <c r="T220" s="17">
        <v>0</v>
      </c>
    </row>
    <row r="221" spans="2:20" outlineLevel="1">
      <c r="B221" s="15" t="str">
        <f>"Current Case - "&amp;CHOOSE($K$4,B218,B219,B220)</f>
        <v>Current Case - Management Case</v>
      </c>
      <c r="C221" s="16"/>
      <c r="D221" s="16"/>
      <c r="E221" s="16"/>
      <c r="F221" s="16"/>
      <c r="G221" s="16"/>
      <c r="H221" s="16"/>
      <c r="I221" s="16"/>
      <c r="J221" s="16"/>
      <c r="K221" s="37">
        <f>CHOOSE($K$4,K218,K219,K220)</f>
        <v>0</v>
      </c>
      <c r="L221" s="37">
        <f>CHOOSE($K$4,L218,L219,L220)</f>
        <v>0</v>
      </c>
      <c r="M221" s="37">
        <f>CHOOSE($K$4,M218,M219,M220)</f>
        <v>0</v>
      </c>
      <c r="N221" s="37">
        <f>CHOOSE($K$4,N218,N219,N220)</f>
        <v>0</v>
      </c>
      <c r="O221" s="37">
        <f>CHOOSE($K$4,O218,O219,O220)</f>
        <v>0</v>
      </c>
      <c r="P221" s="37">
        <f t="shared" ref="P221:T221" si="62">CHOOSE($K$4,P218,P219,P220)</f>
        <v>0</v>
      </c>
      <c r="Q221" s="37">
        <f t="shared" si="62"/>
        <v>0</v>
      </c>
      <c r="R221" s="37">
        <f t="shared" si="62"/>
        <v>0</v>
      </c>
      <c r="S221" s="37">
        <f t="shared" si="62"/>
        <v>0</v>
      </c>
      <c r="T221" s="37">
        <f t="shared" si="62"/>
        <v>0</v>
      </c>
    </row>
    <row r="222" spans="2:20" outlineLevel="1"/>
    <row r="223" spans="2:20" outlineLevel="1">
      <c r="B223" s="26" t="s">
        <v>773</v>
      </c>
      <c r="C223" s="27"/>
      <c r="D223" s="27"/>
      <c r="E223" s="27"/>
      <c r="F223" s="27"/>
      <c r="G223" s="27"/>
      <c r="H223" s="27"/>
      <c r="I223" s="27"/>
      <c r="J223" s="27"/>
      <c r="K223" s="27"/>
      <c r="L223" s="27"/>
      <c r="M223" s="27"/>
      <c r="N223" s="27"/>
      <c r="O223" s="27"/>
      <c r="P223" s="27"/>
      <c r="Q223" s="27"/>
      <c r="R223" s="27"/>
      <c r="S223" s="27"/>
      <c r="T223" s="27"/>
    </row>
    <row r="224" spans="2:20" outlineLevel="1">
      <c r="B224" s="14" t="s">
        <v>22</v>
      </c>
      <c r="C224" s="13"/>
      <c r="D224" s="13"/>
      <c r="E224" s="13"/>
      <c r="F224" s="13"/>
      <c r="G224" s="13"/>
      <c r="H224" s="13"/>
      <c r="I224" s="13"/>
      <c r="J224" s="17"/>
      <c r="K224" s="17">
        <v>0</v>
      </c>
      <c r="L224" s="17">
        <v>0</v>
      </c>
      <c r="M224" s="17">
        <v>0</v>
      </c>
      <c r="N224" s="17">
        <v>0</v>
      </c>
      <c r="O224" s="17">
        <v>0</v>
      </c>
      <c r="P224" s="17">
        <v>0</v>
      </c>
      <c r="Q224" s="17">
        <v>0</v>
      </c>
      <c r="R224" s="17">
        <v>0</v>
      </c>
      <c r="S224" s="17">
        <v>0</v>
      </c>
      <c r="T224" s="17">
        <v>0</v>
      </c>
    </row>
    <row r="225" spans="2:20" outlineLevel="1">
      <c r="B225" s="14" t="s">
        <v>23</v>
      </c>
      <c r="C225" s="13"/>
      <c r="D225" s="13"/>
      <c r="E225" s="13"/>
      <c r="F225" s="13"/>
      <c r="G225" s="13"/>
      <c r="H225" s="13"/>
      <c r="I225" s="13"/>
      <c r="J225" s="13"/>
      <c r="K225" s="17">
        <v>0</v>
      </c>
      <c r="L225" s="17">
        <v>0</v>
      </c>
      <c r="M225" s="17">
        <v>0</v>
      </c>
      <c r="N225" s="17">
        <v>0</v>
      </c>
      <c r="O225" s="17">
        <v>0</v>
      </c>
      <c r="P225" s="17">
        <v>0</v>
      </c>
      <c r="Q225" s="17">
        <v>0</v>
      </c>
      <c r="R225" s="17">
        <v>0</v>
      </c>
      <c r="S225" s="17">
        <v>0</v>
      </c>
      <c r="T225" s="17">
        <v>0</v>
      </c>
    </row>
    <row r="226" spans="2:20" outlineLevel="1">
      <c r="B226" s="14" t="s">
        <v>24</v>
      </c>
      <c r="C226" s="13"/>
      <c r="D226" s="13"/>
      <c r="E226" s="13"/>
      <c r="F226" s="13"/>
      <c r="G226" s="13"/>
      <c r="H226" s="13"/>
      <c r="I226" s="13"/>
      <c r="J226" s="13"/>
      <c r="K226" s="17">
        <v>0</v>
      </c>
      <c r="L226" s="17">
        <v>0</v>
      </c>
      <c r="M226" s="17">
        <v>0</v>
      </c>
      <c r="N226" s="17">
        <v>0</v>
      </c>
      <c r="O226" s="17">
        <v>0</v>
      </c>
      <c r="P226" s="17">
        <v>0</v>
      </c>
      <c r="Q226" s="17">
        <v>0</v>
      </c>
      <c r="R226" s="17">
        <v>0</v>
      </c>
      <c r="S226" s="17">
        <v>0</v>
      </c>
      <c r="T226" s="17">
        <v>0</v>
      </c>
    </row>
    <row r="227" spans="2:20" outlineLevel="1">
      <c r="B227" s="15" t="str">
        <f>"Current Case - "&amp;CHOOSE($K$4,B224,B225,B226)</f>
        <v>Current Case - Management Case</v>
      </c>
      <c r="C227" s="16"/>
      <c r="D227" s="16"/>
      <c r="E227" s="16"/>
      <c r="F227" s="16"/>
      <c r="G227" s="16"/>
      <c r="H227" s="16"/>
      <c r="I227" s="16"/>
      <c r="J227" s="16"/>
      <c r="K227" s="37">
        <f>CHOOSE($K$4,K224,K225,K226)</f>
        <v>0</v>
      </c>
      <c r="L227" s="37">
        <f>CHOOSE($K$4,L224,L225,L226)</f>
        <v>0</v>
      </c>
      <c r="M227" s="37">
        <f>CHOOSE($K$4,M224,M225,M226)</f>
        <v>0</v>
      </c>
      <c r="N227" s="37">
        <f>CHOOSE($K$4,N224,N225,N226)</f>
        <v>0</v>
      </c>
      <c r="O227" s="37">
        <f>CHOOSE($K$4,O224,O225,O226)</f>
        <v>0</v>
      </c>
      <c r="P227" s="37">
        <f t="shared" ref="P227:T227" si="63">CHOOSE($K$4,P224,P225,P226)</f>
        <v>0</v>
      </c>
      <c r="Q227" s="37">
        <f t="shared" si="63"/>
        <v>0</v>
      </c>
      <c r="R227" s="37">
        <f t="shared" si="63"/>
        <v>0</v>
      </c>
      <c r="S227" s="37">
        <f t="shared" si="63"/>
        <v>0</v>
      </c>
      <c r="T227" s="37">
        <f t="shared" si="63"/>
        <v>0</v>
      </c>
    </row>
    <row r="229" spans="2:20">
      <c r="B229" s="26" t="s">
        <v>775</v>
      </c>
      <c r="C229" s="27"/>
      <c r="D229" s="27"/>
      <c r="E229" s="27"/>
      <c r="F229" s="27"/>
      <c r="G229" s="27"/>
      <c r="H229" s="27"/>
      <c r="I229" s="27"/>
      <c r="J229" s="27"/>
      <c r="K229" s="27"/>
      <c r="L229" s="27"/>
      <c r="M229" s="27"/>
      <c r="N229" s="27"/>
      <c r="O229" s="27"/>
      <c r="P229" s="27"/>
      <c r="Q229" s="27"/>
      <c r="R229" s="27"/>
      <c r="S229" s="27"/>
      <c r="T229" s="27"/>
    </row>
    <row r="230" spans="2:20">
      <c r="B230" s="14" t="s">
        <v>22</v>
      </c>
      <c r="C230" s="13"/>
      <c r="D230" s="13"/>
      <c r="E230" s="13"/>
      <c r="F230" s="13"/>
      <c r="G230" s="13"/>
      <c r="H230" s="13"/>
      <c r="I230" s="13"/>
      <c r="J230" s="17"/>
      <c r="K230" s="17">
        <v>0</v>
      </c>
      <c r="L230" s="17">
        <v>0</v>
      </c>
      <c r="M230" s="17">
        <v>0</v>
      </c>
      <c r="N230" s="17">
        <v>0</v>
      </c>
      <c r="O230" s="17">
        <v>0</v>
      </c>
      <c r="P230" s="17">
        <v>0</v>
      </c>
      <c r="Q230" s="17">
        <v>0</v>
      </c>
      <c r="R230" s="17">
        <v>0</v>
      </c>
      <c r="S230" s="17">
        <v>0</v>
      </c>
      <c r="T230" s="17">
        <v>0</v>
      </c>
    </row>
    <row r="231" spans="2:20">
      <c r="B231" s="14" t="s">
        <v>23</v>
      </c>
      <c r="C231" s="13"/>
      <c r="D231" s="13"/>
      <c r="E231" s="13"/>
      <c r="F231" s="13"/>
      <c r="G231" s="13"/>
      <c r="H231" s="13"/>
      <c r="I231" s="13"/>
      <c r="J231" s="13"/>
      <c r="K231" s="17">
        <v>0</v>
      </c>
      <c r="L231" s="17">
        <v>0</v>
      </c>
      <c r="M231" s="17">
        <v>0</v>
      </c>
      <c r="N231" s="17">
        <v>0</v>
      </c>
      <c r="O231" s="17">
        <v>0</v>
      </c>
      <c r="P231" s="17">
        <v>0</v>
      </c>
      <c r="Q231" s="17">
        <v>0</v>
      </c>
      <c r="R231" s="17">
        <v>0</v>
      </c>
      <c r="S231" s="17">
        <v>0</v>
      </c>
      <c r="T231" s="17">
        <v>0</v>
      </c>
    </row>
    <row r="232" spans="2:20">
      <c r="B232" s="14" t="s">
        <v>24</v>
      </c>
      <c r="C232" s="13"/>
      <c r="D232" s="13"/>
      <c r="E232" s="13"/>
      <c r="F232" s="13"/>
      <c r="G232" s="13"/>
      <c r="H232" s="13"/>
      <c r="I232" s="13"/>
      <c r="J232" s="13"/>
      <c r="K232" s="17">
        <v>0</v>
      </c>
      <c r="L232" s="17">
        <v>0</v>
      </c>
      <c r="M232" s="17">
        <v>0</v>
      </c>
      <c r="N232" s="17">
        <v>0</v>
      </c>
      <c r="O232" s="17">
        <v>0</v>
      </c>
      <c r="P232" s="17">
        <v>0</v>
      </c>
      <c r="Q232" s="17">
        <v>0</v>
      </c>
      <c r="R232" s="17">
        <v>0</v>
      </c>
      <c r="S232" s="17">
        <v>0</v>
      </c>
      <c r="T232" s="17">
        <v>0</v>
      </c>
    </row>
    <row r="233" spans="2:20">
      <c r="B233" s="15" t="str">
        <f>"Current Case - "&amp;CHOOSE($K$4,B230,B231,B232)</f>
        <v>Current Case - Management Case</v>
      </c>
      <c r="C233" s="16"/>
      <c r="D233" s="16"/>
      <c r="E233" s="16"/>
      <c r="F233" s="16"/>
      <c r="G233" s="16"/>
      <c r="H233" s="16"/>
      <c r="I233" s="16"/>
      <c r="J233" s="16"/>
      <c r="K233" s="37">
        <f>CHOOSE($K$4,K230,K231,K232)</f>
        <v>0</v>
      </c>
      <c r="L233" s="37">
        <f>CHOOSE($K$4,L230,L231,L232)</f>
        <v>0</v>
      </c>
      <c r="M233" s="37">
        <f>CHOOSE($K$4,M230,M231,M232)</f>
        <v>0</v>
      </c>
      <c r="N233" s="37">
        <f>CHOOSE($K$4,N230,N231,N232)</f>
        <v>0</v>
      </c>
      <c r="O233" s="37">
        <f>CHOOSE($K$4,O230,O231,O232)</f>
        <v>0</v>
      </c>
      <c r="P233" s="37">
        <f t="shared" ref="P233:T233" si="64">CHOOSE($K$4,P230,P231,P232)</f>
        <v>0</v>
      </c>
      <c r="Q233" s="37">
        <f t="shared" si="64"/>
        <v>0</v>
      </c>
      <c r="R233" s="37">
        <f t="shared" si="64"/>
        <v>0</v>
      </c>
      <c r="S233" s="37">
        <f t="shared" si="64"/>
        <v>0</v>
      </c>
      <c r="T233" s="37">
        <f t="shared" si="64"/>
        <v>0</v>
      </c>
    </row>
  </sheetData>
  <mergeCells count="2">
    <mergeCell ref="K7:O7"/>
    <mergeCell ref="P7:T7"/>
  </mergeCells>
  <pageMargins left="0.25" right="0.25" top="0.75" bottom="0.75" header="0.3" footer="0.3"/>
  <pageSetup scale="48"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69" r:id="rId4" name="Drop Down 9">
              <controlPr defaultSize="0" autoLine="0" autoPict="0">
                <anchor moveWithCells="1">
                  <from>
                    <xdr:col>10</xdr:col>
                    <xdr:colOff>22860</xdr:colOff>
                    <xdr:row>2</xdr:row>
                    <xdr:rowOff>220980</xdr:rowOff>
                  </from>
                  <to>
                    <xdr:col>12</xdr:col>
                    <xdr:colOff>114300</xdr:colOff>
                    <xdr:row>4</xdr:row>
                    <xdr:rowOff>15240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99D2D-3010-4517-B6D4-3EC6FB96F5CC}">
  <sheetPr codeName="Sheet4">
    <pageSetUpPr fitToPage="1"/>
  </sheetPr>
  <dimension ref="A2:S259"/>
  <sheetViews>
    <sheetView showGridLines="0" zoomScale="79" zoomScaleNormal="107" workbookViewId="0">
      <pane xSplit="2" ySplit="9" topLeftCell="C70" activePane="bottomRight" state="frozen"/>
      <selection pane="topRight" activeCell="C1" sqref="C1"/>
      <selection pane="bottomLeft" activeCell="A10" sqref="A10"/>
      <selection pane="bottomRight" activeCell="O150" sqref="O150"/>
    </sheetView>
  </sheetViews>
  <sheetFormatPr defaultRowHeight="14.4" outlineLevelRow="1"/>
  <cols>
    <col min="1" max="1" width="1.88671875" customWidth="1"/>
    <col min="2" max="2" width="41.33203125" customWidth="1"/>
    <col min="3" max="3" width="19.77734375" customWidth="1"/>
    <col min="4" max="19" width="11.77734375" customWidth="1"/>
  </cols>
  <sheetData>
    <row r="2" spans="1:19" ht="23.4">
      <c r="B2" s="10" t="str">
        <f>'Input Sheet'!C5</f>
        <v xml:space="preserve">Marico Ltd </v>
      </c>
      <c r="C2" s="7"/>
      <c r="D2" s="7"/>
      <c r="E2" s="7"/>
      <c r="F2" s="7"/>
      <c r="G2" s="7"/>
    </row>
    <row r="3" spans="1:19" ht="18">
      <c r="B3" s="9" t="s">
        <v>757</v>
      </c>
    </row>
    <row r="4" spans="1:19">
      <c r="I4" t="s">
        <v>25</v>
      </c>
    </row>
    <row r="5" spans="1:19" ht="15.6">
      <c r="B5" s="232"/>
      <c r="C5" s="232"/>
      <c r="D5" s="232"/>
      <c r="E5" s="232"/>
      <c r="F5" s="232"/>
      <c r="G5" s="232"/>
      <c r="H5" s="232"/>
      <c r="I5" s="232"/>
      <c r="J5" s="232"/>
      <c r="K5" s="232"/>
      <c r="L5" s="232"/>
      <c r="M5" s="232"/>
      <c r="N5" s="232"/>
    </row>
    <row r="6" spans="1:19" ht="15.6">
      <c r="B6" s="232"/>
      <c r="C6" s="232"/>
      <c r="D6" s="232"/>
      <c r="E6" s="232"/>
      <c r="F6" s="232"/>
      <c r="G6" s="232"/>
      <c r="H6" s="232"/>
      <c r="I6" s="232"/>
      <c r="J6" s="232"/>
      <c r="K6" s="232"/>
      <c r="L6" s="232"/>
      <c r="M6" s="232"/>
      <c r="N6" s="232"/>
    </row>
    <row r="7" spans="1:19" ht="15.6">
      <c r="B7" s="232"/>
      <c r="C7" s="232"/>
      <c r="D7" s="232"/>
      <c r="E7" s="232"/>
      <c r="F7" s="232"/>
      <c r="G7" s="232"/>
      <c r="H7" s="232"/>
      <c r="I7" s="232"/>
      <c r="J7" s="232"/>
      <c r="K7" s="232"/>
      <c r="L7" s="232"/>
      <c r="M7" s="232"/>
      <c r="N7" s="232"/>
    </row>
    <row r="8" spans="1:19" ht="15.6">
      <c r="B8" s="137"/>
      <c r="C8" s="137"/>
      <c r="D8" s="137"/>
      <c r="E8" s="137"/>
      <c r="F8" s="137"/>
      <c r="G8" s="137"/>
      <c r="H8" s="137"/>
      <c r="I8" s="456" t="s">
        <v>19</v>
      </c>
      <c r="J8" s="673" t="s">
        <v>20</v>
      </c>
      <c r="K8" s="673"/>
      <c r="L8" s="673"/>
      <c r="M8" s="673"/>
      <c r="N8" s="673"/>
      <c r="O8" s="674" t="s">
        <v>1142</v>
      </c>
      <c r="P8" s="674"/>
      <c r="Q8" s="674"/>
      <c r="R8" s="674"/>
      <c r="S8" s="674"/>
    </row>
    <row r="9" spans="1:19" ht="15.6">
      <c r="B9" s="473" t="s">
        <v>18</v>
      </c>
      <c r="C9" s="475"/>
      <c r="D9" s="474">
        <f>ControlSheet!E8</f>
        <v>2020</v>
      </c>
      <c r="E9" s="474">
        <f>ControlSheet!F8</f>
        <v>2021</v>
      </c>
      <c r="F9" s="474">
        <f>ControlSheet!G8</f>
        <v>2022</v>
      </c>
      <c r="G9" s="474">
        <f>ControlSheet!H8</f>
        <v>2023</v>
      </c>
      <c r="H9" s="474">
        <f>ControlSheet!I8</f>
        <v>2024</v>
      </c>
      <c r="I9" s="474">
        <f>ControlSheet!J8</f>
        <v>2025</v>
      </c>
      <c r="J9" s="474">
        <f>ControlSheet!K8</f>
        <v>2026</v>
      </c>
      <c r="K9" s="474">
        <f>ControlSheet!L8</f>
        <v>2027</v>
      </c>
      <c r="L9" s="474">
        <f>ControlSheet!M8</f>
        <v>2028</v>
      </c>
      <c r="M9" s="474">
        <f>ControlSheet!N8</f>
        <v>2029</v>
      </c>
      <c r="N9" s="474">
        <f>ControlSheet!O8</f>
        <v>2030</v>
      </c>
      <c r="O9" s="474">
        <f>ControlSheet!P8</f>
        <v>2031</v>
      </c>
      <c r="P9" s="474">
        <f>ControlSheet!Q8</f>
        <v>2032</v>
      </c>
      <c r="Q9" s="474">
        <f>ControlSheet!R8</f>
        <v>2033</v>
      </c>
      <c r="R9" s="474">
        <f>ControlSheet!S8</f>
        <v>2034</v>
      </c>
      <c r="S9" s="474">
        <f>ControlSheet!T8</f>
        <v>2035</v>
      </c>
    </row>
    <row r="11" spans="1:19" ht="18">
      <c r="A11" t="s">
        <v>21</v>
      </c>
      <c r="B11" s="25" t="s">
        <v>405</v>
      </c>
      <c r="C11" s="11"/>
      <c r="D11" s="11"/>
      <c r="E11" s="11"/>
      <c r="F11" s="11"/>
      <c r="G11" s="11"/>
      <c r="H11" s="11"/>
      <c r="I11" s="11"/>
      <c r="J11" s="11"/>
      <c r="K11" s="11"/>
      <c r="L11" s="11"/>
      <c r="M11" s="11"/>
      <c r="N11" s="11"/>
      <c r="O11" s="11"/>
      <c r="P11" s="11"/>
      <c r="Q11" s="11"/>
      <c r="R11" s="11"/>
      <c r="S11" s="11"/>
    </row>
    <row r="12" spans="1:19" outlineLevel="1"/>
    <row r="13" spans="1:19" outlineLevel="1">
      <c r="B13" s="477" t="s">
        <v>42</v>
      </c>
      <c r="C13" s="164"/>
      <c r="D13" s="470">
        <f>'P&amp;l 25-24'!E6</f>
        <v>7315</v>
      </c>
      <c r="E13" s="470">
        <f>'P&amp;l 25-24'!F6</f>
        <v>8048</v>
      </c>
      <c r="F13" s="470">
        <f>'P&amp;l 25-24'!G6</f>
        <v>9512</v>
      </c>
      <c r="G13" s="470">
        <f>'P&amp;l 25-24'!H6</f>
        <v>9764</v>
      </c>
      <c r="H13" s="470">
        <f>'P&amp;l 25-24'!I6</f>
        <v>9653</v>
      </c>
      <c r="I13" s="470">
        <f>'P&amp;l 25-24'!J6</f>
        <v>10831</v>
      </c>
      <c r="J13" s="191">
        <f>I13*(1+J15)</f>
        <v>12347.340000000002</v>
      </c>
      <c r="K13" s="191">
        <f t="shared" ref="K13:N13" si="0">J13*(1+K15)</f>
        <v>14014.230900000002</v>
      </c>
      <c r="L13" s="191">
        <f t="shared" si="0"/>
        <v>15836.080917000001</v>
      </c>
      <c r="M13" s="191">
        <f t="shared" si="0"/>
        <v>17815.591031625001</v>
      </c>
      <c r="N13" s="191">
        <f t="shared" si="0"/>
        <v>19953.461955420004</v>
      </c>
      <c r="O13" s="191">
        <f t="shared" ref="O13" si="1">N13*(1+O15)</f>
        <v>22347.877390070407</v>
      </c>
      <c r="P13" s="191">
        <f t="shared" ref="P13" si="2">O13*(1+P15)</f>
        <v>25029.622676878858</v>
      </c>
      <c r="Q13" s="191">
        <f t="shared" ref="Q13" si="3">P13*(1+Q15)</f>
        <v>28033.177398104322</v>
      </c>
      <c r="R13" s="191">
        <f t="shared" ref="R13" si="4">Q13*(1+R15)</f>
        <v>31397.158685876846</v>
      </c>
      <c r="S13" s="191">
        <f t="shared" ref="S13" si="5">R13*(1+S15)</f>
        <v>35164.817728182068</v>
      </c>
    </row>
    <row r="14" spans="1:19" outlineLevel="1">
      <c r="B14" s="196"/>
      <c r="D14" s="455"/>
      <c r="E14" s="455"/>
      <c r="F14" s="455"/>
      <c r="G14" s="455"/>
      <c r="H14" s="455"/>
      <c r="I14" s="455"/>
      <c r="J14" s="46"/>
      <c r="K14" s="46"/>
      <c r="L14" s="46"/>
      <c r="M14" s="46"/>
      <c r="N14" s="46"/>
      <c r="O14" s="46"/>
      <c r="P14" s="46"/>
      <c r="Q14" s="46"/>
      <c r="R14" s="46"/>
      <c r="S14" s="46"/>
    </row>
    <row r="15" spans="1:19" outlineLevel="1">
      <c r="B15" s="457" t="s">
        <v>758</v>
      </c>
      <c r="D15" s="455"/>
      <c r="E15" s="484">
        <f>E13/D13-1</f>
        <v>0.10020505809979485</v>
      </c>
      <c r="F15" s="484">
        <f t="shared" ref="F15:I15" si="6">F13/E13-1</f>
        <v>0.18190854870775341</v>
      </c>
      <c r="G15" s="484">
        <f t="shared" si="6"/>
        <v>2.6492851135407891E-2</v>
      </c>
      <c r="H15" s="484">
        <f t="shared" si="6"/>
        <v>-1.1368291683736209E-2</v>
      </c>
      <c r="I15" s="484">
        <f t="shared" si="6"/>
        <v>0.12203460064228744</v>
      </c>
      <c r="J15" s="485">
        <f>ControlSheet!K18</f>
        <v>0.14000000000000001</v>
      </c>
      <c r="K15" s="485">
        <f>ControlSheet!L18</f>
        <v>0.13500000000000001</v>
      </c>
      <c r="L15" s="485">
        <f>ControlSheet!M18</f>
        <v>0.13</v>
      </c>
      <c r="M15" s="485">
        <f>ControlSheet!N18</f>
        <v>0.125</v>
      </c>
      <c r="N15" s="485">
        <f>ControlSheet!O18</f>
        <v>0.12</v>
      </c>
      <c r="O15" s="485">
        <f>ControlSheet!P18</f>
        <v>0.12</v>
      </c>
      <c r="P15" s="485">
        <f>ControlSheet!Q18</f>
        <v>0.12</v>
      </c>
      <c r="Q15" s="485">
        <f>ControlSheet!R18</f>
        <v>0.12</v>
      </c>
      <c r="R15" s="485">
        <f>ControlSheet!S18</f>
        <v>0.12</v>
      </c>
      <c r="S15" s="485">
        <f>ControlSheet!T18</f>
        <v>0.12</v>
      </c>
    </row>
    <row r="16" spans="1:19">
      <c r="B16" s="18"/>
    </row>
    <row r="17" spans="1:19" ht="18">
      <c r="A17" t="s">
        <v>21</v>
      </c>
      <c r="B17" s="25" t="s">
        <v>27</v>
      </c>
      <c r="C17" s="11"/>
      <c r="D17" s="11"/>
      <c r="E17" s="11"/>
      <c r="F17" s="11"/>
      <c r="G17" s="11"/>
      <c r="H17" s="11"/>
      <c r="I17" s="11"/>
      <c r="J17" s="11"/>
      <c r="K17" s="11"/>
      <c r="L17" s="11"/>
      <c r="M17" s="11"/>
      <c r="N17" s="11"/>
      <c r="O17" s="11"/>
      <c r="P17" s="11"/>
      <c r="Q17" s="11"/>
      <c r="R17" s="11"/>
      <c r="S17" s="11"/>
    </row>
    <row r="18" spans="1:19" outlineLevel="1"/>
    <row r="19" spans="1:19" outlineLevel="1"/>
    <row r="20" spans="1:19" outlineLevel="1">
      <c r="B20" s="477" t="s">
        <v>52</v>
      </c>
      <c r="C20" s="164"/>
      <c r="D20" s="470">
        <f>'P&amp;l 25-24'!E16*-1</f>
        <v>3745</v>
      </c>
      <c r="E20" s="470">
        <f>'P&amp;l 25-24'!F16*-1</f>
        <v>4270</v>
      </c>
      <c r="F20" s="470">
        <f>'P&amp;l 25-24'!G16*-1</f>
        <v>5436</v>
      </c>
      <c r="G20" s="470">
        <f>'P&amp;l 25-24'!H16*-1</f>
        <v>5351</v>
      </c>
      <c r="H20" s="470">
        <f>'P&amp;l 25-24'!I16*-1</f>
        <v>4748</v>
      </c>
      <c r="I20" s="470">
        <f>'P&amp;l 25-24'!J16*-1</f>
        <v>5388</v>
      </c>
      <c r="J20" s="191">
        <f>J13*J22</f>
        <v>6420.6168000000016</v>
      </c>
      <c r="K20" s="191">
        <f t="shared" ref="K20:N20" si="7">K13*K22</f>
        <v>7287.4000680000017</v>
      </c>
      <c r="L20" s="191">
        <f t="shared" si="7"/>
        <v>8234.7620768400011</v>
      </c>
      <c r="M20" s="191">
        <f t="shared" si="7"/>
        <v>8907.7955158125005</v>
      </c>
      <c r="N20" s="191">
        <f t="shared" si="7"/>
        <v>9976.7309777100018</v>
      </c>
      <c r="O20" s="191">
        <f t="shared" ref="O20:S20" si="8">O13*O22</f>
        <v>11173.938695035204</v>
      </c>
      <c r="P20" s="191">
        <f t="shared" si="8"/>
        <v>12514.811338439429</v>
      </c>
      <c r="Q20" s="191">
        <f t="shared" si="8"/>
        <v>14016.588699052161</v>
      </c>
      <c r="R20" s="191">
        <f t="shared" si="8"/>
        <v>15698.579342938423</v>
      </c>
      <c r="S20" s="191">
        <f t="shared" si="8"/>
        <v>17582.408864091034</v>
      </c>
    </row>
    <row r="21" spans="1:19" outlineLevel="1">
      <c r="B21" s="196"/>
      <c r="D21" s="455"/>
      <c r="E21" s="455"/>
      <c r="F21" s="455"/>
      <c r="G21" s="455"/>
      <c r="H21" s="455"/>
      <c r="I21" s="455"/>
      <c r="J21" s="46"/>
      <c r="K21" s="46"/>
      <c r="L21" s="46"/>
      <c r="M21" s="46"/>
      <c r="N21" s="46"/>
      <c r="O21" s="46"/>
      <c r="P21" s="46"/>
      <c r="Q21" s="46"/>
      <c r="R21" s="46"/>
      <c r="S21" s="46"/>
    </row>
    <row r="22" spans="1:19" outlineLevel="1">
      <c r="B22" s="136" t="s">
        <v>412</v>
      </c>
      <c r="C22" s="136"/>
      <c r="D22" s="486">
        <f>D20/D13</f>
        <v>0.51196172248803828</v>
      </c>
      <c r="E22" s="486">
        <f t="shared" ref="E22:H22" si="9">E20/E13</f>
        <v>0.53056660039761427</v>
      </c>
      <c r="F22" s="486">
        <f t="shared" si="9"/>
        <v>0.57148864592094195</v>
      </c>
      <c r="G22" s="486">
        <f t="shared" si="9"/>
        <v>0.54803359278984021</v>
      </c>
      <c r="H22" s="486">
        <f t="shared" si="9"/>
        <v>0.49186781311509375</v>
      </c>
      <c r="I22" s="486">
        <f>I20/I13</f>
        <v>0.49746099159819041</v>
      </c>
      <c r="J22" s="487">
        <f>ControlSheet!K29</f>
        <v>0.52</v>
      </c>
      <c r="K22" s="487">
        <f>ControlSheet!L29</f>
        <v>0.52</v>
      </c>
      <c r="L22" s="487">
        <f>ControlSheet!M29</f>
        <v>0.52</v>
      </c>
      <c r="M22" s="487">
        <f>ControlSheet!N29</f>
        <v>0.5</v>
      </c>
      <c r="N22" s="487">
        <f>ControlSheet!O29</f>
        <v>0.5</v>
      </c>
      <c r="O22" s="487">
        <f>ControlSheet!P29</f>
        <v>0.5</v>
      </c>
      <c r="P22" s="487">
        <f>ControlSheet!Q29</f>
        <v>0.5</v>
      </c>
      <c r="Q22" s="487">
        <f>ControlSheet!R29</f>
        <v>0.5</v>
      </c>
      <c r="R22" s="487">
        <f>ControlSheet!S29</f>
        <v>0.5</v>
      </c>
      <c r="S22" s="487">
        <f>ControlSheet!T29</f>
        <v>0.5</v>
      </c>
    </row>
    <row r="24" spans="1:19" ht="18">
      <c r="A24" t="s">
        <v>21</v>
      </c>
      <c r="B24" s="25" t="s">
        <v>29</v>
      </c>
      <c r="C24" s="11"/>
      <c r="D24" s="11"/>
      <c r="E24" s="11"/>
      <c r="F24" s="11"/>
      <c r="G24" s="11"/>
      <c r="H24" s="11"/>
      <c r="I24" s="11"/>
      <c r="J24" s="11"/>
      <c r="K24" s="11"/>
      <c r="L24" s="11"/>
      <c r="M24" s="11"/>
      <c r="N24" s="11"/>
      <c r="O24" s="11"/>
      <c r="P24" s="11"/>
      <c r="Q24" s="11"/>
      <c r="R24" s="11"/>
      <c r="S24" s="11"/>
    </row>
    <row r="25" spans="1:19" outlineLevel="1"/>
    <row r="26" spans="1:19" outlineLevel="1">
      <c r="B26" s="477" t="s">
        <v>438</v>
      </c>
      <c r="C26" s="164"/>
      <c r="D26" s="470"/>
      <c r="E26" s="470"/>
      <c r="F26" s="470"/>
      <c r="G26" s="470"/>
      <c r="H26" s="470"/>
      <c r="I26" s="470"/>
      <c r="J26" s="191"/>
      <c r="K26" s="191"/>
      <c r="L26" s="191"/>
      <c r="M26" s="191"/>
      <c r="N26" s="191"/>
      <c r="O26" s="191"/>
      <c r="P26" s="191"/>
      <c r="Q26" s="191"/>
      <c r="R26" s="191"/>
      <c r="S26" s="191"/>
    </row>
    <row r="27" spans="1:19" outlineLevel="1"/>
    <row r="28" spans="1:19" outlineLevel="1">
      <c r="B28" t="s">
        <v>438</v>
      </c>
      <c r="D28" s="47">
        <f>'Assumptions Working '!D203</f>
        <v>478</v>
      </c>
      <c r="E28" s="47">
        <f>'Assumptions Working '!E203</f>
        <v>570</v>
      </c>
      <c r="F28" s="47">
        <f>'Assumptions Working '!F203</f>
        <v>586</v>
      </c>
      <c r="G28" s="47">
        <f>'Assumptions Working '!G203</f>
        <v>653</v>
      </c>
      <c r="H28" s="47">
        <f>'Assumptions Working '!H203</f>
        <v>743</v>
      </c>
      <c r="I28" s="47">
        <f>'Assumptions Working '!I203</f>
        <v>831</v>
      </c>
      <c r="J28" s="203">
        <f>J$13*J29</f>
        <v>938.39784000000009</v>
      </c>
      <c r="K28" s="203">
        <f t="shared" ref="K28" si="10">K$13*K29</f>
        <v>1065.0815484000002</v>
      </c>
      <c r="L28" s="203">
        <f t="shared" ref="L28" si="11">L$13*L29</f>
        <v>1203.5421496920001</v>
      </c>
      <c r="M28" s="203">
        <f t="shared" ref="M28" si="12">M$13*M29</f>
        <v>1353.9849184035002</v>
      </c>
      <c r="N28" s="203">
        <f t="shared" ref="N28:S28" si="13">N$13*N29</f>
        <v>1516.4631086119202</v>
      </c>
      <c r="O28" s="203">
        <f t="shared" si="13"/>
        <v>1698.4386816453509</v>
      </c>
      <c r="P28" s="203">
        <f t="shared" si="13"/>
        <v>1902.2513234427931</v>
      </c>
      <c r="Q28" s="203">
        <f t="shared" si="13"/>
        <v>2130.5214822559283</v>
      </c>
      <c r="R28" s="203">
        <f t="shared" si="13"/>
        <v>2386.1840601266404</v>
      </c>
      <c r="S28" s="203">
        <f t="shared" si="13"/>
        <v>2672.5261473418373</v>
      </c>
    </row>
    <row r="29" spans="1:19" outlineLevel="1">
      <c r="B29" s="16" t="s">
        <v>455</v>
      </c>
      <c r="C29" s="16"/>
      <c r="D29" s="54">
        <f>'Assumptions Working '!D245</f>
        <v>6.5345181134654817E-2</v>
      </c>
      <c r="E29" s="54">
        <f>'Assumptions Working '!E245</f>
        <v>7.0825049701789267E-2</v>
      </c>
      <c r="F29" s="54">
        <f>'Assumptions Working '!F245</f>
        <v>6.1606391925988227E-2</v>
      </c>
      <c r="G29" s="54">
        <f>'Assumptions Working '!G245</f>
        <v>6.6878328553871366E-2</v>
      </c>
      <c r="H29" s="54">
        <f>'Assumptions Working '!H245</f>
        <v>7.6970889878794163E-2</v>
      </c>
      <c r="I29" s="54">
        <f>'Assumptions Working '!I245</f>
        <v>7.6724217523774355E-2</v>
      </c>
      <c r="J29" s="22">
        <f>ControlSheet!K37</f>
        <v>7.5999999999999998E-2</v>
      </c>
      <c r="K29" s="22">
        <f>ControlSheet!L37</f>
        <v>7.5999999999999998E-2</v>
      </c>
      <c r="L29" s="22">
        <f>ControlSheet!M37</f>
        <v>7.5999999999999998E-2</v>
      </c>
      <c r="M29" s="22">
        <f>ControlSheet!N37</f>
        <v>7.5999999999999998E-2</v>
      </c>
      <c r="N29" s="22">
        <f>ControlSheet!O37</f>
        <v>7.5999999999999998E-2</v>
      </c>
      <c r="O29" s="22">
        <f>ControlSheet!P37</f>
        <v>7.5999999999999998E-2</v>
      </c>
      <c r="P29" s="22">
        <f>ControlSheet!Q37</f>
        <v>7.5999999999999998E-2</v>
      </c>
      <c r="Q29" s="22">
        <f>ControlSheet!R37</f>
        <v>7.5999999999999998E-2</v>
      </c>
      <c r="R29" s="22">
        <f>ControlSheet!S37</f>
        <v>7.5999999999999998E-2</v>
      </c>
      <c r="S29" s="22">
        <f>ControlSheet!T37</f>
        <v>7.5999999999999998E-2</v>
      </c>
    </row>
    <row r="30" spans="1:19" outlineLevel="1">
      <c r="D30" s="194"/>
    </row>
    <row r="31" spans="1:19" outlineLevel="1">
      <c r="B31" s="477" t="s">
        <v>461</v>
      </c>
      <c r="C31" s="164"/>
      <c r="D31" s="470"/>
      <c r="E31" s="470"/>
      <c r="F31" s="470"/>
      <c r="G31" s="470"/>
      <c r="H31" s="470"/>
      <c r="I31" s="470"/>
      <c r="J31" s="191"/>
      <c r="K31" s="191"/>
      <c r="L31" s="191"/>
      <c r="M31" s="191"/>
      <c r="N31" s="191"/>
      <c r="O31" s="191"/>
      <c r="P31" s="191"/>
      <c r="Q31" s="191"/>
      <c r="R31" s="191"/>
      <c r="S31" s="191"/>
    </row>
    <row r="32" spans="1:19" outlineLevel="1"/>
    <row r="33" spans="2:19" outlineLevel="1">
      <c r="B33" t="s">
        <v>461</v>
      </c>
      <c r="D33" s="47">
        <f>'Assumptions Working '!D204</f>
        <v>727</v>
      </c>
      <c r="E33" s="47">
        <f>'Assumptions Working '!E204</f>
        <v>698</v>
      </c>
      <c r="F33" s="47">
        <f>'Assumptions Working '!F204</f>
        <v>796</v>
      </c>
      <c r="G33" s="47">
        <f>'Assumptions Working '!G204</f>
        <v>842</v>
      </c>
      <c r="H33" s="47">
        <f>'Assumptions Working '!H204</f>
        <v>952</v>
      </c>
      <c r="I33" s="47">
        <f>'Assumptions Working '!I204</f>
        <v>1128</v>
      </c>
      <c r="J33" s="203">
        <f>J$13*J34</f>
        <v>1419.9441000000004</v>
      </c>
      <c r="K33" s="203">
        <f t="shared" ref="K33:S33" si="14">K$13*K34</f>
        <v>1611.6365535000004</v>
      </c>
      <c r="L33" s="203">
        <f t="shared" si="14"/>
        <v>1821.1493054550001</v>
      </c>
      <c r="M33" s="203">
        <f t="shared" si="14"/>
        <v>2048.7929686368752</v>
      </c>
      <c r="N33" s="203">
        <f t="shared" si="14"/>
        <v>2294.6481248733003</v>
      </c>
      <c r="O33" s="203">
        <f t="shared" si="14"/>
        <v>2570.0058998580971</v>
      </c>
      <c r="P33" s="203">
        <f t="shared" si="14"/>
        <v>2878.4066078410688</v>
      </c>
      <c r="Q33" s="203">
        <f t="shared" si="14"/>
        <v>3223.8154007819971</v>
      </c>
      <c r="R33" s="203">
        <f t="shared" si="14"/>
        <v>3610.6732488758375</v>
      </c>
      <c r="S33" s="203">
        <f t="shared" si="14"/>
        <v>4043.9540387409379</v>
      </c>
    </row>
    <row r="34" spans="2:19" outlineLevel="1">
      <c r="B34" s="16" t="s">
        <v>454</v>
      </c>
      <c r="C34" s="16"/>
      <c r="D34" s="54">
        <f>'Assumptions Working '!D248</f>
        <v>9.9384825700615173E-2</v>
      </c>
      <c r="E34" s="54">
        <f>'Assumptions Working '!E248</f>
        <v>8.6729622266401588E-2</v>
      </c>
      <c r="F34" s="54">
        <f>'Assumptions Working '!F248</f>
        <v>8.3683767872161474E-2</v>
      </c>
      <c r="G34" s="54">
        <f>'Assumptions Working '!G248</f>
        <v>8.6235149528881602E-2</v>
      </c>
      <c r="H34" s="54">
        <f>'Assumptions Working '!H248</f>
        <v>9.8622189992748369E-2</v>
      </c>
      <c r="I34" s="54">
        <f>'Assumptions Working '!I248</f>
        <v>0.10414550826331825</v>
      </c>
      <c r="J34" s="22">
        <f>ControlSheet!K43</f>
        <v>0.115</v>
      </c>
      <c r="K34" s="22">
        <f>ControlSheet!L43</f>
        <v>0.115</v>
      </c>
      <c r="L34" s="22">
        <f>ControlSheet!M43</f>
        <v>0.115</v>
      </c>
      <c r="M34" s="22">
        <f>ControlSheet!N43</f>
        <v>0.115</v>
      </c>
      <c r="N34" s="22">
        <f>ControlSheet!O43</f>
        <v>0.115</v>
      </c>
      <c r="O34" s="22">
        <f>ControlSheet!P43</f>
        <v>0.115</v>
      </c>
      <c r="P34" s="22">
        <f>ControlSheet!Q43</f>
        <v>0.115</v>
      </c>
      <c r="Q34" s="22">
        <f>ControlSheet!R43</f>
        <v>0.115</v>
      </c>
      <c r="R34" s="22">
        <f>ControlSheet!S43</f>
        <v>0.115</v>
      </c>
      <c r="S34" s="22">
        <f>ControlSheet!T43</f>
        <v>0.115</v>
      </c>
    </row>
    <row r="35" spans="2:19" outlineLevel="1"/>
    <row r="36" spans="2:19" outlineLevel="1">
      <c r="B36" s="477" t="s">
        <v>462</v>
      </c>
      <c r="C36" s="164"/>
      <c r="D36" s="470"/>
      <c r="E36" s="470"/>
      <c r="F36" s="470"/>
      <c r="G36" s="470"/>
      <c r="H36" s="470"/>
      <c r="I36" s="470"/>
      <c r="J36" s="191"/>
      <c r="K36" s="191"/>
      <c r="L36" s="191"/>
      <c r="M36" s="191"/>
      <c r="N36" s="191"/>
      <c r="O36" s="191"/>
      <c r="P36" s="191"/>
      <c r="Q36" s="191"/>
      <c r="R36" s="191"/>
      <c r="S36" s="191"/>
    </row>
    <row r="37" spans="2:19" outlineLevel="1"/>
    <row r="38" spans="2:19" outlineLevel="1">
      <c r="B38" t="s">
        <v>462</v>
      </c>
      <c r="D38" s="47">
        <f>'Assumptions Working '!D205</f>
        <v>294</v>
      </c>
      <c r="E38" s="47">
        <f>'Assumptions Working '!E205</f>
        <v>305</v>
      </c>
      <c r="F38" s="47">
        <f>'Assumptions Working '!F205</f>
        <v>354</v>
      </c>
      <c r="G38" s="47">
        <f>'Assumptions Working '!G205</f>
        <v>387</v>
      </c>
      <c r="H38" s="47">
        <f>'Assumptions Working '!H205</f>
        <v>416</v>
      </c>
      <c r="I38" s="47">
        <f>'Assumptions Working '!I205</f>
        <v>449</v>
      </c>
      <c r="J38" s="203">
        <f t="shared" ref="J38:S38" si="15">J$13*J39</f>
        <v>493.89360000000011</v>
      </c>
      <c r="K38" s="203">
        <f t="shared" si="15"/>
        <v>560.56923600000016</v>
      </c>
      <c r="L38" s="203">
        <f t="shared" si="15"/>
        <v>633.44323668000004</v>
      </c>
      <c r="M38" s="203">
        <f t="shared" si="15"/>
        <v>712.62364126500006</v>
      </c>
      <c r="N38" s="203">
        <f t="shared" si="15"/>
        <v>798.13847821680019</v>
      </c>
      <c r="O38" s="203">
        <f t="shared" si="15"/>
        <v>893.91509560281634</v>
      </c>
      <c r="P38" s="203">
        <f t="shared" si="15"/>
        <v>1001.1849070751543</v>
      </c>
      <c r="Q38" s="203">
        <f t="shared" si="15"/>
        <v>1121.3270959241729</v>
      </c>
      <c r="R38" s="203">
        <f t="shared" si="15"/>
        <v>1255.886347435074</v>
      </c>
      <c r="S38" s="203">
        <f t="shared" si="15"/>
        <v>1406.5927091272827</v>
      </c>
    </row>
    <row r="39" spans="2:19" outlineLevel="1">
      <c r="B39" s="16" t="s">
        <v>458</v>
      </c>
      <c r="C39" s="16"/>
      <c r="D39" s="54">
        <f>'Assumptions Working '!D251</f>
        <v>4.0191387559808611E-2</v>
      </c>
      <c r="E39" s="54">
        <f>'Assumptions Working '!E251</f>
        <v>3.7897614314115306E-2</v>
      </c>
      <c r="F39" s="54">
        <f>'Assumptions Working '!F251</f>
        <v>3.7216148023549202E-2</v>
      </c>
      <c r="G39" s="54">
        <f>'Assumptions Working '!G251</f>
        <v>3.9635395329782878E-2</v>
      </c>
      <c r="H39" s="54">
        <f>'Assumptions Working '!H251</f>
        <v>4.3095410753133744E-2</v>
      </c>
      <c r="I39" s="54">
        <f>'Assumptions Working '!I251</f>
        <v>4.1455082633182531E-2</v>
      </c>
      <c r="J39" s="22">
        <f>ControlSheet!K49</f>
        <v>0.04</v>
      </c>
      <c r="K39" s="22">
        <f>ControlSheet!L49</f>
        <v>0.04</v>
      </c>
      <c r="L39" s="22">
        <f>ControlSheet!M49</f>
        <v>0.04</v>
      </c>
      <c r="M39" s="22">
        <f>ControlSheet!N49</f>
        <v>0.04</v>
      </c>
      <c r="N39" s="22">
        <f>ControlSheet!O49</f>
        <v>0.04</v>
      </c>
      <c r="O39" s="22">
        <f>ControlSheet!P49</f>
        <v>0.04</v>
      </c>
      <c r="P39" s="22">
        <f>ControlSheet!Q49</f>
        <v>0.04</v>
      </c>
      <c r="Q39" s="22">
        <f>ControlSheet!R49</f>
        <v>0.04</v>
      </c>
      <c r="R39" s="22">
        <f>ControlSheet!S49</f>
        <v>0.04</v>
      </c>
      <c r="S39" s="22">
        <f>ControlSheet!T49</f>
        <v>0.04</v>
      </c>
    </row>
    <row r="40" spans="2:19" outlineLevel="1"/>
    <row r="41" spans="2:19" outlineLevel="1">
      <c r="B41" s="477" t="s">
        <v>463</v>
      </c>
      <c r="C41" s="164"/>
      <c r="D41" s="470"/>
      <c r="E41" s="470"/>
      <c r="F41" s="470"/>
      <c r="G41" s="470"/>
      <c r="H41" s="470"/>
      <c r="I41" s="470"/>
      <c r="J41" s="191"/>
      <c r="K41" s="191"/>
      <c r="L41" s="191"/>
      <c r="M41" s="191"/>
      <c r="N41" s="191"/>
      <c r="O41" s="191"/>
      <c r="P41" s="191"/>
      <c r="Q41" s="191"/>
      <c r="R41" s="191"/>
      <c r="S41" s="191"/>
    </row>
    <row r="42" spans="2:19" outlineLevel="1"/>
    <row r="43" spans="2:19" outlineLevel="1">
      <c r="B43" t="s">
        <v>463</v>
      </c>
      <c r="D43" s="47">
        <f>'Assumptions Working '!D253</f>
        <v>630.99999999999932</v>
      </c>
      <c r="E43" s="47">
        <f>'Assumptions Working '!E253</f>
        <v>602.99999999999977</v>
      </c>
      <c r="F43" s="47">
        <f>'Assumptions Working '!F253</f>
        <v>659</v>
      </c>
      <c r="G43" s="47">
        <f>'Assumptions Working '!G253</f>
        <v>721</v>
      </c>
      <c r="H43" s="47">
        <f>'Assumptions Working '!H253</f>
        <v>768</v>
      </c>
      <c r="I43" s="47">
        <f>'Assumptions Working '!I253</f>
        <v>896</v>
      </c>
      <c r="J43" s="203">
        <f t="shared" ref="J43" si="16">J$13*J44</f>
        <v>987.78720000000021</v>
      </c>
      <c r="K43" s="203">
        <f t="shared" ref="K43" si="17">K$13*K44</f>
        <v>1121.1384720000003</v>
      </c>
      <c r="L43" s="203">
        <f t="shared" ref="L43" si="18">L$13*L44</f>
        <v>1266.8864733600001</v>
      </c>
      <c r="M43" s="203">
        <f t="shared" ref="M43" si="19">M$13*M44</f>
        <v>1425.2472825300001</v>
      </c>
      <c r="N43" s="203">
        <f t="shared" ref="N43:S43" si="20">N$13*N44</f>
        <v>1596.2769564336004</v>
      </c>
      <c r="O43" s="203">
        <f t="shared" si="20"/>
        <v>1787.8301912056327</v>
      </c>
      <c r="P43" s="203">
        <f t="shared" si="20"/>
        <v>2002.3698141503087</v>
      </c>
      <c r="Q43" s="203">
        <f t="shared" si="20"/>
        <v>2242.6541918483458</v>
      </c>
      <c r="R43" s="203">
        <f t="shared" si="20"/>
        <v>2511.7726948701479</v>
      </c>
      <c r="S43" s="203">
        <f t="shared" si="20"/>
        <v>2813.1854182545653</v>
      </c>
    </row>
    <row r="44" spans="2:19" outlineLevel="1">
      <c r="B44" s="16" t="s">
        <v>459</v>
      </c>
      <c r="C44" s="16"/>
      <c r="D44" s="54">
        <f>'Assumptions Working '!C254</f>
        <v>7.908371966184892E-2</v>
      </c>
      <c r="E44" s="54">
        <f>'Assumptions Working '!D254</f>
        <v>8.6261107313738802E-2</v>
      </c>
      <c r="F44" s="54">
        <f>'Assumptions Working '!E254</f>
        <v>7.4925447316103358E-2</v>
      </c>
      <c r="G44" s="54">
        <f>'Assumptions Working '!F254</f>
        <v>6.9280908326324636E-2</v>
      </c>
      <c r="H44" s="54">
        <f>'Assumptions Working '!G254</f>
        <v>7.3842687423187212E-2</v>
      </c>
      <c r="I44" s="54">
        <f>'Assumptions Working '!H254</f>
        <v>7.956075831347767E-2</v>
      </c>
      <c r="J44" s="22">
        <f>ControlSheet!K55</f>
        <v>0.08</v>
      </c>
      <c r="K44" s="22">
        <f>ControlSheet!L55</f>
        <v>0.08</v>
      </c>
      <c r="L44" s="22">
        <f>ControlSheet!M55</f>
        <v>0.08</v>
      </c>
      <c r="M44" s="22">
        <f>ControlSheet!N55</f>
        <v>0.08</v>
      </c>
      <c r="N44" s="22">
        <f>ControlSheet!O55</f>
        <v>0.08</v>
      </c>
      <c r="O44" s="22">
        <f>ControlSheet!P55</f>
        <v>0.08</v>
      </c>
      <c r="P44" s="22">
        <f>ControlSheet!Q55</f>
        <v>0.08</v>
      </c>
      <c r="Q44" s="22">
        <f>ControlSheet!R55</f>
        <v>0.08</v>
      </c>
      <c r="R44" s="22">
        <f>ControlSheet!S55</f>
        <v>0.08</v>
      </c>
      <c r="S44" s="22">
        <f>ControlSheet!T55</f>
        <v>0.08</v>
      </c>
    </row>
    <row r="45" spans="2:19" outlineLevel="1"/>
    <row r="46" spans="2:19" ht="15" outlineLevel="1" thickBot="1">
      <c r="B46" s="81" t="s">
        <v>40</v>
      </c>
      <c r="C46" s="81"/>
      <c r="D46" s="436">
        <f t="shared" ref="D46:N46" si="21">D43+D38+D33+D28</f>
        <v>2129.9999999999991</v>
      </c>
      <c r="E46" s="436">
        <f t="shared" si="21"/>
        <v>2176</v>
      </c>
      <c r="F46" s="436">
        <f t="shared" si="21"/>
        <v>2395</v>
      </c>
      <c r="G46" s="436">
        <f t="shared" si="21"/>
        <v>2603</v>
      </c>
      <c r="H46" s="436">
        <f t="shared" si="21"/>
        <v>2879</v>
      </c>
      <c r="I46" s="436">
        <f t="shared" si="21"/>
        <v>3304</v>
      </c>
      <c r="J46" s="436">
        <f t="shared" si="21"/>
        <v>3840.0227400000008</v>
      </c>
      <c r="K46" s="436">
        <f t="shared" si="21"/>
        <v>4358.4258099000008</v>
      </c>
      <c r="L46" s="436">
        <f t="shared" si="21"/>
        <v>4925.0211651870004</v>
      </c>
      <c r="M46" s="436">
        <f t="shared" si="21"/>
        <v>5540.648810835376</v>
      </c>
      <c r="N46" s="436">
        <f t="shared" si="21"/>
        <v>6205.5266681356206</v>
      </c>
      <c r="O46" s="436">
        <f t="shared" ref="O46:S46" si="22">O43+O38+O33+O28</f>
        <v>6950.189868311897</v>
      </c>
      <c r="P46" s="436">
        <f t="shared" si="22"/>
        <v>7784.2126525093254</v>
      </c>
      <c r="Q46" s="436">
        <f t="shared" si="22"/>
        <v>8718.3181708104439</v>
      </c>
      <c r="R46" s="436">
        <f t="shared" si="22"/>
        <v>9764.5163513076986</v>
      </c>
      <c r="S46" s="436">
        <f t="shared" si="22"/>
        <v>10936.258313464625</v>
      </c>
    </row>
    <row r="47" spans="2:19" outlineLevel="1">
      <c r="B47" s="16" t="s">
        <v>30</v>
      </c>
      <c r="C47" s="16"/>
      <c r="D47" s="34">
        <f>D46/D$13</f>
        <v>0.29118250170881738</v>
      </c>
      <c r="E47" s="34">
        <f t="shared" ref="E47:N47" si="23">E46/E$13</f>
        <v>0.27037773359840955</v>
      </c>
      <c r="F47" s="34">
        <f t="shared" si="23"/>
        <v>0.25178721614802357</v>
      </c>
      <c r="G47" s="34">
        <f t="shared" si="23"/>
        <v>0.26659156083572305</v>
      </c>
      <c r="H47" s="34">
        <f t="shared" si="23"/>
        <v>0.29824924893815397</v>
      </c>
      <c r="I47" s="34">
        <f t="shared" si="23"/>
        <v>0.30505031853014497</v>
      </c>
      <c r="J47" s="34">
        <f t="shared" si="23"/>
        <v>0.311</v>
      </c>
      <c r="K47" s="34">
        <f t="shared" si="23"/>
        <v>0.311</v>
      </c>
      <c r="L47" s="34">
        <f t="shared" si="23"/>
        <v>0.311</v>
      </c>
      <c r="M47" s="34">
        <f t="shared" si="23"/>
        <v>0.31100000000000005</v>
      </c>
      <c r="N47" s="34">
        <f t="shared" si="23"/>
        <v>0.311</v>
      </c>
      <c r="O47" s="34">
        <f t="shared" ref="O47:S47" si="24">O46/O$13</f>
        <v>0.311</v>
      </c>
      <c r="P47" s="34">
        <f t="shared" si="24"/>
        <v>0.311</v>
      </c>
      <c r="Q47" s="34">
        <f t="shared" si="24"/>
        <v>0.311</v>
      </c>
      <c r="R47" s="34">
        <f t="shared" si="24"/>
        <v>0.311</v>
      </c>
      <c r="S47" s="34">
        <f t="shared" si="24"/>
        <v>0.31100000000000005</v>
      </c>
    </row>
    <row r="48" spans="2:19">
      <c r="D48" s="46"/>
      <c r="E48" s="46"/>
      <c r="F48" s="46"/>
      <c r="G48" s="46"/>
      <c r="H48" s="46"/>
      <c r="I48" s="46"/>
    </row>
    <row r="49" spans="1:19" ht="18">
      <c r="A49" t="s">
        <v>21</v>
      </c>
      <c r="B49" s="25" t="s">
        <v>34</v>
      </c>
      <c r="C49" s="11"/>
      <c r="D49" s="11"/>
      <c r="E49" s="11"/>
      <c r="F49" s="11"/>
      <c r="G49" s="11"/>
      <c r="H49" s="11"/>
      <c r="I49" s="11"/>
      <c r="J49" s="11"/>
      <c r="K49" s="11"/>
      <c r="L49" s="11"/>
      <c r="M49" s="11"/>
      <c r="N49" s="11"/>
      <c r="O49" s="11"/>
      <c r="P49" s="11"/>
      <c r="Q49" s="11"/>
      <c r="R49" s="11"/>
      <c r="S49" s="11"/>
    </row>
    <row r="50" spans="1:19" outlineLevel="1"/>
    <row r="51" spans="1:19" outlineLevel="1">
      <c r="B51" s="477" t="s">
        <v>619</v>
      </c>
      <c r="C51" s="164"/>
      <c r="D51" s="470"/>
      <c r="E51" s="470"/>
      <c r="F51" s="470"/>
      <c r="G51" s="470"/>
      <c r="H51" s="470"/>
      <c r="I51" s="470"/>
      <c r="J51" s="191"/>
      <c r="K51" s="191"/>
      <c r="L51" s="191"/>
      <c r="M51" s="191"/>
      <c r="N51" s="191"/>
      <c r="O51" s="191"/>
      <c r="P51" s="191"/>
      <c r="Q51" s="191"/>
      <c r="R51" s="191"/>
      <c r="S51" s="191"/>
    </row>
    <row r="52" spans="1:19" ht="15.6" outlineLevel="1">
      <c r="B52" s="137"/>
      <c r="C52" s="137"/>
      <c r="D52" s="137"/>
      <c r="E52" s="137"/>
      <c r="F52" s="137"/>
      <c r="G52" s="137"/>
      <c r="H52" s="137"/>
      <c r="I52" s="137"/>
      <c r="J52" s="276"/>
      <c r="K52" s="276"/>
      <c r="L52" s="276"/>
      <c r="M52" s="276"/>
      <c r="N52" s="276"/>
      <c r="O52" s="276"/>
      <c r="P52" s="276"/>
      <c r="Q52" s="276"/>
      <c r="R52" s="276"/>
      <c r="S52" s="276"/>
    </row>
    <row r="53" spans="1:19" ht="15.6" outlineLevel="1">
      <c r="B53" s="232" t="s">
        <v>620</v>
      </c>
      <c r="C53" s="232"/>
      <c r="D53" s="471">
        <f>'Balance Sheet'!C8</f>
        <v>572</v>
      </c>
      <c r="E53" s="471">
        <f>'Balance Sheet'!D8</f>
        <v>654</v>
      </c>
      <c r="F53" s="471">
        <f>'Balance Sheet'!E8</f>
        <v>572</v>
      </c>
      <c r="G53" s="471">
        <f>'Balance Sheet'!F8</f>
        <v>600</v>
      </c>
      <c r="H53" s="471">
        <f>'Balance Sheet'!G8</f>
        <v>633</v>
      </c>
      <c r="I53" s="471">
        <f>'Balance Sheet'!H8</f>
        <v>700</v>
      </c>
      <c r="J53" s="471">
        <f>'Balance Sheet'!I8</f>
        <v>710</v>
      </c>
      <c r="K53" s="203">
        <f>J56</f>
        <v>780.38694400000008</v>
      </c>
      <c r="L53" s="203">
        <f t="shared" ref="L53:N53" si="25">K56</f>
        <v>862.49562944000013</v>
      </c>
      <c r="M53" s="203">
        <f t="shared" si="25"/>
        <v>956.86209550720014</v>
      </c>
      <c r="N53" s="203">
        <f t="shared" si="25"/>
        <v>1063.8974263080001</v>
      </c>
      <c r="O53" s="203">
        <f t="shared" ref="O53" si="26">N56</f>
        <v>1165.2317679786802</v>
      </c>
      <c r="P53" s="203">
        <f t="shared" ref="P53" si="27">O56</f>
        <v>1280.134463779046</v>
      </c>
      <c r="Q53" s="203">
        <f t="shared" ref="Q53" si="28">P56</f>
        <v>1433.5946973697464</v>
      </c>
      <c r="R53" s="203">
        <f t="shared" ref="R53" si="29">Q56</f>
        <v>1631.3740495136406</v>
      </c>
      <c r="S53" s="203">
        <f t="shared" ref="S53" si="30">R56</f>
        <v>1806.8016148787794</v>
      </c>
    </row>
    <row r="54" spans="1:19" ht="15.6" outlineLevel="1">
      <c r="B54" s="232" t="s">
        <v>624</v>
      </c>
      <c r="C54" s="232"/>
      <c r="D54" s="232"/>
      <c r="E54" s="232"/>
      <c r="F54" s="232"/>
      <c r="G54" s="232"/>
      <c r="H54" s="414"/>
      <c r="I54" s="24"/>
      <c r="J54" s="471">
        <f>'Assumptions Working '!C524</f>
        <v>197.55744000000004</v>
      </c>
      <c r="K54" s="471">
        <f>'Assumptions Working '!D524</f>
        <v>224.22769440000005</v>
      </c>
      <c r="L54" s="471">
        <f>'Assumptions Working '!E524</f>
        <v>253.37729467200003</v>
      </c>
      <c r="M54" s="471">
        <f>'Assumptions Working '!F524</f>
        <v>285.04945650600001</v>
      </c>
      <c r="N54" s="471">
        <f>'Assumptions Working '!G524</f>
        <v>299.30192933130002</v>
      </c>
      <c r="O54" s="471">
        <f>'Assumptions Working '!H524</f>
        <v>335.2181608510561</v>
      </c>
      <c r="P54" s="471">
        <f>'Assumptions Working '!I524</f>
        <v>400.47396283006174</v>
      </c>
      <c r="Q54" s="471">
        <f>'Assumptions Working '!J524</f>
        <v>476.56401576777353</v>
      </c>
      <c r="R54" s="471">
        <f>'Assumptions Working '!K524</f>
        <v>486.65595963109109</v>
      </c>
      <c r="S54" s="471">
        <f>'Assumptions Working '!L524</f>
        <v>439.56022160227587</v>
      </c>
    </row>
    <row r="55" spans="1:19" ht="15.6" outlineLevel="1">
      <c r="B55" s="232" t="s">
        <v>37</v>
      </c>
      <c r="C55" s="232"/>
      <c r="D55" s="232"/>
      <c r="E55" s="232"/>
      <c r="F55" s="232"/>
      <c r="G55" s="232"/>
      <c r="H55" s="414"/>
      <c r="I55" s="468">
        <v>114</v>
      </c>
      <c r="J55" s="203">
        <f>I55+J54/$C$109</f>
        <v>127.170496</v>
      </c>
      <c r="K55" s="203">
        <f>J55+K54/$C$109</f>
        <v>142.11900896</v>
      </c>
      <c r="L55" s="203">
        <f>K55+L54/$C$109</f>
        <v>159.0108286048</v>
      </c>
      <c r="M55" s="203">
        <f>L55+M54/$C$109</f>
        <v>178.0141257052</v>
      </c>
      <c r="N55" s="203">
        <f>M55+N54/$C$109</f>
        <v>197.96758766062001</v>
      </c>
      <c r="O55" s="203">
        <f t="shared" ref="O55:S55" si="31">N55+O54/$C$109</f>
        <v>220.31546505069042</v>
      </c>
      <c r="P55" s="203">
        <f t="shared" si="31"/>
        <v>247.0137292393612</v>
      </c>
      <c r="Q55" s="203">
        <f t="shared" si="31"/>
        <v>278.78466362387945</v>
      </c>
      <c r="R55" s="203">
        <f t="shared" si="31"/>
        <v>311.2283942659522</v>
      </c>
      <c r="S55" s="203">
        <f t="shared" si="31"/>
        <v>340.53240903943725</v>
      </c>
    </row>
    <row r="56" spans="1:19" ht="15.6" outlineLevel="1">
      <c r="B56" s="278" t="s">
        <v>621</v>
      </c>
      <c r="C56" s="278"/>
      <c r="D56" s="356"/>
      <c r="E56" s="278"/>
      <c r="F56" s="278"/>
      <c r="G56" s="278"/>
      <c r="H56" s="278"/>
      <c r="I56" s="415"/>
      <c r="J56" s="443">
        <f>J53+J54-J55</f>
        <v>780.38694400000008</v>
      </c>
      <c r="K56" s="443">
        <f t="shared" ref="K56:N56" si="32">K53+K54-K55</f>
        <v>862.49562944000013</v>
      </c>
      <c r="L56" s="443">
        <f t="shared" si="32"/>
        <v>956.86209550720014</v>
      </c>
      <c r="M56" s="443">
        <f t="shared" si="32"/>
        <v>1063.8974263080001</v>
      </c>
      <c r="N56" s="443">
        <f t="shared" si="32"/>
        <v>1165.2317679786802</v>
      </c>
      <c r="O56" s="443">
        <f t="shared" ref="O56:S56" si="33">O53+O54-O55</f>
        <v>1280.134463779046</v>
      </c>
      <c r="P56" s="443">
        <f t="shared" si="33"/>
        <v>1433.5946973697464</v>
      </c>
      <c r="Q56" s="443">
        <f t="shared" si="33"/>
        <v>1631.3740495136406</v>
      </c>
      <c r="R56" s="443">
        <f t="shared" si="33"/>
        <v>1806.8016148787794</v>
      </c>
      <c r="S56" s="443">
        <f t="shared" si="33"/>
        <v>1905.8294274416182</v>
      </c>
    </row>
    <row r="57" spans="1:19" ht="15.6" outlineLevel="1">
      <c r="B57" s="279" t="s">
        <v>628</v>
      </c>
      <c r="C57" s="279"/>
      <c r="D57" s="279"/>
      <c r="E57" s="357"/>
      <c r="F57" s="357"/>
      <c r="G57" s="357"/>
      <c r="H57" s="357"/>
      <c r="I57" s="416"/>
      <c r="J57" s="357"/>
      <c r="K57" s="488">
        <f>K56/J56-1</f>
        <v>0.10521534998924853</v>
      </c>
      <c r="L57" s="488">
        <f t="shared" ref="L57:N57" si="34">L56/K56-1</f>
        <v>0.10941094986008237</v>
      </c>
      <c r="M57" s="488">
        <f t="shared" si="34"/>
        <v>0.11186077001416206</v>
      </c>
      <c r="N57" s="488">
        <f t="shared" si="34"/>
        <v>9.524822521879428E-2</v>
      </c>
      <c r="O57" s="488">
        <f t="shared" ref="O57" si="35">O56/N56-1</f>
        <v>9.8609305854822971E-2</v>
      </c>
      <c r="P57" s="488">
        <f t="shared" ref="P57" si="36">P56/O56-1</f>
        <v>0.11987821430701517</v>
      </c>
      <c r="Q57" s="488">
        <f t="shared" ref="Q57" si="37">Q56/P56-1</f>
        <v>0.13796043784673939</v>
      </c>
      <c r="R57" s="488">
        <f t="shared" ref="R57" si="38">R56/Q56-1</f>
        <v>0.10753362505517283</v>
      </c>
      <c r="S57" s="488">
        <f t="shared" ref="S57" si="39">S56/R56-1</f>
        <v>5.4808348491255154E-2</v>
      </c>
    </row>
    <row r="58" spans="1:19" ht="15.6" outlineLevel="1">
      <c r="B58" s="232"/>
      <c r="C58" s="232"/>
      <c r="D58" s="232"/>
      <c r="E58" s="232"/>
      <c r="F58" s="232"/>
      <c r="G58" s="232"/>
      <c r="H58" s="232"/>
      <c r="I58" s="414"/>
      <c r="J58" s="417"/>
      <c r="K58" s="417"/>
      <c r="L58" s="417"/>
      <c r="M58" s="417"/>
      <c r="N58" s="417"/>
      <c r="O58" s="417"/>
      <c r="P58" s="417"/>
      <c r="Q58" s="417"/>
      <c r="R58" s="417"/>
      <c r="S58" s="417"/>
    </row>
    <row r="59" spans="1:19" outlineLevel="1">
      <c r="B59" s="477" t="s">
        <v>622</v>
      </c>
      <c r="C59" s="164"/>
      <c r="D59" s="470"/>
      <c r="E59" s="470"/>
      <c r="F59" s="470"/>
      <c r="G59" s="470"/>
      <c r="H59" s="470"/>
      <c r="I59" s="470"/>
      <c r="J59" s="191"/>
      <c r="K59" s="191"/>
      <c r="L59" s="191"/>
      <c r="M59" s="191"/>
      <c r="N59" s="191"/>
      <c r="O59" s="191"/>
      <c r="P59" s="191"/>
      <c r="Q59" s="191"/>
      <c r="R59" s="191"/>
      <c r="S59" s="191"/>
    </row>
    <row r="60" spans="1:19" ht="15.6" outlineLevel="1">
      <c r="B60" s="232" t="s">
        <v>622</v>
      </c>
      <c r="C60" s="232"/>
      <c r="D60" s="471">
        <f>'Balance Sheet'!C10</f>
        <v>153</v>
      </c>
      <c r="E60" s="471">
        <f>'Balance Sheet'!D10</f>
        <v>146</v>
      </c>
      <c r="F60" s="471">
        <f>'Balance Sheet'!E10</f>
        <v>180</v>
      </c>
      <c r="G60" s="471">
        <f>'Balance Sheet'!F10</f>
        <v>178</v>
      </c>
      <c r="H60" s="471">
        <f>'Balance Sheet'!G10</f>
        <v>175</v>
      </c>
      <c r="I60" s="471">
        <f>'Balance Sheet'!H10</f>
        <v>209</v>
      </c>
      <c r="J60" s="471">
        <f>'Balance Sheet'!I10</f>
        <v>230</v>
      </c>
      <c r="K60" s="203">
        <f>J63</f>
        <v>177</v>
      </c>
      <c r="L60" s="203">
        <f t="shared" ref="L60:N60" si="40">K63</f>
        <v>124</v>
      </c>
      <c r="M60" s="203">
        <f t="shared" si="40"/>
        <v>71</v>
      </c>
      <c r="N60" s="203">
        <f t="shared" si="40"/>
        <v>18</v>
      </c>
      <c r="O60" s="203">
        <f t="shared" ref="O60" si="41">N63</f>
        <v>0</v>
      </c>
      <c r="P60" s="203">
        <f t="shared" ref="P60" si="42">O63</f>
        <v>0</v>
      </c>
      <c r="Q60" s="203">
        <f t="shared" ref="Q60" si="43">P63</f>
        <v>0</v>
      </c>
      <c r="R60" s="203">
        <f t="shared" ref="R60" si="44">Q63</f>
        <v>0</v>
      </c>
      <c r="S60" s="203">
        <f t="shared" ref="S60" si="45">R63</f>
        <v>0</v>
      </c>
    </row>
    <row r="61" spans="1:19" ht="15.6" outlineLevel="1">
      <c r="B61" s="232" t="s">
        <v>623</v>
      </c>
      <c r="C61" s="232"/>
      <c r="D61" s="232"/>
      <c r="E61" s="232"/>
      <c r="F61" s="232"/>
      <c r="G61" s="232"/>
      <c r="H61" s="232"/>
      <c r="I61" s="232"/>
      <c r="J61" s="203">
        <v>0</v>
      </c>
      <c r="K61" s="203">
        <v>0</v>
      </c>
      <c r="L61" s="203">
        <v>0</v>
      </c>
      <c r="M61" s="203">
        <v>0</v>
      </c>
      <c r="N61" s="203">
        <v>0</v>
      </c>
      <c r="O61" s="203">
        <v>0</v>
      </c>
      <c r="P61" s="203">
        <v>0</v>
      </c>
      <c r="Q61" s="203">
        <v>0</v>
      </c>
      <c r="R61" s="203">
        <v>0</v>
      </c>
      <c r="S61" s="203">
        <v>0</v>
      </c>
    </row>
    <row r="62" spans="1:19" ht="15.6" outlineLevel="1">
      <c r="B62" s="232" t="s">
        <v>37</v>
      </c>
      <c r="C62" s="232"/>
      <c r="D62" s="232"/>
      <c r="E62" s="232"/>
      <c r="F62" s="232"/>
      <c r="G62" s="232"/>
      <c r="H62" s="232"/>
      <c r="I62" s="19">
        <v>53</v>
      </c>
      <c r="J62" s="203">
        <f>I62+J61/$C$109</f>
        <v>53</v>
      </c>
      <c r="K62" s="203">
        <f>J62+K61/$C$109</f>
        <v>53</v>
      </c>
      <c r="L62" s="203">
        <f>K62+L61/$C$109</f>
        <v>53</v>
      </c>
      <c r="M62" s="203">
        <f>L62+M61/$C$109</f>
        <v>53</v>
      </c>
      <c r="N62" s="19">
        <v>18</v>
      </c>
      <c r="O62" s="19">
        <v>0</v>
      </c>
      <c r="P62" s="19">
        <v>0</v>
      </c>
      <c r="Q62" s="19">
        <v>0</v>
      </c>
      <c r="R62" s="19">
        <v>0</v>
      </c>
      <c r="S62" s="19">
        <v>0</v>
      </c>
    </row>
    <row r="63" spans="1:19" ht="15.6" outlineLevel="1">
      <c r="B63" s="278" t="s">
        <v>761</v>
      </c>
      <c r="C63" s="278"/>
      <c r="D63" s="278"/>
      <c r="E63" s="278"/>
      <c r="F63" s="278"/>
      <c r="G63" s="278"/>
      <c r="H63" s="278"/>
      <c r="I63" s="278"/>
      <c r="J63" s="443">
        <f>J60+J61-J62</f>
        <v>177</v>
      </c>
      <c r="K63" s="443">
        <f t="shared" ref="K63:N63" si="46">K60+K61-K62</f>
        <v>124</v>
      </c>
      <c r="L63" s="443">
        <f t="shared" si="46"/>
        <v>71</v>
      </c>
      <c r="M63" s="443">
        <f t="shared" si="46"/>
        <v>18</v>
      </c>
      <c r="N63" s="443">
        <f t="shared" si="46"/>
        <v>0</v>
      </c>
      <c r="O63" s="443">
        <f t="shared" ref="O63:S63" si="47">O60+O61-O62</f>
        <v>0</v>
      </c>
      <c r="P63" s="443">
        <f t="shared" si="47"/>
        <v>0</v>
      </c>
      <c r="Q63" s="443">
        <f t="shared" si="47"/>
        <v>0</v>
      </c>
      <c r="R63" s="443">
        <f t="shared" si="47"/>
        <v>0</v>
      </c>
      <c r="S63" s="443">
        <f t="shared" si="47"/>
        <v>0</v>
      </c>
    </row>
    <row r="64" spans="1:19" ht="15.6" outlineLevel="1">
      <c r="B64" s="16" t="s">
        <v>628</v>
      </c>
      <c r="C64" s="279"/>
      <c r="D64" s="279"/>
      <c r="E64" s="357"/>
      <c r="F64" s="357"/>
      <c r="G64" s="357"/>
      <c r="H64" s="357"/>
      <c r="I64" s="357"/>
      <c r="J64" s="357"/>
      <c r="K64" s="488">
        <f>K63/J63-1</f>
        <v>-0.29943502824858759</v>
      </c>
      <c r="L64" s="488">
        <f t="shared" ref="L64:N64" si="48">L63/K63-1</f>
        <v>-0.42741935483870963</v>
      </c>
      <c r="M64" s="488">
        <f t="shared" si="48"/>
        <v>-0.74647887323943662</v>
      </c>
      <c r="N64" s="488">
        <f t="shared" si="48"/>
        <v>-1</v>
      </c>
      <c r="O64" s="492">
        <f>IF(N63=0, 0, (O63/N63)-1)</f>
        <v>0</v>
      </c>
      <c r="P64" s="492">
        <f t="shared" ref="P64:S64" si="49">IF(O63=0, 0, (P63/O63)-1)</f>
        <v>0</v>
      </c>
      <c r="Q64" s="492">
        <f t="shared" si="49"/>
        <v>0</v>
      </c>
      <c r="R64" s="492">
        <f t="shared" si="49"/>
        <v>0</v>
      </c>
      <c r="S64" s="492">
        <f t="shared" si="49"/>
        <v>0</v>
      </c>
    </row>
    <row r="65" spans="2:19" ht="15.6" outlineLevel="1">
      <c r="B65" s="232"/>
      <c r="C65" s="232"/>
      <c r="D65" s="232"/>
      <c r="E65" s="358"/>
      <c r="F65" s="358"/>
      <c r="G65" s="358"/>
      <c r="H65" s="358"/>
      <c r="I65" s="358"/>
      <c r="J65" s="358"/>
      <c r="K65" s="358"/>
      <c r="L65" s="358"/>
      <c r="M65" s="358"/>
      <c r="N65" s="358"/>
      <c r="O65" s="358"/>
      <c r="P65" s="358"/>
      <c r="Q65" s="358"/>
      <c r="R65" s="358"/>
      <c r="S65" s="358"/>
    </row>
    <row r="66" spans="2:19" ht="15.6" outlineLevel="1">
      <c r="B66" s="16" t="s">
        <v>628</v>
      </c>
      <c r="C66" s="279"/>
      <c r="D66" s="279"/>
      <c r="E66" s="357"/>
      <c r="F66" s="357"/>
      <c r="G66" s="357"/>
      <c r="H66" s="357"/>
      <c r="I66" s="357"/>
      <c r="J66" s="73">
        <f>ControlSheet!K69</f>
        <v>0</v>
      </c>
      <c r="K66" s="73">
        <f>ControlSheet!L69</f>
        <v>0</v>
      </c>
      <c r="L66" s="73">
        <f>ControlSheet!M69</f>
        <v>0</v>
      </c>
      <c r="M66" s="73">
        <f>ControlSheet!N69</f>
        <v>0</v>
      </c>
      <c r="N66" s="73">
        <f>ControlSheet!O69</f>
        <v>0</v>
      </c>
      <c r="O66" s="73">
        <f>ControlSheet!P69</f>
        <v>0</v>
      </c>
      <c r="P66" s="73">
        <f>ControlSheet!Q69</f>
        <v>0</v>
      </c>
      <c r="Q66" s="73">
        <f>ControlSheet!R69</f>
        <v>0</v>
      </c>
      <c r="R66" s="73">
        <f>ControlSheet!S69</f>
        <v>0</v>
      </c>
      <c r="S66" s="73">
        <f>ControlSheet!T69</f>
        <v>0</v>
      </c>
    </row>
    <row r="67" spans="2:19" ht="15.6" outlineLevel="1">
      <c r="B67" s="232"/>
      <c r="C67" s="232"/>
      <c r="D67" s="232"/>
      <c r="E67" s="232"/>
      <c r="F67" s="232"/>
      <c r="G67" s="232"/>
      <c r="H67" s="232"/>
      <c r="I67" s="232"/>
      <c r="J67" s="277"/>
      <c r="K67" s="277"/>
      <c r="L67" s="277"/>
      <c r="M67" s="277"/>
      <c r="N67" s="277"/>
      <c r="O67" s="277"/>
      <c r="P67" s="277"/>
      <c r="Q67" s="277"/>
      <c r="R67" s="277"/>
      <c r="S67" s="277"/>
    </row>
    <row r="68" spans="2:19" outlineLevel="1">
      <c r="B68" s="477" t="s">
        <v>625</v>
      </c>
      <c r="C68" s="164"/>
      <c r="D68" s="470"/>
      <c r="E68" s="470"/>
      <c r="F68" s="470"/>
      <c r="G68" s="470"/>
      <c r="H68" s="470"/>
      <c r="I68" s="470"/>
      <c r="J68" s="191"/>
      <c r="K68" s="191"/>
      <c r="L68" s="191"/>
      <c r="M68" s="191"/>
      <c r="N68" s="191"/>
      <c r="O68" s="191"/>
      <c r="P68" s="191"/>
      <c r="Q68" s="191"/>
      <c r="R68" s="191"/>
      <c r="S68" s="191"/>
    </row>
    <row r="69" spans="2:19" ht="15.6" outlineLevel="1">
      <c r="B69" s="232" t="s">
        <v>625</v>
      </c>
      <c r="C69" s="232"/>
      <c r="D69" s="230">
        <f>'Balance Sheet'!D9</f>
        <v>58</v>
      </c>
      <c r="E69" s="230">
        <f>'Balance Sheet'!E9</f>
        <v>24</v>
      </c>
      <c r="F69" s="230">
        <f>'Balance Sheet'!F9</f>
        <v>39</v>
      </c>
      <c r="G69" s="230">
        <f>'Balance Sheet'!G9</f>
        <v>67</v>
      </c>
      <c r="H69" s="230">
        <f>'Balance Sheet'!H9</f>
        <v>44</v>
      </c>
      <c r="I69" s="230">
        <f>'Balance Sheet'!I9</f>
        <v>40</v>
      </c>
      <c r="J69" s="203">
        <f>I69*(1+J70)</f>
        <v>40</v>
      </c>
      <c r="K69" s="203">
        <f t="shared" ref="K69:N69" si="50">J69*(1+K70)</f>
        <v>40</v>
      </c>
      <c r="L69" s="203">
        <f t="shared" si="50"/>
        <v>40</v>
      </c>
      <c r="M69" s="203">
        <f t="shared" si="50"/>
        <v>40</v>
      </c>
      <c r="N69" s="203">
        <f t="shared" si="50"/>
        <v>40</v>
      </c>
      <c r="O69" s="203">
        <f t="shared" ref="O69" si="51">N69*(1+O70)</f>
        <v>40</v>
      </c>
      <c r="P69" s="203">
        <f t="shared" ref="P69" si="52">O69*(1+P70)</f>
        <v>40</v>
      </c>
      <c r="Q69" s="203">
        <f t="shared" ref="Q69" si="53">P69*(1+Q70)</f>
        <v>40</v>
      </c>
      <c r="R69" s="203">
        <f t="shared" ref="R69" si="54">Q69*(1+R70)</f>
        <v>40</v>
      </c>
      <c r="S69" s="203">
        <f t="shared" ref="S69" si="55">R69*(1+S70)</f>
        <v>40</v>
      </c>
    </row>
    <row r="70" spans="2:19" ht="15.6" outlineLevel="1">
      <c r="B70" s="279" t="s">
        <v>628</v>
      </c>
      <c r="C70" s="279"/>
      <c r="D70" s="279"/>
      <c r="E70" s="357"/>
      <c r="F70" s="357"/>
      <c r="G70" s="357"/>
      <c r="H70" s="357"/>
      <c r="I70" s="357"/>
      <c r="J70" s="73">
        <f>ControlSheet!K73</f>
        <v>0</v>
      </c>
      <c r="K70" s="73">
        <f>ControlSheet!L73</f>
        <v>0</v>
      </c>
      <c r="L70" s="73">
        <f>ControlSheet!M73</f>
        <v>0</v>
      </c>
      <c r="M70" s="73">
        <f>ControlSheet!N73</f>
        <v>0</v>
      </c>
      <c r="N70" s="73">
        <f>ControlSheet!O73</f>
        <v>0</v>
      </c>
      <c r="O70" s="73">
        <f>ControlSheet!P73</f>
        <v>0</v>
      </c>
      <c r="P70" s="73">
        <f>ControlSheet!Q73</f>
        <v>0</v>
      </c>
      <c r="Q70" s="73">
        <f>ControlSheet!R73</f>
        <v>0</v>
      </c>
      <c r="R70" s="73">
        <f>ControlSheet!S73</f>
        <v>0</v>
      </c>
      <c r="S70" s="73">
        <f>ControlSheet!T73</f>
        <v>0</v>
      </c>
    </row>
    <row r="71" spans="2:19" ht="15.6" outlineLevel="1">
      <c r="B71" s="232"/>
      <c r="C71" s="232"/>
      <c r="D71" s="232"/>
      <c r="E71" s="232"/>
      <c r="F71" s="232"/>
      <c r="G71" s="232"/>
      <c r="H71" s="232"/>
      <c r="I71" s="232"/>
      <c r="J71" s="277"/>
      <c r="K71" s="277"/>
      <c r="L71" s="277"/>
      <c r="M71" s="277"/>
      <c r="N71" s="277"/>
      <c r="O71" s="277"/>
      <c r="P71" s="277"/>
      <c r="Q71" s="277"/>
      <c r="R71" s="277"/>
      <c r="S71" s="277"/>
    </row>
    <row r="72" spans="2:19" outlineLevel="1">
      <c r="B72" s="477" t="s">
        <v>626</v>
      </c>
      <c r="C72" s="164"/>
      <c r="D72" s="470"/>
      <c r="E72" s="470"/>
      <c r="F72" s="470"/>
      <c r="G72" s="470"/>
      <c r="H72" s="470"/>
      <c r="I72" s="470"/>
      <c r="J72" s="191"/>
      <c r="K72" s="191"/>
      <c r="L72" s="191"/>
      <c r="M72" s="191"/>
      <c r="N72" s="191"/>
      <c r="O72" s="191"/>
      <c r="P72" s="191"/>
      <c r="Q72" s="191"/>
      <c r="R72" s="191"/>
      <c r="S72" s="191"/>
    </row>
    <row r="73" spans="2:19" ht="15.6" outlineLevel="1">
      <c r="B73" s="232" t="s">
        <v>626</v>
      </c>
      <c r="C73" s="232"/>
      <c r="D73" s="230"/>
      <c r="E73" s="230"/>
      <c r="F73" s="230"/>
      <c r="G73" s="230"/>
      <c r="H73" s="230"/>
      <c r="I73" s="230"/>
      <c r="J73" s="471">
        <f>'Balance Sheet'!I13</f>
        <v>946</v>
      </c>
      <c r="K73" s="203">
        <f>J76</f>
        <v>935</v>
      </c>
      <c r="L73" s="203">
        <f t="shared" ref="L73:N73" si="56">K76</f>
        <v>924</v>
      </c>
      <c r="M73" s="203">
        <f t="shared" si="56"/>
        <v>913</v>
      </c>
      <c r="N73" s="203">
        <f t="shared" si="56"/>
        <v>902</v>
      </c>
      <c r="O73" s="203">
        <f t="shared" ref="O73" si="57">N76</f>
        <v>891</v>
      </c>
      <c r="P73" s="203">
        <f t="shared" ref="P73" si="58">O76</f>
        <v>880</v>
      </c>
      <c r="Q73" s="203">
        <f t="shared" ref="Q73" si="59">P76</f>
        <v>869</v>
      </c>
      <c r="R73" s="203">
        <f t="shared" ref="R73" si="60">Q76</f>
        <v>858</v>
      </c>
      <c r="S73" s="203">
        <f t="shared" ref="S73" si="61">R76</f>
        <v>847</v>
      </c>
    </row>
    <row r="74" spans="2:19" ht="15.6" outlineLevel="1">
      <c r="B74" s="232" t="s">
        <v>623</v>
      </c>
      <c r="C74" s="232"/>
      <c r="D74" s="232"/>
      <c r="E74" s="232"/>
      <c r="F74" s="232"/>
      <c r="G74" s="232"/>
      <c r="H74" s="232"/>
      <c r="I74" s="232"/>
      <c r="J74" s="203">
        <f>J73*J79</f>
        <v>0</v>
      </c>
      <c r="K74" s="203">
        <f t="shared" ref="K74:N74" si="62">K73*K79</f>
        <v>0</v>
      </c>
      <c r="L74" s="203">
        <f t="shared" si="62"/>
        <v>0</v>
      </c>
      <c r="M74" s="203">
        <f t="shared" si="62"/>
        <v>0</v>
      </c>
      <c r="N74" s="203">
        <f t="shared" si="62"/>
        <v>0</v>
      </c>
      <c r="O74" s="203">
        <f t="shared" ref="O74:S74" si="63">O73*O79</f>
        <v>0</v>
      </c>
      <c r="P74" s="203">
        <f t="shared" si="63"/>
        <v>0</v>
      </c>
      <c r="Q74" s="203">
        <f t="shared" si="63"/>
        <v>0</v>
      </c>
      <c r="R74" s="203">
        <f t="shared" si="63"/>
        <v>0</v>
      </c>
      <c r="S74" s="203">
        <f t="shared" si="63"/>
        <v>0</v>
      </c>
    </row>
    <row r="75" spans="2:19" ht="15.6" outlineLevel="1">
      <c r="B75" s="232" t="s">
        <v>37</v>
      </c>
      <c r="C75" s="232"/>
      <c r="D75" s="232"/>
      <c r="E75" s="232"/>
      <c r="F75" s="232"/>
      <c r="G75" s="232"/>
      <c r="H75" s="232"/>
      <c r="I75" s="460">
        <v>11</v>
      </c>
      <c r="J75" s="203">
        <f>I75+J74/$C$109</f>
        <v>11</v>
      </c>
      <c r="K75" s="203">
        <f>J75+K74/$C$109</f>
        <v>11</v>
      </c>
      <c r="L75" s="203">
        <f>K75+L74/$C$109</f>
        <v>11</v>
      </c>
      <c r="M75" s="203">
        <f>L75+M74/$C$109</f>
        <v>11</v>
      </c>
      <c r="N75" s="203">
        <f>M75+N74/$C$109</f>
        <v>11</v>
      </c>
      <c r="O75" s="203">
        <f t="shared" ref="O75:S75" si="64">N75+O74/$C$109</f>
        <v>11</v>
      </c>
      <c r="P75" s="203">
        <f t="shared" si="64"/>
        <v>11</v>
      </c>
      <c r="Q75" s="203">
        <f t="shared" si="64"/>
        <v>11</v>
      </c>
      <c r="R75" s="203">
        <f t="shared" si="64"/>
        <v>11</v>
      </c>
      <c r="S75" s="203">
        <f t="shared" si="64"/>
        <v>11</v>
      </c>
    </row>
    <row r="76" spans="2:19" ht="15.6" outlineLevel="1">
      <c r="B76" s="278" t="s">
        <v>763</v>
      </c>
      <c r="C76" s="278"/>
      <c r="D76" s="278"/>
      <c r="E76" s="278"/>
      <c r="F76" s="278"/>
      <c r="G76" s="278"/>
      <c r="H76" s="278"/>
      <c r="I76" s="278"/>
      <c r="J76" s="443">
        <f>J73+J74-J75</f>
        <v>935</v>
      </c>
      <c r="K76" s="443">
        <f t="shared" ref="K76:N76" si="65">K73+K74-K75</f>
        <v>924</v>
      </c>
      <c r="L76" s="443">
        <f t="shared" si="65"/>
        <v>913</v>
      </c>
      <c r="M76" s="443">
        <f t="shared" si="65"/>
        <v>902</v>
      </c>
      <c r="N76" s="443">
        <f t="shared" si="65"/>
        <v>891</v>
      </c>
      <c r="O76" s="443">
        <f t="shared" ref="O76:S76" si="66">O73+O74-O75</f>
        <v>880</v>
      </c>
      <c r="P76" s="443">
        <f t="shared" si="66"/>
        <v>869</v>
      </c>
      <c r="Q76" s="443">
        <f t="shared" si="66"/>
        <v>858</v>
      </c>
      <c r="R76" s="443">
        <f t="shared" si="66"/>
        <v>847</v>
      </c>
      <c r="S76" s="443">
        <f t="shared" si="66"/>
        <v>836</v>
      </c>
    </row>
    <row r="77" spans="2:19" ht="15.6" outlineLevel="1">
      <c r="B77" s="279" t="s">
        <v>764</v>
      </c>
      <c r="C77" s="279"/>
      <c r="D77" s="279"/>
      <c r="E77" s="357"/>
      <c r="F77" s="357"/>
      <c r="G77" s="357"/>
      <c r="H77" s="357"/>
      <c r="I77" s="357"/>
      <c r="J77" s="357"/>
      <c r="K77" s="488">
        <f>K76/J76-1</f>
        <v>-1.1764705882352899E-2</v>
      </c>
      <c r="L77" s="488">
        <f t="shared" ref="L77:N77" si="67">L76/K76-1</f>
        <v>-1.1904761904761862E-2</v>
      </c>
      <c r="M77" s="488">
        <f t="shared" si="67"/>
        <v>-1.2048192771084376E-2</v>
      </c>
      <c r="N77" s="488">
        <f t="shared" si="67"/>
        <v>-1.2195121951219523E-2</v>
      </c>
      <c r="O77" s="488">
        <f t="shared" ref="O77" si="68">O76/N76-1</f>
        <v>-1.2345679012345734E-2</v>
      </c>
      <c r="P77" s="488">
        <f t="shared" ref="P77" si="69">P76/O76-1</f>
        <v>-1.2499999999999956E-2</v>
      </c>
      <c r="Q77" s="488">
        <f t="shared" ref="Q77" si="70">Q76/P76-1</f>
        <v>-1.2658227848101222E-2</v>
      </c>
      <c r="R77" s="488">
        <f t="shared" ref="R77" si="71">R76/Q76-1</f>
        <v>-1.2820512820512775E-2</v>
      </c>
      <c r="S77" s="488">
        <f t="shared" ref="S77" si="72">S76/R76-1</f>
        <v>-1.2987012987012991E-2</v>
      </c>
    </row>
    <row r="78" spans="2:19" ht="15.6" outlineLevel="1">
      <c r="B78" s="232"/>
      <c r="C78" s="232"/>
      <c r="D78" s="232"/>
      <c r="E78" s="358"/>
      <c r="F78" s="358"/>
      <c r="G78" s="358"/>
      <c r="H78" s="358"/>
      <c r="I78" s="358"/>
      <c r="J78" s="358"/>
      <c r="K78" s="358"/>
      <c r="L78" s="358"/>
      <c r="M78" s="358"/>
      <c r="N78" s="358"/>
      <c r="O78" s="358"/>
      <c r="P78" s="358"/>
      <c r="Q78" s="358"/>
      <c r="R78" s="358"/>
      <c r="S78" s="358"/>
    </row>
    <row r="79" spans="2:19" ht="15.6" outlineLevel="1">
      <c r="B79" s="279" t="s">
        <v>628</v>
      </c>
      <c r="C79" s="279"/>
      <c r="D79" s="279"/>
      <c r="E79" s="357"/>
      <c r="F79" s="357"/>
      <c r="G79" s="357"/>
      <c r="H79" s="357"/>
      <c r="I79" s="357"/>
      <c r="J79" s="488">
        <f>ControlSheet!K87</f>
        <v>0</v>
      </c>
      <c r="K79" s="488">
        <f>ControlSheet!L87</f>
        <v>0</v>
      </c>
      <c r="L79" s="488">
        <f>ControlSheet!M87</f>
        <v>0</v>
      </c>
      <c r="M79" s="488">
        <f>ControlSheet!N87</f>
        <v>0</v>
      </c>
      <c r="N79" s="488">
        <f>ControlSheet!O87</f>
        <v>0</v>
      </c>
      <c r="O79" s="488">
        <f>ControlSheet!P87</f>
        <v>0</v>
      </c>
      <c r="P79" s="488">
        <f>ControlSheet!Q87</f>
        <v>0</v>
      </c>
      <c r="Q79" s="488">
        <f>ControlSheet!R87</f>
        <v>0</v>
      </c>
      <c r="R79" s="488">
        <f>ControlSheet!S87</f>
        <v>0</v>
      </c>
      <c r="S79" s="488">
        <f>ControlSheet!T87</f>
        <v>0</v>
      </c>
    </row>
    <row r="80" spans="2:19" ht="15.6" outlineLevel="1">
      <c r="B80" s="232"/>
      <c r="C80" s="232"/>
      <c r="D80" s="232"/>
      <c r="E80" s="358"/>
      <c r="F80" s="358"/>
      <c r="G80" s="358"/>
      <c r="H80" s="358"/>
      <c r="I80" s="358"/>
      <c r="J80" s="358"/>
      <c r="K80" s="358"/>
      <c r="L80" s="358"/>
      <c r="M80" s="358"/>
      <c r="N80" s="358"/>
      <c r="O80" s="358"/>
      <c r="P80" s="358"/>
      <c r="Q80" s="358"/>
      <c r="R80" s="358"/>
      <c r="S80" s="358"/>
    </row>
    <row r="81" spans="2:19" outlineLevel="1">
      <c r="B81" s="477" t="s">
        <v>654</v>
      </c>
      <c r="C81" s="164"/>
      <c r="D81" s="470"/>
      <c r="E81" s="470"/>
      <c r="F81" s="470"/>
      <c r="G81" s="470"/>
      <c r="H81" s="470"/>
      <c r="I81" s="470"/>
      <c r="J81" s="191"/>
      <c r="K81" s="191"/>
      <c r="L81" s="191"/>
      <c r="M81" s="191"/>
      <c r="N81" s="191"/>
      <c r="O81" s="191"/>
      <c r="P81" s="191"/>
      <c r="Q81" s="191"/>
      <c r="R81" s="191"/>
      <c r="S81" s="191"/>
    </row>
    <row r="82" spans="2:19" ht="15.6" outlineLevel="1">
      <c r="B82" s="260" t="s">
        <v>654</v>
      </c>
      <c r="C82" s="260"/>
      <c r="D82" s="230">
        <f>'Balance Sheet'!D11</f>
        <v>17</v>
      </c>
      <c r="E82" s="230">
        <f>'Balance Sheet'!E11</f>
        <v>17</v>
      </c>
      <c r="F82" s="230">
        <f>'Balance Sheet'!F11</f>
        <v>22</v>
      </c>
      <c r="G82" s="230">
        <f>'Balance Sheet'!G11</f>
        <v>16</v>
      </c>
      <c r="H82" s="230">
        <f>'Balance Sheet'!H11</f>
        <v>15</v>
      </c>
      <c r="I82" s="230">
        <f>'Balance Sheet'!I11</f>
        <v>15</v>
      </c>
      <c r="J82" s="469">
        <f>I82*(1+J83)</f>
        <v>15</v>
      </c>
      <c r="K82" s="469">
        <f t="shared" ref="K82:N82" si="73">J82*(1+K83)</f>
        <v>15</v>
      </c>
      <c r="L82" s="469">
        <f t="shared" si="73"/>
        <v>15</v>
      </c>
      <c r="M82" s="469">
        <f t="shared" si="73"/>
        <v>15</v>
      </c>
      <c r="N82" s="469">
        <f t="shared" si="73"/>
        <v>15</v>
      </c>
      <c r="O82" s="469">
        <f t="shared" ref="O82" si="74">N82*(1+O83)</f>
        <v>15</v>
      </c>
      <c r="P82" s="469">
        <f t="shared" ref="P82" si="75">O82*(1+P83)</f>
        <v>15</v>
      </c>
      <c r="Q82" s="469">
        <f t="shared" ref="Q82" si="76">P82*(1+Q83)</f>
        <v>15</v>
      </c>
      <c r="R82" s="469">
        <f t="shared" ref="R82" si="77">Q82*(1+R83)</f>
        <v>15</v>
      </c>
      <c r="S82" s="469">
        <f t="shared" ref="S82" si="78">R82*(1+S83)</f>
        <v>15</v>
      </c>
    </row>
    <row r="83" spans="2:19" ht="15.6" outlineLevel="1">
      <c r="B83" s="260" t="s">
        <v>628</v>
      </c>
      <c r="C83" s="260"/>
      <c r="D83" s="196"/>
      <c r="E83" s="199">
        <f>E82/D82-1</f>
        <v>0</v>
      </c>
      <c r="F83" s="199">
        <f t="shared" ref="F83:I83" si="79">F82/E82-1</f>
        <v>0.29411764705882359</v>
      </c>
      <c r="G83" s="199">
        <f t="shared" si="79"/>
        <v>-0.27272727272727271</v>
      </c>
      <c r="H83" s="199">
        <f t="shared" si="79"/>
        <v>-6.25E-2</v>
      </c>
      <c r="I83" s="199">
        <f t="shared" si="79"/>
        <v>0</v>
      </c>
      <c r="J83" s="75">
        <f>ControlSheet!K79</f>
        <v>0</v>
      </c>
      <c r="K83" s="75">
        <f>ControlSheet!L79</f>
        <v>0</v>
      </c>
      <c r="L83" s="75">
        <f>ControlSheet!M79</f>
        <v>0</v>
      </c>
      <c r="M83" s="75">
        <f>ControlSheet!N79</f>
        <v>0</v>
      </c>
      <c r="N83" s="75">
        <f>ControlSheet!O79</f>
        <v>0</v>
      </c>
      <c r="O83" s="75">
        <f>ControlSheet!P79</f>
        <v>0</v>
      </c>
      <c r="P83" s="75">
        <f>ControlSheet!Q79</f>
        <v>0</v>
      </c>
      <c r="Q83" s="75">
        <f>ControlSheet!R79</f>
        <v>0</v>
      </c>
      <c r="R83" s="75">
        <f>ControlSheet!S79</f>
        <v>0</v>
      </c>
      <c r="S83" s="75">
        <f>ControlSheet!T79</f>
        <v>0</v>
      </c>
    </row>
    <row r="84" spans="2:19" ht="15.6" outlineLevel="1">
      <c r="B84" s="260"/>
      <c r="C84" s="260"/>
      <c r="D84" s="260"/>
      <c r="E84" s="260"/>
      <c r="F84" s="260"/>
      <c r="G84" s="260"/>
      <c r="H84" s="260"/>
      <c r="I84" s="260"/>
      <c r="J84" s="260"/>
      <c r="K84" s="260"/>
      <c r="L84" s="260"/>
      <c r="M84" s="260"/>
      <c r="N84" s="260"/>
      <c r="O84" s="260"/>
      <c r="P84" s="260"/>
      <c r="Q84" s="260"/>
      <c r="R84" s="260"/>
      <c r="S84" s="260"/>
    </row>
    <row r="85" spans="2:19" outlineLevel="1">
      <c r="B85" s="477" t="s">
        <v>655</v>
      </c>
      <c r="C85" s="164"/>
      <c r="D85" s="470"/>
      <c r="E85" s="470"/>
      <c r="F85" s="470"/>
      <c r="G85" s="470"/>
      <c r="H85" s="470"/>
      <c r="I85" s="470"/>
      <c r="J85" s="191"/>
      <c r="K85" s="191"/>
      <c r="L85" s="191"/>
      <c r="M85" s="191"/>
      <c r="N85" s="191"/>
      <c r="O85" s="191"/>
      <c r="P85" s="191"/>
      <c r="Q85" s="191"/>
      <c r="R85" s="191"/>
      <c r="S85" s="191"/>
    </row>
    <row r="86" spans="2:19" ht="15.6" outlineLevel="1">
      <c r="B86" s="260"/>
      <c r="C86" s="260"/>
      <c r="D86" s="260"/>
      <c r="E86" s="260"/>
      <c r="F86" s="260"/>
      <c r="G86" s="260"/>
      <c r="H86" s="260"/>
      <c r="I86" s="260"/>
      <c r="J86" s="260"/>
      <c r="K86" s="260"/>
      <c r="L86" s="260"/>
      <c r="M86" s="260"/>
      <c r="N86" s="260"/>
      <c r="O86" s="260"/>
      <c r="P86" s="260"/>
      <c r="Q86" s="260"/>
      <c r="R86" s="260"/>
      <c r="S86" s="260"/>
    </row>
    <row r="87" spans="2:19" outlineLevel="1">
      <c r="B87" s="477" t="s">
        <v>11</v>
      </c>
      <c r="C87" s="164"/>
      <c r="D87" s="470"/>
      <c r="E87" s="470"/>
      <c r="F87" s="470"/>
      <c r="G87" s="470"/>
      <c r="H87" s="470"/>
      <c r="I87" s="470"/>
      <c r="J87" s="191"/>
      <c r="K87" s="191"/>
      <c r="L87" s="191"/>
      <c r="M87" s="191"/>
      <c r="N87" s="191"/>
      <c r="O87" s="191"/>
      <c r="P87" s="191"/>
      <c r="Q87" s="191"/>
      <c r="R87" s="191"/>
      <c r="S87" s="191"/>
    </row>
    <row r="88" spans="2:19" ht="15.6" outlineLevel="1">
      <c r="B88" s="232" t="s">
        <v>11</v>
      </c>
      <c r="C88" s="232"/>
      <c r="D88" s="230">
        <f>'Balance Sheet'!D12</f>
        <v>538</v>
      </c>
      <c r="E88" s="230">
        <f>'Balance Sheet'!E12</f>
        <v>613</v>
      </c>
      <c r="F88" s="230">
        <f>'Balance Sheet'!F12</f>
        <v>654</v>
      </c>
      <c r="G88" s="230">
        <f>'Balance Sheet'!G12</f>
        <v>862</v>
      </c>
      <c r="H88" s="230">
        <f>'Balance Sheet'!H12</f>
        <v>863</v>
      </c>
      <c r="I88" s="230">
        <f>'Balance Sheet'!I12</f>
        <v>857</v>
      </c>
      <c r="J88" s="203">
        <f>I88*(1+J89)</f>
        <v>857</v>
      </c>
      <c r="K88" s="203">
        <f t="shared" ref="K88" si="80">J88*(1+K89)</f>
        <v>857</v>
      </c>
      <c r="L88" s="203">
        <f t="shared" ref="L88" si="81">K88*(1+L89)</f>
        <v>857</v>
      </c>
      <c r="M88" s="203">
        <f t="shared" ref="M88" si="82">L88*(1+M89)</f>
        <v>857</v>
      </c>
      <c r="N88" s="203">
        <f t="shared" ref="N88" si="83">M88*(1+N89)</f>
        <v>857</v>
      </c>
      <c r="O88" s="203">
        <f t="shared" ref="O88" si="84">N88*(1+O89)</f>
        <v>857</v>
      </c>
      <c r="P88" s="203">
        <f t="shared" ref="P88" si="85">O88*(1+P89)</f>
        <v>857</v>
      </c>
      <c r="Q88" s="203">
        <f t="shared" ref="Q88" si="86">P88*(1+Q89)</f>
        <v>857</v>
      </c>
      <c r="R88" s="203">
        <f t="shared" ref="R88" si="87">Q88*(1+R89)</f>
        <v>857</v>
      </c>
      <c r="S88" s="203">
        <f t="shared" ref="S88" si="88">R88*(1+S89)</f>
        <v>857</v>
      </c>
    </row>
    <row r="89" spans="2:19" ht="15.6" outlineLevel="1">
      <c r="B89" s="279" t="s">
        <v>628</v>
      </c>
      <c r="C89" s="279"/>
      <c r="D89" s="16"/>
      <c r="E89" s="73">
        <f>E88/D88-1</f>
        <v>0.1394052044609666</v>
      </c>
      <c r="F89" s="73">
        <f t="shared" ref="F89:I89" si="89">F88/E88-1</f>
        <v>6.6884176182707922E-2</v>
      </c>
      <c r="G89" s="73">
        <f t="shared" si="89"/>
        <v>0.31804281345565744</v>
      </c>
      <c r="H89" s="73">
        <f t="shared" si="89"/>
        <v>1.1600928074246841E-3</v>
      </c>
      <c r="I89" s="73">
        <f t="shared" si="89"/>
        <v>-6.9524913093859109E-3</v>
      </c>
      <c r="J89" s="54">
        <f>ControlSheet!K93</f>
        <v>0</v>
      </c>
      <c r="K89" s="54">
        <f>ControlSheet!L93</f>
        <v>0</v>
      </c>
      <c r="L89" s="54">
        <f>ControlSheet!M93</f>
        <v>0</v>
      </c>
      <c r="M89" s="54">
        <f>ControlSheet!N93</f>
        <v>0</v>
      </c>
      <c r="N89" s="54">
        <f>ControlSheet!O93</f>
        <v>0</v>
      </c>
      <c r="O89" s="54">
        <f>ControlSheet!P93</f>
        <v>0</v>
      </c>
      <c r="P89" s="54">
        <f>ControlSheet!Q93</f>
        <v>0</v>
      </c>
      <c r="Q89" s="54">
        <f>ControlSheet!R93</f>
        <v>0</v>
      </c>
      <c r="R89" s="54">
        <f>ControlSheet!S93</f>
        <v>0</v>
      </c>
      <c r="S89" s="54">
        <f>ControlSheet!T93</f>
        <v>0</v>
      </c>
    </row>
    <row r="90" spans="2:19" ht="15.6" outlineLevel="1">
      <c r="B90" s="260"/>
      <c r="C90" s="260"/>
      <c r="D90" s="260"/>
      <c r="E90" s="260"/>
      <c r="F90" s="260"/>
      <c r="G90" s="260"/>
      <c r="H90" s="260"/>
      <c r="I90" s="260"/>
      <c r="J90" s="260"/>
      <c r="K90" s="260"/>
      <c r="L90" s="260"/>
      <c r="M90" s="260"/>
      <c r="N90" s="260"/>
      <c r="O90" s="260"/>
      <c r="P90" s="260"/>
      <c r="Q90" s="260"/>
      <c r="R90" s="260"/>
      <c r="S90" s="260"/>
    </row>
    <row r="91" spans="2:19" outlineLevel="1">
      <c r="B91" s="477" t="s">
        <v>661</v>
      </c>
      <c r="C91" s="164"/>
      <c r="D91" s="470"/>
      <c r="E91" s="470"/>
      <c r="F91" s="470"/>
      <c r="G91" s="470"/>
      <c r="H91" s="470"/>
      <c r="I91" s="470"/>
      <c r="J91" s="191"/>
      <c r="K91" s="191"/>
      <c r="L91" s="191"/>
      <c r="M91" s="191"/>
      <c r="N91" s="191"/>
      <c r="O91" s="191"/>
      <c r="P91" s="191"/>
      <c r="Q91" s="191"/>
      <c r="R91" s="191"/>
      <c r="S91" s="191"/>
    </row>
    <row r="92" spans="2:19" ht="15.6" outlineLevel="1">
      <c r="B92" s="232" t="s">
        <v>627</v>
      </c>
      <c r="C92" s="232"/>
      <c r="D92" s="230">
        <f>'Balance Sheet'!D15</f>
        <v>107</v>
      </c>
      <c r="E92" s="230">
        <f>'Balance Sheet'!E15</f>
        <v>271</v>
      </c>
      <c r="F92" s="230">
        <f>'Balance Sheet'!F15</f>
        <v>208</v>
      </c>
      <c r="G92" s="230">
        <f>'Balance Sheet'!G15</f>
        <v>554</v>
      </c>
      <c r="H92" s="230">
        <f>'Balance Sheet'!H15</f>
        <v>447</v>
      </c>
      <c r="I92" s="230">
        <f>'Balance Sheet'!I15</f>
        <v>243</v>
      </c>
      <c r="J92" s="203">
        <f>I92*(1+J93)</f>
        <v>243</v>
      </c>
      <c r="K92" s="203">
        <f t="shared" ref="K92" si="90">J92*(1+K93)</f>
        <v>243</v>
      </c>
      <c r="L92" s="203">
        <f t="shared" ref="L92" si="91">K92*(1+L93)</f>
        <v>243</v>
      </c>
      <c r="M92" s="203">
        <f t="shared" ref="M92" si="92">L92*(1+M93)</f>
        <v>243</v>
      </c>
      <c r="N92" s="203">
        <f t="shared" ref="N92" si="93">M92*(1+N93)</f>
        <v>243</v>
      </c>
      <c r="O92" s="203">
        <f t="shared" ref="O92" si="94">N92*(1+O93)</f>
        <v>243</v>
      </c>
      <c r="P92" s="203">
        <f t="shared" ref="P92" si="95">O92*(1+P93)</f>
        <v>243</v>
      </c>
      <c r="Q92" s="203">
        <f t="shared" ref="Q92" si="96">P92*(1+Q93)</f>
        <v>243</v>
      </c>
      <c r="R92" s="203">
        <f t="shared" ref="R92" si="97">Q92*(1+R93)</f>
        <v>243</v>
      </c>
      <c r="S92" s="203">
        <f t="shared" ref="S92" si="98">R92*(1+S93)</f>
        <v>243</v>
      </c>
    </row>
    <row r="93" spans="2:19" ht="15.6" outlineLevel="1">
      <c r="B93" s="279" t="s">
        <v>628</v>
      </c>
      <c r="C93" s="279"/>
      <c r="D93" s="16"/>
      <c r="E93" s="34">
        <f>E92/D92-1</f>
        <v>1.5327102803738319</v>
      </c>
      <c r="F93" s="34">
        <f t="shared" ref="F93" si="99">F92/E92-1</f>
        <v>-0.23247232472324719</v>
      </c>
      <c r="G93" s="34">
        <f t="shared" ref="G93" si="100">G92/F92-1</f>
        <v>1.6634615384615383</v>
      </c>
      <c r="H93" s="34">
        <f t="shared" ref="H93" si="101">H92/G92-1</f>
        <v>-0.19314079422382668</v>
      </c>
      <c r="I93" s="34">
        <f t="shared" ref="I93" si="102">I92/H92-1</f>
        <v>-0.4563758389261745</v>
      </c>
      <c r="J93" s="54">
        <f>ControlSheet!K99</f>
        <v>0</v>
      </c>
      <c r="K93" s="54">
        <f>ControlSheet!L99</f>
        <v>0</v>
      </c>
      <c r="L93" s="54">
        <f>ControlSheet!M99</f>
        <v>0</v>
      </c>
      <c r="M93" s="54">
        <f>ControlSheet!N99</f>
        <v>0</v>
      </c>
      <c r="N93" s="54">
        <f>ControlSheet!O99</f>
        <v>0</v>
      </c>
      <c r="O93" s="54">
        <f>ControlSheet!P99</f>
        <v>0</v>
      </c>
      <c r="P93" s="54">
        <f>ControlSheet!Q99</f>
        <v>0</v>
      </c>
      <c r="Q93" s="54">
        <f>ControlSheet!R99</f>
        <v>0</v>
      </c>
      <c r="R93" s="54">
        <f>ControlSheet!S99</f>
        <v>0</v>
      </c>
      <c r="S93" s="54">
        <f>ControlSheet!T99</f>
        <v>0</v>
      </c>
    </row>
    <row r="94" spans="2:19" ht="15.6" outlineLevel="1">
      <c r="B94" s="260"/>
      <c r="C94" s="260"/>
      <c r="D94" s="260"/>
      <c r="E94" s="260"/>
      <c r="F94" s="260"/>
      <c r="G94" s="260"/>
      <c r="H94" s="260"/>
      <c r="I94" s="260"/>
      <c r="J94" s="260"/>
      <c r="K94" s="260"/>
      <c r="L94" s="260"/>
      <c r="M94" s="260"/>
      <c r="N94" s="260"/>
      <c r="O94" s="260"/>
      <c r="P94" s="260"/>
      <c r="Q94" s="260"/>
      <c r="R94" s="260"/>
      <c r="S94" s="260"/>
    </row>
    <row r="95" spans="2:19" outlineLevel="1">
      <c r="B95" s="477" t="s">
        <v>662</v>
      </c>
      <c r="C95" s="164"/>
      <c r="D95" s="470"/>
      <c r="E95" s="470"/>
      <c r="F95" s="470"/>
      <c r="G95" s="470"/>
      <c r="H95" s="470"/>
      <c r="I95" s="470"/>
      <c r="J95" s="191"/>
      <c r="K95" s="191"/>
      <c r="L95" s="191"/>
      <c r="M95" s="191"/>
      <c r="N95" s="191"/>
      <c r="O95" s="191"/>
      <c r="P95" s="191"/>
      <c r="Q95" s="191"/>
      <c r="R95" s="191"/>
      <c r="S95" s="191"/>
    </row>
    <row r="96" spans="2:19" ht="15.6" outlineLevel="1">
      <c r="B96" s="232" t="s">
        <v>627</v>
      </c>
      <c r="C96" s="232"/>
      <c r="D96" s="230">
        <f>'Balance Sheet'!D22</f>
        <v>26</v>
      </c>
      <c r="E96" s="230">
        <f>'Balance Sheet'!E22</f>
        <v>26</v>
      </c>
      <c r="F96" s="230">
        <f>'Balance Sheet'!F22</f>
        <v>30</v>
      </c>
      <c r="G96" s="230">
        <f>'Balance Sheet'!G22</f>
        <v>46</v>
      </c>
      <c r="H96" s="230">
        <f>'Balance Sheet'!H22</f>
        <v>40</v>
      </c>
      <c r="I96" s="230">
        <f>'Balance Sheet'!I22</f>
        <v>49</v>
      </c>
      <c r="J96" s="203">
        <f>I96*(1+J97)</f>
        <v>49</v>
      </c>
      <c r="K96" s="203">
        <f t="shared" ref="K96:N96" si="103">J96*(1+K97)</f>
        <v>49</v>
      </c>
      <c r="L96" s="203">
        <f t="shared" si="103"/>
        <v>49</v>
      </c>
      <c r="M96" s="203">
        <f t="shared" si="103"/>
        <v>49</v>
      </c>
      <c r="N96" s="203">
        <f t="shared" si="103"/>
        <v>49</v>
      </c>
      <c r="O96" s="203">
        <f t="shared" ref="O96" si="104">N96*(1+O97)</f>
        <v>49</v>
      </c>
      <c r="P96" s="203">
        <f t="shared" ref="P96" si="105">O96*(1+P97)</f>
        <v>49</v>
      </c>
      <c r="Q96" s="203">
        <f t="shared" ref="Q96" si="106">P96*(1+Q97)</f>
        <v>49</v>
      </c>
      <c r="R96" s="203">
        <f t="shared" ref="R96" si="107">Q96*(1+R97)</f>
        <v>49</v>
      </c>
      <c r="S96" s="203">
        <f t="shared" ref="S96" si="108">R96*(1+S97)</f>
        <v>49</v>
      </c>
    </row>
    <row r="97" spans="1:19" ht="15.6" outlineLevel="1">
      <c r="B97" s="279" t="s">
        <v>664</v>
      </c>
      <c r="C97" s="279"/>
      <c r="D97" s="16"/>
      <c r="E97" s="34">
        <f>E96/D96-1</f>
        <v>0</v>
      </c>
      <c r="F97" s="34">
        <f t="shared" ref="F97" si="109">F96/E96-1</f>
        <v>0.15384615384615374</v>
      </c>
      <c r="G97" s="34">
        <f t="shared" ref="G97" si="110">G96/F96-1</f>
        <v>0.53333333333333344</v>
      </c>
      <c r="H97" s="34">
        <f t="shared" ref="H97" si="111">H96/G96-1</f>
        <v>-0.13043478260869568</v>
      </c>
      <c r="I97" s="34">
        <f t="shared" ref="I97" si="112">I96/H96-1</f>
        <v>0.22500000000000009</v>
      </c>
      <c r="J97" s="54">
        <f>ControlSheet!K105</f>
        <v>0</v>
      </c>
      <c r="K97" s="54">
        <f>ControlSheet!L105</f>
        <v>0</v>
      </c>
      <c r="L97" s="54">
        <f>ControlSheet!M105</f>
        <v>0</v>
      </c>
      <c r="M97" s="54">
        <f>ControlSheet!N105</f>
        <v>0</v>
      </c>
      <c r="N97" s="54">
        <f>ControlSheet!O105</f>
        <v>0</v>
      </c>
      <c r="O97" s="54">
        <f>ControlSheet!P105</f>
        <v>0</v>
      </c>
      <c r="P97" s="54">
        <f>ControlSheet!Q105</f>
        <v>0</v>
      </c>
      <c r="Q97" s="54">
        <f>ControlSheet!R105</f>
        <v>0</v>
      </c>
      <c r="R97" s="54">
        <f>ControlSheet!S105</f>
        <v>0</v>
      </c>
      <c r="S97" s="54">
        <f>ControlSheet!T105</f>
        <v>0</v>
      </c>
    </row>
    <row r="98" spans="1:19" ht="15.6" outlineLevel="1">
      <c r="B98" s="232"/>
      <c r="C98" s="232"/>
      <c r="E98" s="74"/>
      <c r="F98" s="74"/>
      <c r="G98" s="74"/>
      <c r="H98" s="74"/>
      <c r="I98" s="74"/>
      <c r="J98" s="325"/>
      <c r="K98" s="325"/>
      <c r="L98" s="325"/>
      <c r="M98" s="325"/>
      <c r="N98" s="325"/>
      <c r="O98" s="325"/>
      <c r="P98" s="325"/>
      <c r="Q98" s="325"/>
      <c r="R98" s="325"/>
      <c r="S98" s="325"/>
    </row>
    <row r="99" spans="1:19" outlineLevel="1">
      <c r="B99" s="477" t="s">
        <v>188</v>
      </c>
      <c r="C99" s="164"/>
      <c r="D99" s="470"/>
      <c r="E99" s="470"/>
      <c r="F99" s="470"/>
      <c r="G99" s="470"/>
      <c r="H99" s="470"/>
      <c r="I99" s="470"/>
      <c r="J99" s="191"/>
      <c r="K99" s="191"/>
      <c r="L99" s="191"/>
      <c r="M99" s="191"/>
      <c r="N99" s="191"/>
      <c r="O99" s="191"/>
      <c r="P99" s="191"/>
      <c r="Q99" s="191"/>
      <c r="R99" s="191"/>
      <c r="S99" s="191"/>
    </row>
    <row r="100" spans="1:19" ht="15.6" outlineLevel="1">
      <c r="B100" s="232" t="s">
        <v>627</v>
      </c>
      <c r="C100" s="232"/>
      <c r="D100" s="230">
        <f>'Balance Sheet'!D21</f>
        <v>45</v>
      </c>
      <c r="E100" s="230">
        <f>'Balance Sheet'!E21</f>
        <v>55</v>
      </c>
      <c r="F100" s="230">
        <f>'Balance Sheet'!F21</f>
        <v>57</v>
      </c>
      <c r="G100" s="230">
        <f>'Balance Sheet'!G21</f>
        <v>67</v>
      </c>
      <c r="H100" s="230">
        <f>'Balance Sheet'!H21</f>
        <v>95</v>
      </c>
      <c r="I100" s="230">
        <f>'Balance Sheet'!I21</f>
        <v>108</v>
      </c>
      <c r="J100" s="203">
        <f>I100*(1+J101)</f>
        <v>108</v>
      </c>
      <c r="K100" s="203">
        <f t="shared" ref="K100:N100" si="113">J100*(1+K101)</f>
        <v>108</v>
      </c>
      <c r="L100" s="203">
        <f t="shared" si="113"/>
        <v>108</v>
      </c>
      <c r="M100" s="203">
        <f t="shared" si="113"/>
        <v>108</v>
      </c>
      <c r="N100" s="203">
        <f t="shared" si="113"/>
        <v>108</v>
      </c>
      <c r="O100" s="203">
        <f t="shared" ref="O100" si="114">N100*(1+O101)</f>
        <v>108</v>
      </c>
      <c r="P100" s="203">
        <f t="shared" ref="P100" si="115">O100*(1+P101)</f>
        <v>108</v>
      </c>
      <c r="Q100" s="203">
        <f t="shared" ref="Q100" si="116">P100*(1+Q101)</f>
        <v>108</v>
      </c>
      <c r="R100" s="203">
        <f t="shared" ref="R100" si="117">Q100*(1+R101)</f>
        <v>108</v>
      </c>
      <c r="S100" s="203">
        <f t="shared" ref="S100" si="118">R100*(1+S101)</f>
        <v>108</v>
      </c>
    </row>
    <row r="101" spans="1:19" ht="15.6" outlineLevel="1">
      <c r="B101" s="279" t="s">
        <v>664</v>
      </c>
      <c r="C101" s="279"/>
      <c r="D101" s="48"/>
      <c r="E101" s="34">
        <f>E100/E13</f>
        <v>6.8339960238568585E-3</v>
      </c>
      <c r="F101" s="34">
        <f>F100/F13</f>
        <v>5.9924306139613123E-3</v>
      </c>
      <c r="G101" s="34">
        <f>G100/G13</f>
        <v>6.8619418271200329E-3</v>
      </c>
      <c r="H101" s="34">
        <f>H100/H13</f>
        <v>9.841500051797368E-3</v>
      </c>
      <c r="I101" s="34">
        <f>I100/I13</f>
        <v>9.9713784507432374E-3</v>
      </c>
      <c r="J101" s="54">
        <f>ControlSheet!K111</f>
        <v>0</v>
      </c>
      <c r="K101" s="54">
        <f>ControlSheet!L111</f>
        <v>0</v>
      </c>
      <c r="L101" s="54">
        <f>ControlSheet!M111</f>
        <v>0</v>
      </c>
      <c r="M101" s="54">
        <f>ControlSheet!N111</f>
        <v>0</v>
      </c>
      <c r="N101" s="54">
        <f>ControlSheet!O111</f>
        <v>0</v>
      </c>
      <c r="O101" s="54">
        <f>ControlSheet!P111</f>
        <v>0</v>
      </c>
      <c r="P101" s="54">
        <f>ControlSheet!Q111</f>
        <v>0</v>
      </c>
      <c r="Q101" s="54">
        <f>ControlSheet!R111</f>
        <v>0</v>
      </c>
      <c r="R101" s="54">
        <f>ControlSheet!S111</f>
        <v>0</v>
      </c>
      <c r="S101" s="54">
        <f>ControlSheet!T111</f>
        <v>0</v>
      </c>
    </row>
    <row r="102" spans="1:19" ht="15.6" outlineLevel="1">
      <c r="B102" s="260"/>
      <c r="C102" s="260"/>
      <c r="D102" s="260"/>
      <c r="E102" s="260"/>
      <c r="F102" s="260"/>
      <c r="G102" s="260"/>
      <c r="H102" s="260"/>
      <c r="I102" s="260"/>
      <c r="J102" s="260"/>
      <c r="K102" s="260"/>
      <c r="L102" s="260"/>
      <c r="M102" s="260"/>
      <c r="N102" s="260"/>
      <c r="O102" s="260"/>
      <c r="P102" s="260"/>
      <c r="Q102" s="260"/>
      <c r="R102" s="260"/>
      <c r="S102" s="260"/>
    </row>
    <row r="103" spans="1:19" outlineLevel="1">
      <c r="B103" s="477" t="s">
        <v>682</v>
      </c>
      <c r="C103" s="164"/>
      <c r="D103" s="470"/>
      <c r="E103" s="470"/>
      <c r="F103" s="470"/>
      <c r="G103" s="470"/>
      <c r="H103" s="470"/>
      <c r="I103" s="470"/>
      <c r="J103" s="191"/>
      <c r="K103" s="191"/>
      <c r="L103" s="191"/>
      <c r="M103" s="191"/>
      <c r="N103" s="191"/>
      <c r="O103" s="191"/>
      <c r="P103" s="191"/>
      <c r="Q103" s="191"/>
      <c r="R103" s="191"/>
      <c r="S103" s="191"/>
    </row>
    <row r="104" spans="1:19" ht="15.6" outlineLevel="1">
      <c r="B104" s="232" t="s">
        <v>627</v>
      </c>
      <c r="C104" s="232"/>
      <c r="D104" s="230">
        <f>'Balance Sheet'!D20</f>
        <v>159</v>
      </c>
      <c r="E104" s="230">
        <f>'Balance Sheet'!E20</f>
        <v>186</v>
      </c>
      <c r="F104" s="230">
        <f>'Balance Sheet'!F20</f>
        <v>187</v>
      </c>
      <c r="G104" s="230">
        <f>'Balance Sheet'!G20</f>
        <v>146</v>
      </c>
      <c r="H104" s="230">
        <f>'Balance Sheet'!H20</f>
        <v>68</v>
      </c>
      <c r="I104" s="230">
        <f>'Balance Sheet'!I20</f>
        <v>57</v>
      </c>
      <c r="J104" s="203">
        <f>I104*(1+J105)</f>
        <v>57</v>
      </c>
      <c r="K104" s="203">
        <f t="shared" ref="K104" si="119">J104*(1+K105)</f>
        <v>57</v>
      </c>
      <c r="L104" s="203">
        <f t="shared" ref="L104" si="120">K104*(1+L105)</f>
        <v>57</v>
      </c>
      <c r="M104" s="203">
        <f t="shared" ref="M104" si="121">L104*(1+M105)</f>
        <v>57</v>
      </c>
      <c r="N104" s="203">
        <f t="shared" ref="N104" si="122">M104*(1+N105)</f>
        <v>57</v>
      </c>
      <c r="O104" s="203">
        <f t="shared" ref="O104" si="123">N104*(1+O105)</f>
        <v>57</v>
      </c>
      <c r="P104" s="203">
        <f t="shared" ref="P104" si="124">O104*(1+P105)</f>
        <v>57</v>
      </c>
      <c r="Q104" s="203">
        <f t="shared" ref="Q104" si="125">P104*(1+Q105)</f>
        <v>57</v>
      </c>
      <c r="R104" s="203">
        <f t="shared" ref="R104" si="126">Q104*(1+R105)</f>
        <v>57</v>
      </c>
      <c r="S104" s="203">
        <f t="shared" ref="S104" si="127">R104*(1+S105)</f>
        <v>57</v>
      </c>
    </row>
    <row r="105" spans="1:19" ht="15.6" outlineLevel="1">
      <c r="B105" s="279" t="s">
        <v>628</v>
      </c>
      <c r="C105" s="279"/>
      <c r="D105" s="16"/>
      <c r="E105" s="34">
        <f>E104/D104-1</f>
        <v>0.16981132075471694</v>
      </c>
      <c r="F105" s="34">
        <f t="shared" ref="F105" si="128">F104/E104-1</f>
        <v>5.3763440860215006E-3</v>
      </c>
      <c r="G105" s="34">
        <f t="shared" ref="G105" si="129">G104/F104-1</f>
        <v>-0.21925133689839571</v>
      </c>
      <c r="H105" s="34">
        <f t="shared" ref="H105" si="130">H104/G104-1</f>
        <v>-0.53424657534246578</v>
      </c>
      <c r="I105" s="34">
        <f t="shared" ref="I105" si="131">I104/H104-1</f>
        <v>-0.16176470588235292</v>
      </c>
      <c r="J105" s="54">
        <f>ControlSheet!K117</f>
        <v>0</v>
      </c>
      <c r="K105" s="54">
        <f>ControlSheet!L117</f>
        <v>0</v>
      </c>
      <c r="L105" s="54">
        <f>ControlSheet!M117</f>
        <v>0</v>
      </c>
      <c r="M105" s="54">
        <f>ControlSheet!N117</f>
        <v>0</v>
      </c>
      <c r="N105" s="54">
        <f>ControlSheet!O117</f>
        <v>0</v>
      </c>
      <c r="O105" s="54">
        <f>ControlSheet!P117</f>
        <v>0</v>
      </c>
      <c r="P105" s="54">
        <f>ControlSheet!Q117</f>
        <v>0</v>
      </c>
      <c r="Q105" s="54">
        <f>ControlSheet!R117</f>
        <v>0</v>
      </c>
      <c r="R105" s="54">
        <f>ControlSheet!S117</f>
        <v>0</v>
      </c>
      <c r="S105" s="54">
        <f>ControlSheet!T117</f>
        <v>0</v>
      </c>
    </row>
    <row r="106" spans="1:19" ht="15.6">
      <c r="B106" s="232"/>
      <c r="C106" s="232"/>
      <c r="D106" s="232"/>
      <c r="E106" s="358"/>
      <c r="F106" s="358"/>
      <c r="G106" s="358"/>
      <c r="H106" s="358"/>
      <c r="I106" s="358"/>
      <c r="J106" s="358"/>
      <c r="K106" s="358"/>
      <c r="L106" s="358"/>
      <c r="M106" s="358"/>
      <c r="N106" s="358"/>
      <c r="O106" s="358"/>
      <c r="P106" s="358"/>
      <c r="Q106" s="358"/>
      <c r="R106" s="358"/>
      <c r="S106" s="358"/>
    </row>
    <row r="107" spans="1:19" ht="18">
      <c r="A107" t="s">
        <v>21</v>
      </c>
      <c r="B107" s="25" t="s">
        <v>36</v>
      </c>
      <c r="C107" s="11"/>
      <c r="D107" s="11"/>
      <c r="E107" s="11"/>
      <c r="F107" s="11"/>
      <c r="G107" s="11"/>
      <c r="H107" s="11"/>
      <c r="I107" s="11"/>
      <c r="J107" s="11"/>
      <c r="K107" s="11"/>
      <c r="L107" s="11"/>
      <c r="M107" s="11"/>
      <c r="N107" s="11"/>
      <c r="O107" s="11"/>
      <c r="P107" s="11"/>
      <c r="Q107" s="11"/>
      <c r="R107" s="11"/>
      <c r="S107" s="11"/>
    </row>
    <row r="108" spans="1:19" outlineLevel="1"/>
    <row r="109" spans="1:19" outlineLevel="1">
      <c r="B109" s="40"/>
      <c r="C109" s="366">
        <v>15</v>
      </c>
      <c r="D109" s="24"/>
      <c r="E109" s="24"/>
      <c r="F109" s="24"/>
      <c r="G109" s="24"/>
      <c r="H109" s="24"/>
      <c r="I109" s="24"/>
      <c r="J109" s="24"/>
      <c r="K109" s="24"/>
      <c r="L109" s="24"/>
      <c r="M109" s="24"/>
      <c r="N109" s="24"/>
      <c r="O109" s="24"/>
      <c r="P109" s="24"/>
      <c r="Q109" s="24"/>
      <c r="R109" s="24"/>
      <c r="S109" s="24"/>
    </row>
    <row r="110" spans="1:19" outlineLevel="1">
      <c r="B110" s="412" t="s">
        <v>39</v>
      </c>
      <c r="J110" s="203">
        <f>SUM(J55,J62,J75,)</f>
        <v>191.17049600000001</v>
      </c>
      <c r="K110" s="203">
        <f t="shared" ref="K110:N110" si="132">SUM(K55,K62,K75,)</f>
        <v>206.11900896</v>
      </c>
      <c r="L110" s="203">
        <f t="shared" si="132"/>
        <v>223.0108286048</v>
      </c>
      <c r="M110" s="203">
        <f t="shared" si="132"/>
        <v>242.0141257052</v>
      </c>
      <c r="N110" s="203">
        <f t="shared" si="132"/>
        <v>226.96758766062001</v>
      </c>
      <c r="O110" s="203">
        <f t="shared" ref="O110:S110" si="133">SUM(O55,O62,O75,)</f>
        <v>231.31546505069042</v>
      </c>
      <c r="P110" s="203">
        <f t="shared" si="133"/>
        <v>258.01372923936117</v>
      </c>
      <c r="Q110" s="203">
        <f t="shared" si="133"/>
        <v>289.78466362387945</v>
      </c>
      <c r="R110" s="203">
        <f t="shared" si="133"/>
        <v>322.2283942659522</v>
      </c>
      <c r="S110" s="203">
        <f t="shared" si="133"/>
        <v>351.53240903943725</v>
      </c>
    </row>
    <row r="111" spans="1:19" outlineLevel="1">
      <c r="B111" s="418" t="s">
        <v>684</v>
      </c>
      <c r="C111" s="21"/>
      <c r="D111" s="286"/>
      <c r="E111" s="286"/>
      <c r="F111" s="286"/>
      <c r="G111" s="286"/>
      <c r="H111" s="286"/>
      <c r="I111" s="286"/>
      <c r="J111" s="461">
        <f>SUM(J56,J63,J76)</f>
        <v>1892.3869440000001</v>
      </c>
      <c r="K111" s="461">
        <f t="shared" ref="K111:N111" si="134">SUM(K56,K63,K76)</f>
        <v>1910.4956294400001</v>
      </c>
      <c r="L111" s="461">
        <f t="shared" si="134"/>
        <v>1940.8620955072001</v>
      </c>
      <c r="M111" s="461">
        <f t="shared" si="134"/>
        <v>1983.8974263080001</v>
      </c>
      <c r="N111" s="461">
        <f t="shared" si="134"/>
        <v>2056.2317679786802</v>
      </c>
      <c r="O111" s="461">
        <f t="shared" ref="O111:S111" si="135">SUM(O56,O63,O76)</f>
        <v>2160.1344637790462</v>
      </c>
      <c r="P111" s="461">
        <f t="shared" si="135"/>
        <v>2302.5946973697464</v>
      </c>
      <c r="Q111" s="461">
        <f t="shared" si="135"/>
        <v>2489.3740495136408</v>
      </c>
      <c r="R111" s="461">
        <f t="shared" si="135"/>
        <v>2653.8016148787792</v>
      </c>
      <c r="S111" s="461">
        <f t="shared" si="135"/>
        <v>2741.8294274416185</v>
      </c>
    </row>
    <row r="112" spans="1:19" outlineLevel="1">
      <c r="B112" s="18"/>
      <c r="D112" s="24"/>
      <c r="E112" s="24"/>
      <c r="F112" s="24"/>
      <c r="G112" s="24"/>
      <c r="H112" s="24"/>
      <c r="I112" s="24"/>
      <c r="J112" s="30"/>
      <c r="K112" s="30"/>
      <c r="L112" s="30"/>
      <c r="M112" s="30"/>
      <c r="N112" s="30"/>
      <c r="O112" s="30"/>
      <c r="P112" s="30"/>
      <c r="Q112" s="30"/>
      <c r="R112" s="30"/>
      <c r="S112" s="30"/>
    </row>
    <row r="113" spans="1:19" outlineLevel="1">
      <c r="B113" t="s">
        <v>679</v>
      </c>
      <c r="D113" s="214"/>
      <c r="E113" s="214"/>
      <c r="F113" s="214"/>
      <c r="G113" s="214"/>
      <c r="H113" s="214"/>
      <c r="I113" s="214"/>
      <c r="J113" s="489">
        <f>J110/J13</f>
        <v>1.5482727129891943E-2</v>
      </c>
      <c r="K113" s="489">
        <f>K110/K13</f>
        <v>1.47078359441045E-2</v>
      </c>
      <c r="L113" s="489">
        <f>L110/L13</f>
        <v>1.4082450687998084E-2</v>
      </c>
      <c r="M113" s="489">
        <f>M110/M13</f>
        <v>1.3584400611553853E-2</v>
      </c>
      <c r="N113" s="489">
        <f>N110/N13</f>
        <v>1.1374847541128988E-2</v>
      </c>
      <c r="O113" s="489">
        <f t="shared" ref="O113:S113" si="136">O110/O13</f>
        <v>1.0350668254223927E-2</v>
      </c>
      <c r="P113" s="489">
        <f t="shared" si="136"/>
        <v>1.030833475079517E-2</v>
      </c>
      <c r="Q113" s="489">
        <f t="shared" si="136"/>
        <v>1.0337203646543308E-2</v>
      </c>
      <c r="R113" s="489">
        <f t="shared" si="136"/>
        <v>1.0262979446318429E-2</v>
      </c>
      <c r="S113" s="489">
        <f t="shared" si="136"/>
        <v>9.9967078389747877E-3</v>
      </c>
    </row>
    <row r="114" spans="1:19" outlineLevel="1">
      <c r="B114" t="s">
        <v>680</v>
      </c>
      <c r="D114" s="214"/>
      <c r="E114" s="214"/>
      <c r="F114" s="214"/>
      <c r="G114" s="214"/>
      <c r="H114" s="214"/>
      <c r="I114" s="214"/>
      <c r="J114" s="489">
        <f>J110/J111</f>
        <v>0.10102082801095462</v>
      </c>
      <c r="K114" s="489">
        <f>K110/K111</f>
        <v>0.107887715514124</v>
      </c>
      <c r="L114" s="489">
        <f>L110/L111</f>
        <v>0.1149029748795837</v>
      </c>
      <c r="M114" s="489">
        <f>M110/M111</f>
        <v>0.12198923316090199</v>
      </c>
      <c r="N114" s="489">
        <f>N110/N111</f>
        <v>0.11038035264075995</v>
      </c>
      <c r="O114" s="489">
        <f t="shared" ref="O114:S114" si="137">O110/O111</f>
        <v>0.10708382692344795</v>
      </c>
      <c r="P114" s="489">
        <f t="shared" si="137"/>
        <v>0.1120534714746326</v>
      </c>
      <c r="Q114" s="489">
        <f t="shared" si="137"/>
        <v>0.1164086464549174</v>
      </c>
      <c r="R114" s="489">
        <f t="shared" si="137"/>
        <v>0.12142143273232991</v>
      </c>
      <c r="S114" s="489">
        <f t="shared" si="137"/>
        <v>0.12821089653540177</v>
      </c>
    </row>
    <row r="115" spans="1:19" outlineLevel="1"/>
    <row r="116" spans="1:19" outlineLevel="1">
      <c r="B116" s="32" t="s">
        <v>38</v>
      </c>
    </row>
    <row r="117" spans="1:19" outlineLevel="1"/>
    <row r="118" spans="1:19" outlineLevel="1">
      <c r="B118" s="41">
        <f>I9</f>
        <v>2025</v>
      </c>
      <c r="I118" s="203">
        <f>SUM(I55,I62,I75)</f>
        <v>178</v>
      </c>
      <c r="J118" s="203">
        <f>I118</f>
        <v>178</v>
      </c>
      <c r="K118" s="203">
        <f t="shared" ref="K118:N118" si="138">J118</f>
        <v>178</v>
      </c>
      <c r="L118" s="203">
        <f t="shared" si="138"/>
        <v>178</v>
      </c>
      <c r="M118" s="203">
        <f t="shared" si="138"/>
        <v>178</v>
      </c>
      <c r="N118" s="203">
        <f t="shared" si="138"/>
        <v>178</v>
      </c>
      <c r="O118" s="203">
        <f t="shared" ref="O118" si="139">N118</f>
        <v>178</v>
      </c>
      <c r="P118" s="203">
        <f t="shared" ref="P118" si="140">O118</f>
        <v>178</v>
      </c>
      <c r="Q118" s="203">
        <f t="shared" ref="Q118" si="141">P118</f>
        <v>178</v>
      </c>
      <c r="R118" s="203">
        <f t="shared" ref="R118" si="142">Q118</f>
        <v>178</v>
      </c>
      <c r="S118" s="203">
        <f t="shared" ref="S118" si="143">R118</f>
        <v>178</v>
      </c>
    </row>
    <row r="119" spans="1:19" outlineLevel="1">
      <c r="B119" s="41">
        <f>B118+1</f>
        <v>2026</v>
      </c>
      <c r="I119" s="42"/>
      <c r="J119" s="203">
        <f>J110-J118</f>
        <v>13.170496000000014</v>
      </c>
      <c r="K119" s="203">
        <f t="shared" ref="K119:N119" si="144">K110-K118</f>
        <v>28.119008960000002</v>
      </c>
      <c r="L119" s="203">
        <f t="shared" si="144"/>
        <v>45.010828604799997</v>
      </c>
      <c r="M119" s="203">
        <f t="shared" si="144"/>
        <v>64.014125705200001</v>
      </c>
      <c r="N119" s="203">
        <f t="shared" si="144"/>
        <v>48.967587660620012</v>
      </c>
      <c r="O119" s="203">
        <f t="shared" ref="O119:S119" si="145">O110-O118</f>
        <v>53.31546505069042</v>
      </c>
      <c r="P119" s="203">
        <f t="shared" si="145"/>
        <v>80.013729239361169</v>
      </c>
      <c r="Q119" s="203">
        <f t="shared" si="145"/>
        <v>111.78466362387945</v>
      </c>
      <c r="R119" s="203">
        <f t="shared" si="145"/>
        <v>144.2283942659522</v>
      </c>
      <c r="S119" s="203">
        <f t="shared" si="145"/>
        <v>173.53240903943725</v>
      </c>
    </row>
    <row r="120" spans="1:19" outlineLevel="1">
      <c r="B120" s="41">
        <f t="shared" ref="B120:B123" si="146">B119+1</f>
        <v>2027</v>
      </c>
      <c r="I120" s="42"/>
      <c r="J120" s="43"/>
      <c r="K120" s="203">
        <f>K110-J110</f>
        <v>14.948512959999988</v>
      </c>
      <c r="L120" s="203">
        <f t="shared" ref="L120:N120" si="147">L110-K110</f>
        <v>16.891819644799995</v>
      </c>
      <c r="M120" s="203">
        <f t="shared" si="147"/>
        <v>19.003297100400005</v>
      </c>
      <c r="N120" s="203">
        <f t="shared" si="147"/>
        <v>-15.046538044579989</v>
      </c>
      <c r="O120" s="203">
        <f t="shared" ref="O120" si="148">O110-N110</f>
        <v>4.3478773900704084</v>
      </c>
      <c r="P120" s="203">
        <f t="shared" ref="P120" si="149">P110-O110</f>
        <v>26.698264188670748</v>
      </c>
      <c r="Q120" s="203">
        <f t="shared" ref="Q120" si="150">Q110-P110</f>
        <v>31.770934384518284</v>
      </c>
      <c r="R120" s="203">
        <f t="shared" ref="R120" si="151">R110-Q110</f>
        <v>32.443730642072751</v>
      </c>
      <c r="S120" s="203">
        <f t="shared" ref="S120" si="152">S110-R110</f>
        <v>29.304014773485051</v>
      </c>
    </row>
    <row r="121" spans="1:19" outlineLevel="1">
      <c r="B121" s="41">
        <f t="shared" si="146"/>
        <v>2028</v>
      </c>
      <c r="I121" s="42"/>
      <c r="J121" s="43"/>
      <c r="K121" s="43"/>
      <c r="L121" s="203">
        <f>L110-K110</f>
        <v>16.891819644799995</v>
      </c>
      <c r="M121" s="203">
        <f t="shared" ref="M121:N121" si="153">M110-L110</f>
        <v>19.003297100400005</v>
      </c>
      <c r="N121" s="203">
        <f t="shared" si="153"/>
        <v>-15.046538044579989</v>
      </c>
      <c r="O121" s="203">
        <f t="shared" ref="O121" si="154">O110-N110</f>
        <v>4.3478773900704084</v>
      </c>
      <c r="P121" s="203">
        <f t="shared" ref="P121" si="155">P110-O110</f>
        <v>26.698264188670748</v>
      </c>
      <c r="Q121" s="203">
        <f t="shared" ref="Q121" si="156">Q110-P110</f>
        <v>31.770934384518284</v>
      </c>
      <c r="R121" s="203">
        <f t="shared" ref="R121" si="157">R110-Q110</f>
        <v>32.443730642072751</v>
      </c>
      <c r="S121" s="203">
        <f t="shared" ref="S121" si="158">S110-R110</f>
        <v>29.304014773485051</v>
      </c>
    </row>
    <row r="122" spans="1:19" outlineLevel="1">
      <c r="B122" s="41">
        <f t="shared" si="146"/>
        <v>2029</v>
      </c>
      <c r="I122" s="42"/>
      <c r="J122" s="43"/>
      <c r="K122" s="43"/>
      <c r="L122" s="43"/>
      <c r="M122" s="203">
        <f>M110-L110</f>
        <v>19.003297100400005</v>
      </c>
      <c r="N122" s="203">
        <f t="shared" ref="N122" si="159">N110-M110</f>
        <v>-15.046538044579989</v>
      </c>
      <c r="O122" s="203">
        <f t="shared" ref="O122" si="160">O110-N110</f>
        <v>4.3478773900704084</v>
      </c>
      <c r="P122" s="203">
        <f t="shared" ref="P122" si="161">P110-O110</f>
        <v>26.698264188670748</v>
      </c>
      <c r="Q122" s="203">
        <f t="shared" ref="Q122" si="162">Q110-P110</f>
        <v>31.770934384518284</v>
      </c>
      <c r="R122" s="203">
        <f t="shared" ref="R122" si="163">R110-Q110</f>
        <v>32.443730642072751</v>
      </c>
      <c r="S122" s="203">
        <f t="shared" ref="S122" si="164">S110-R110</f>
        <v>29.304014773485051</v>
      </c>
    </row>
    <row r="123" spans="1:19" outlineLevel="1">
      <c r="B123" s="41">
        <f t="shared" si="146"/>
        <v>2030</v>
      </c>
      <c r="I123" s="42"/>
      <c r="J123" s="43"/>
      <c r="K123" s="43"/>
      <c r="L123" s="43"/>
      <c r="M123" s="43"/>
      <c r="N123" s="203">
        <f>N110-M110</f>
        <v>-15.046538044579989</v>
      </c>
      <c r="O123" s="203">
        <f t="shared" ref="O123:S123" si="165">O110-N110</f>
        <v>4.3478773900704084</v>
      </c>
      <c r="P123" s="203">
        <f t="shared" si="165"/>
        <v>26.698264188670748</v>
      </c>
      <c r="Q123" s="203">
        <f t="shared" si="165"/>
        <v>31.770934384518284</v>
      </c>
      <c r="R123" s="203">
        <f t="shared" si="165"/>
        <v>32.443730642072751</v>
      </c>
      <c r="S123" s="203">
        <f t="shared" si="165"/>
        <v>29.304014773485051</v>
      </c>
    </row>
    <row r="124" spans="1:19" outlineLevel="1">
      <c r="B124" s="33" t="s">
        <v>39</v>
      </c>
      <c r="C124" s="33"/>
      <c r="D124" s="33"/>
      <c r="E124" s="33"/>
      <c r="F124" s="33"/>
      <c r="G124" s="33"/>
      <c r="H124" s="33"/>
      <c r="I124" s="443">
        <f>SUM(I118:I123)</f>
        <v>178</v>
      </c>
      <c r="J124" s="443">
        <f t="shared" ref="J124:N124" si="166">SUM(J118:J123)</f>
        <v>191.17049600000001</v>
      </c>
      <c r="K124" s="443">
        <f t="shared" si="166"/>
        <v>221.06752191999999</v>
      </c>
      <c r="L124" s="443">
        <f t="shared" si="166"/>
        <v>256.79446789439999</v>
      </c>
      <c r="M124" s="443">
        <f t="shared" si="166"/>
        <v>299.02401700640002</v>
      </c>
      <c r="N124" s="443">
        <f t="shared" si="166"/>
        <v>166.78143548230005</v>
      </c>
      <c r="O124" s="443">
        <f t="shared" ref="O124:S124" si="167">SUM(O118:O123)</f>
        <v>248.70697461097205</v>
      </c>
      <c r="P124" s="443">
        <f t="shared" si="167"/>
        <v>364.80678599404416</v>
      </c>
      <c r="Q124" s="443">
        <f t="shared" si="167"/>
        <v>416.86840116195259</v>
      </c>
      <c r="R124" s="443">
        <f t="shared" si="167"/>
        <v>452.00331683424321</v>
      </c>
      <c r="S124" s="443">
        <f t="shared" si="167"/>
        <v>468.74846813337746</v>
      </c>
    </row>
    <row r="125" spans="1:19" outlineLevel="1">
      <c r="B125" s="18"/>
      <c r="C125" s="18"/>
      <c r="D125" s="18"/>
      <c r="E125" s="18"/>
      <c r="F125" s="18"/>
      <c r="G125" s="18"/>
      <c r="H125" s="18"/>
      <c r="I125" s="39"/>
      <c r="J125" s="39"/>
      <c r="K125" s="39"/>
      <c r="L125" s="39"/>
      <c r="M125" s="39"/>
      <c r="N125" s="39"/>
      <c r="O125" s="39"/>
      <c r="P125" s="39"/>
      <c r="Q125" s="39"/>
      <c r="R125" s="39"/>
      <c r="S125" s="39"/>
    </row>
    <row r="127" spans="1:19" ht="18">
      <c r="A127" t="s">
        <v>21</v>
      </c>
      <c r="B127" s="25" t="s">
        <v>41</v>
      </c>
      <c r="C127" s="11"/>
      <c r="D127" s="11"/>
      <c r="E127" s="11"/>
      <c r="F127" s="11"/>
      <c r="G127" s="11"/>
      <c r="H127" s="11"/>
      <c r="I127" s="11"/>
      <c r="J127" s="11"/>
      <c r="K127" s="11"/>
      <c r="L127" s="11"/>
      <c r="M127" s="11"/>
      <c r="N127" s="11"/>
      <c r="O127" s="11"/>
      <c r="P127" s="11"/>
      <c r="Q127" s="11"/>
      <c r="R127" s="11"/>
      <c r="S127" s="11"/>
    </row>
    <row r="128" spans="1:19" outlineLevel="1"/>
    <row r="129" spans="1:19" outlineLevel="1">
      <c r="B129" t="s">
        <v>42</v>
      </c>
      <c r="I129" s="462">
        <f>'3 Statement Model'!I13</f>
        <v>10831</v>
      </c>
      <c r="J129" s="462">
        <f>'3 Statement Model'!J13</f>
        <v>12347.340000000002</v>
      </c>
      <c r="K129" s="462">
        <f>'3 Statement Model'!K13</f>
        <v>14014.230900000002</v>
      </c>
      <c r="L129" s="462">
        <f>'3 Statement Model'!L13</f>
        <v>15836.080917000001</v>
      </c>
      <c r="M129" s="462">
        <f>'3 Statement Model'!M13</f>
        <v>17815.591031625001</v>
      </c>
      <c r="N129" s="462">
        <f>'3 Statement Model'!N13</f>
        <v>19953.461955420004</v>
      </c>
      <c r="O129" s="462">
        <f>'3 Statement Model'!O13</f>
        <v>22347.877390070407</v>
      </c>
      <c r="P129" s="462">
        <f>'3 Statement Model'!P13</f>
        <v>25029.622676878858</v>
      </c>
      <c r="Q129" s="462">
        <f>'3 Statement Model'!Q13</f>
        <v>28033.177398104322</v>
      </c>
      <c r="R129" s="462">
        <f>'3 Statement Model'!R13</f>
        <v>31397.158685876846</v>
      </c>
      <c r="S129" s="462">
        <f>'3 Statement Model'!S13</f>
        <v>35164.817728182068</v>
      </c>
    </row>
    <row r="130" spans="1:19" outlineLevel="1">
      <c r="B130" t="s">
        <v>0</v>
      </c>
      <c r="I130" s="47">
        <f>'3 Statement Model'!I14*-1</f>
        <v>-5388</v>
      </c>
      <c r="J130" s="47">
        <f>'3 Statement Model'!J14*-1</f>
        <v>-6420.6168000000016</v>
      </c>
      <c r="K130" s="47">
        <f>'3 Statement Model'!K14*-1</f>
        <v>-7287.4000680000017</v>
      </c>
      <c r="L130" s="47">
        <f>'3 Statement Model'!L14*-1</f>
        <v>-8234.7620768400011</v>
      </c>
      <c r="M130" s="47">
        <f>'3 Statement Model'!M14*-1</f>
        <v>-8907.7955158125005</v>
      </c>
      <c r="N130" s="47">
        <f>'3 Statement Model'!N14*-1</f>
        <v>-9976.7309777100018</v>
      </c>
      <c r="O130" s="47">
        <f>'3 Statement Model'!O14*-1</f>
        <v>-11173.938695035204</v>
      </c>
      <c r="P130" s="47">
        <f>'3 Statement Model'!P14*-1</f>
        <v>-12514.811338439429</v>
      </c>
      <c r="Q130" s="47">
        <f>'3 Statement Model'!Q14*-1</f>
        <v>-14016.588699052161</v>
      </c>
      <c r="R130" s="47">
        <f>'3 Statement Model'!R14*-1</f>
        <v>-15698.579342938423</v>
      </c>
      <c r="S130" s="47">
        <f>'3 Statement Model'!S14*-1</f>
        <v>-17582.408864091034</v>
      </c>
    </row>
    <row r="131" spans="1:19" outlineLevel="1">
      <c r="B131" t="s">
        <v>43</v>
      </c>
      <c r="I131" s="47">
        <f>SUM('3 Statement Model'!I20:I23)*-1</f>
        <v>-3304</v>
      </c>
      <c r="J131" s="47">
        <f>SUM('3 Statement Model'!J20:J23)*-1</f>
        <v>-3840.0227400000008</v>
      </c>
      <c r="K131" s="47">
        <f>SUM('3 Statement Model'!K20:K23)*-1</f>
        <v>-4358.4258099000017</v>
      </c>
      <c r="L131" s="47">
        <f>SUM('3 Statement Model'!L20:L23)*-1</f>
        <v>-4925.0211651870004</v>
      </c>
      <c r="M131" s="47">
        <f>SUM('3 Statement Model'!M20:M23)*-1</f>
        <v>-5540.648810835376</v>
      </c>
      <c r="N131" s="47">
        <f>SUM('3 Statement Model'!N20:N23)*-1</f>
        <v>-6205.5266681356215</v>
      </c>
      <c r="O131" s="47">
        <f>SUM('3 Statement Model'!O20:O23)*-1</f>
        <v>-6950.1898683118961</v>
      </c>
      <c r="P131" s="47">
        <f>SUM('3 Statement Model'!P20:P23)*-1</f>
        <v>-7784.2126525093245</v>
      </c>
      <c r="Q131" s="47">
        <f>SUM('3 Statement Model'!Q20:Q23)*-1</f>
        <v>-8718.3181708104439</v>
      </c>
      <c r="R131" s="47">
        <f>SUM('3 Statement Model'!R20:R23)*-1</f>
        <v>-9764.5163513077005</v>
      </c>
      <c r="S131" s="47">
        <f>SUM('3 Statement Model'!S20:S23)*-1</f>
        <v>-10936.258313464623</v>
      </c>
    </row>
    <row r="132" spans="1:19" outlineLevel="1">
      <c r="B132" t="s">
        <v>44</v>
      </c>
      <c r="I132" s="47">
        <f>'3 Statement Model'!I29*-1</f>
        <v>-178</v>
      </c>
      <c r="J132" s="47">
        <f>'3 Statement Model'!J29*-1</f>
        <v>-191.17049600000001</v>
      </c>
      <c r="K132" s="47">
        <f>'3 Statement Model'!K29*-1</f>
        <v>-206.11900896</v>
      </c>
      <c r="L132" s="47">
        <f>'3 Statement Model'!L29*-1</f>
        <v>-223.0108286048</v>
      </c>
      <c r="M132" s="47">
        <f>'3 Statement Model'!M29*-1</f>
        <v>-242.0141257052</v>
      </c>
      <c r="N132" s="47">
        <f>'3 Statement Model'!N29*-1</f>
        <v>-226.96758766062001</v>
      </c>
      <c r="O132" s="47">
        <f>'3 Statement Model'!O29*-1</f>
        <v>-231.31546505069042</v>
      </c>
      <c r="P132" s="47">
        <f>'3 Statement Model'!P29*-1</f>
        <v>-258.01372923936117</v>
      </c>
      <c r="Q132" s="47">
        <f>'3 Statement Model'!Q29*-1</f>
        <v>-289.78466362387945</v>
      </c>
      <c r="R132" s="47">
        <f>'3 Statement Model'!R29*-1</f>
        <v>-322.2283942659522</v>
      </c>
      <c r="S132" s="47">
        <f>'3 Statement Model'!S29*-1</f>
        <v>-351.53240903943725</v>
      </c>
    </row>
    <row r="133" spans="1:19" outlineLevel="1">
      <c r="B133" t="s">
        <v>45</v>
      </c>
      <c r="I133" s="47">
        <f>'3 Statement Model'!I34*-1</f>
        <v>-53</v>
      </c>
      <c r="J133" s="47">
        <f>'3 Statement Model'!J34*-1</f>
        <v>-54.555850000000007</v>
      </c>
      <c r="K133" s="47">
        <f>'3 Statement Model'!K34*-1</f>
        <v>-65.90392725000001</v>
      </c>
      <c r="L133" s="47">
        <f>'3 Statement Model'!L34*-1</f>
        <v>-64.72822896937501</v>
      </c>
      <c r="M133" s="47">
        <f>'3 Statement Model'!M34*-1</f>
        <v>-63.096884903671878</v>
      </c>
      <c r="N133" s="47">
        <f>'3 Statement Model'!N34*-1</f>
        <v>-70.816974350709387</v>
      </c>
      <c r="O133" s="47">
        <f>'3 Statement Model'!O34*-1</f>
        <v>-72.470973822085455</v>
      </c>
      <c r="P133" s="47">
        <f>'3 Statement Model'!P34*-1</f>
        <v>-74.167018088296174</v>
      </c>
      <c r="Q133" s="47">
        <f>'3 Statement Model'!Q34*-1</f>
        <v>-82.910625117161231</v>
      </c>
      <c r="R133" s="47">
        <f>'3 Statement Model'!R34*-1</f>
        <v>-92.859900131220584</v>
      </c>
      <c r="S133" s="47">
        <f>'3 Statement Model'!S34*-1</f>
        <v>-104.00308814696706</v>
      </c>
    </row>
    <row r="134" spans="1:19" outlineLevel="1">
      <c r="B134" t="s">
        <v>171</v>
      </c>
      <c r="I134" s="47">
        <f>'3 Statement Model'!I35</f>
        <v>208</v>
      </c>
      <c r="J134" s="47">
        <f>'3 Statement Model'!J35</f>
        <v>185.21010000000001</v>
      </c>
      <c r="K134" s="47">
        <f>'3 Statement Model'!K35</f>
        <v>210.21346350000002</v>
      </c>
      <c r="L134" s="47">
        <f>'3 Statement Model'!L35</f>
        <v>237.541213755</v>
      </c>
      <c r="M134" s="47">
        <f>'3 Statement Model'!M35</f>
        <v>267.23386547437502</v>
      </c>
      <c r="N134" s="47">
        <f>'3 Statement Model'!N35</f>
        <v>299.30192933130002</v>
      </c>
      <c r="O134" s="47">
        <f>'3 Statement Model'!O35</f>
        <v>335.2181608510561</v>
      </c>
      <c r="P134" s="47">
        <f>'3 Statement Model'!P35</f>
        <v>375.44434015318285</v>
      </c>
      <c r="Q134" s="47">
        <f>'3 Statement Model'!Q35</f>
        <v>420.49766097156481</v>
      </c>
      <c r="R134" s="47">
        <f>'3 Statement Model'!R35</f>
        <v>470.95738028815265</v>
      </c>
      <c r="S134" s="47">
        <f>'3 Statement Model'!S35</f>
        <v>527.47226592273103</v>
      </c>
    </row>
    <row r="135" spans="1:19" outlineLevel="1">
      <c r="B135" s="20" t="s">
        <v>46</v>
      </c>
      <c r="C135" s="20"/>
      <c r="D135" s="20"/>
      <c r="E135" s="20"/>
      <c r="F135" s="20"/>
      <c r="G135" s="20"/>
      <c r="H135" s="20"/>
      <c r="I135" s="567">
        <f>SUM(I129:I134)</f>
        <v>2116</v>
      </c>
      <c r="J135" s="567">
        <f>SUM(J129:J134)</f>
        <v>2026.1842139999997</v>
      </c>
      <c r="K135" s="567">
        <f t="shared" ref="K135:N135" si="168">SUM(K129:K134)</f>
        <v>2306.5955493899992</v>
      </c>
      <c r="L135" s="567">
        <f t="shared" si="168"/>
        <v>2626.0998311538251</v>
      </c>
      <c r="M135" s="567">
        <f t="shared" si="168"/>
        <v>3329.2695598426276</v>
      </c>
      <c r="N135" s="567">
        <f t="shared" si="168"/>
        <v>3772.7216768943508</v>
      </c>
      <c r="O135" s="567">
        <f t="shared" ref="O135:S135" si="169">SUM(O129:O134)</f>
        <v>4255.1805487015881</v>
      </c>
      <c r="P135" s="567">
        <f t="shared" si="169"/>
        <v>4773.8622787556296</v>
      </c>
      <c r="Q135" s="567">
        <f t="shared" si="169"/>
        <v>5346.0729004722416</v>
      </c>
      <c r="R135" s="567">
        <f t="shared" si="169"/>
        <v>5989.932077521702</v>
      </c>
      <c r="S135" s="567">
        <f t="shared" si="169"/>
        <v>6718.0873193627376</v>
      </c>
    </row>
    <row r="136" spans="1:19" outlineLevel="1">
      <c r="B136" t="s">
        <v>47</v>
      </c>
      <c r="I136" s="462">
        <f>'3 Statement Model'!I38</f>
        <v>458</v>
      </c>
      <c r="J136" s="242">
        <f>J135*J139</f>
        <v>508.97747455679985</v>
      </c>
      <c r="K136" s="242">
        <f t="shared" ref="K136:N136" si="170">K135*K139</f>
        <v>579.41680200676774</v>
      </c>
      <c r="L136" s="242">
        <f t="shared" si="170"/>
        <v>659.67627758584081</v>
      </c>
      <c r="M136" s="242">
        <f t="shared" si="170"/>
        <v>836.31251343246799</v>
      </c>
      <c r="N136" s="242">
        <f t="shared" si="170"/>
        <v>947.70768523586082</v>
      </c>
      <c r="O136" s="242">
        <f t="shared" ref="O136:S136" si="171">O135*O139</f>
        <v>1068.9013538338388</v>
      </c>
      <c r="P136" s="242">
        <f t="shared" si="171"/>
        <v>1199.194204423414</v>
      </c>
      <c r="Q136" s="242">
        <f t="shared" si="171"/>
        <v>1342.933512598627</v>
      </c>
      <c r="R136" s="242">
        <f t="shared" si="171"/>
        <v>1504.6709378734515</v>
      </c>
      <c r="S136" s="242">
        <f t="shared" si="171"/>
        <v>1687.5835346239196</v>
      </c>
    </row>
    <row r="137" spans="1:19" outlineLevel="1">
      <c r="B137" s="20" t="s">
        <v>3</v>
      </c>
      <c r="C137" s="20"/>
      <c r="D137" s="20"/>
      <c r="E137" s="20"/>
      <c r="F137" s="20"/>
      <c r="G137" s="20"/>
      <c r="H137" s="20"/>
      <c r="I137" s="567">
        <f>SUM(I135:I136)</f>
        <v>2574</v>
      </c>
      <c r="J137" s="567">
        <f>SUM(J135:J136)</f>
        <v>2535.1616885567996</v>
      </c>
      <c r="K137" s="567">
        <f t="shared" ref="K137:N137" si="172">SUM(K135:K136)</f>
        <v>2886.0123513967669</v>
      </c>
      <c r="L137" s="567">
        <f t="shared" si="172"/>
        <v>3285.7761087396657</v>
      </c>
      <c r="M137" s="567">
        <f t="shared" si="172"/>
        <v>4165.5820732750954</v>
      </c>
      <c r="N137" s="567">
        <f t="shared" si="172"/>
        <v>4720.4293621302113</v>
      </c>
      <c r="O137" s="567">
        <f t="shared" ref="O137:S137" si="173">SUM(O135:O136)</f>
        <v>5324.0819025354267</v>
      </c>
      <c r="P137" s="567">
        <f t="shared" si="173"/>
        <v>5973.0564831790434</v>
      </c>
      <c r="Q137" s="567">
        <f t="shared" si="173"/>
        <v>6689.0064130708688</v>
      </c>
      <c r="R137" s="567">
        <f t="shared" si="173"/>
        <v>7494.6030153951533</v>
      </c>
      <c r="S137" s="567">
        <f t="shared" si="173"/>
        <v>8405.6708539866577</v>
      </c>
    </row>
    <row r="138" spans="1:19" outlineLevel="1"/>
    <row r="139" spans="1:19" outlineLevel="1">
      <c r="B139" s="16" t="s">
        <v>31</v>
      </c>
      <c r="C139" s="16"/>
      <c r="D139" s="16"/>
      <c r="E139" s="16"/>
      <c r="F139" s="16"/>
      <c r="G139" s="16"/>
      <c r="H139" s="16"/>
      <c r="I139" s="34">
        <f>I136/I135</f>
        <v>0.21644612476370512</v>
      </c>
      <c r="J139" s="54">
        <f>ControlSheet!K125</f>
        <v>0.25119999999999998</v>
      </c>
      <c r="K139" s="54">
        <f>ControlSheet!L125</f>
        <v>0.25119999999999998</v>
      </c>
      <c r="L139" s="54">
        <f>ControlSheet!M125</f>
        <v>0.25119999999999998</v>
      </c>
      <c r="M139" s="54">
        <f>ControlSheet!N125</f>
        <v>0.25119999999999998</v>
      </c>
      <c r="N139" s="54">
        <f>ControlSheet!O125</f>
        <v>0.25119999999999998</v>
      </c>
      <c r="O139" s="54">
        <f>ControlSheet!P125</f>
        <v>0.25119999999999998</v>
      </c>
      <c r="P139" s="54">
        <f>ControlSheet!Q125</f>
        <v>0.25119999999999998</v>
      </c>
      <c r="Q139" s="54">
        <f>ControlSheet!R125</f>
        <v>0.25119999999999998</v>
      </c>
      <c r="R139" s="54">
        <f>ControlSheet!S125</f>
        <v>0.25119999999999998</v>
      </c>
      <c r="S139" s="54">
        <f>ControlSheet!T125</f>
        <v>0.25119999999999998</v>
      </c>
    </row>
    <row r="141" spans="1:19" ht="18">
      <c r="A141" t="s">
        <v>21</v>
      </c>
      <c r="B141" s="25" t="s">
        <v>731</v>
      </c>
      <c r="C141" s="11"/>
      <c r="D141" s="11"/>
      <c r="E141" s="11"/>
      <c r="F141" s="11"/>
      <c r="G141" s="11"/>
      <c r="H141" s="11"/>
      <c r="I141" s="11"/>
      <c r="J141" s="11"/>
      <c r="K141" s="11"/>
      <c r="L141" s="11"/>
      <c r="M141" s="11"/>
      <c r="N141" s="11"/>
      <c r="O141" s="11"/>
      <c r="P141" s="11"/>
      <c r="Q141" s="11"/>
      <c r="R141" s="11"/>
      <c r="S141" s="11"/>
    </row>
    <row r="142" spans="1:19" outlineLevel="1"/>
    <row r="143" spans="1:19" outlineLevel="1">
      <c r="B143" t="s">
        <v>732</v>
      </c>
      <c r="J143" s="462">
        <f>'3 Statement Model'!I81</f>
        <v>3846</v>
      </c>
      <c r="K143" s="242">
        <f>J146</f>
        <v>4149.4413478886399</v>
      </c>
      <c r="L143" s="242">
        <f t="shared" ref="L143:N143" si="174">K146</f>
        <v>4494.8770973652863</v>
      </c>
      <c r="M143" s="242">
        <f t="shared" si="174"/>
        <v>4888.161808078883</v>
      </c>
      <c r="N143" s="242">
        <f t="shared" si="174"/>
        <v>5386.7532173609152</v>
      </c>
      <c r="O143" s="242">
        <f t="shared" ref="O143" si="175">N146</f>
        <v>5810.5053161096885</v>
      </c>
      <c r="P143" s="242">
        <f t="shared" ref="P143" si="176">O146</f>
        <v>6288.4471953398515</v>
      </c>
      <c r="Q143" s="242">
        <f t="shared" ref="Q143" si="177">P146</f>
        <v>6824.6474064896838</v>
      </c>
      <c r="R143" s="242">
        <f t="shared" ref="R143" si="178">Q146</f>
        <v>7425.1183146707272</v>
      </c>
      <c r="S143" s="242">
        <f t="shared" ref="S143" si="179">R146</f>
        <v>8097.907485617965</v>
      </c>
    </row>
    <row r="144" spans="1:19" outlineLevel="1">
      <c r="B144" s="40" t="s">
        <v>733</v>
      </c>
      <c r="J144" s="462">
        <f>'3 Statement Model'!J39</f>
        <v>1517.2067394431997</v>
      </c>
      <c r="K144" s="462">
        <f>'3 Statement Model'!K39</f>
        <v>1727.1787473832314</v>
      </c>
      <c r="L144" s="462">
        <f>'3 Statement Model'!L39</f>
        <v>1966.4235535679843</v>
      </c>
      <c r="M144" s="462">
        <f>'3 Statement Model'!M39</f>
        <v>2492.9570464101598</v>
      </c>
      <c r="N144" s="462">
        <f>'3 Statement Model'!N39</f>
        <v>2825.0139916584899</v>
      </c>
      <c r="O144" s="462">
        <f>'3 Statement Model'!O39</f>
        <v>3186.2791948677495</v>
      </c>
      <c r="P144" s="462">
        <f>'3 Statement Model'!P39</f>
        <v>3574.6680743322158</v>
      </c>
      <c r="Q144" s="462">
        <f>'3 Statement Model'!Q39</f>
        <v>4003.1393878736144</v>
      </c>
      <c r="R144" s="462">
        <f>'3 Statement Model'!R39</f>
        <v>4485.2611396482507</v>
      </c>
      <c r="S144" s="462">
        <f>'3 Statement Model'!S39</f>
        <v>5030.5037847388176</v>
      </c>
    </row>
    <row r="145" spans="1:19" outlineLevel="1">
      <c r="B145" s="40" t="s">
        <v>48</v>
      </c>
      <c r="J145" s="46">
        <f>-J144*J148</f>
        <v>-1213.7653915545598</v>
      </c>
      <c r="K145" s="46">
        <f t="shared" ref="K145:N145" si="180">-K144*K148</f>
        <v>-1381.7429979065853</v>
      </c>
      <c r="L145" s="46">
        <f t="shared" si="180"/>
        <v>-1573.1388428543876</v>
      </c>
      <c r="M145" s="46">
        <f t="shared" si="180"/>
        <v>-1994.3656371281279</v>
      </c>
      <c r="N145" s="46">
        <f t="shared" si="180"/>
        <v>-2401.2618929097162</v>
      </c>
      <c r="O145" s="46">
        <f t="shared" ref="O145:S145" si="181">-O144*O148</f>
        <v>-2708.3373156375869</v>
      </c>
      <c r="P145" s="46">
        <f t="shared" si="181"/>
        <v>-3038.4678631823836</v>
      </c>
      <c r="Q145" s="46">
        <f t="shared" si="181"/>
        <v>-3402.668479692572</v>
      </c>
      <c r="R145" s="46">
        <f t="shared" si="181"/>
        <v>-3812.4719687010129</v>
      </c>
      <c r="S145" s="46">
        <f t="shared" si="181"/>
        <v>-4275.9282170279948</v>
      </c>
    </row>
    <row r="146" spans="1:19" outlineLevel="1">
      <c r="B146" s="20" t="s">
        <v>49</v>
      </c>
      <c r="C146" s="21"/>
      <c r="D146" s="21"/>
      <c r="E146" s="21"/>
      <c r="F146" s="21"/>
      <c r="G146" s="21"/>
      <c r="H146" s="21"/>
      <c r="I146" s="50"/>
      <c r="J146" s="463">
        <f>SUM(J143:J145)</f>
        <v>4149.4413478886399</v>
      </c>
      <c r="K146" s="463">
        <f t="shared" ref="K146:N146" si="182">SUM(K143:K145)</f>
        <v>4494.8770973652863</v>
      </c>
      <c r="L146" s="463">
        <f t="shared" si="182"/>
        <v>4888.161808078883</v>
      </c>
      <c r="M146" s="463">
        <f t="shared" si="182"/>
        <v>5386.7532173609152</v>
      </c>
      <c r="N146" s="463">
        <f t="shared" si="182"/>
        <v>5810.5053161096885</v>
      </c>
      <c r="O146" s="463">
        <f t="shared" ref="O146:S146" si="183">SUM(O143:O145)</f>
        <v>6288.4471953398515</v>
      </c>
      <c r="P146" s="463">
        <f t="shared" si="183"/>
        <v>6824.6474064896838</v>
      </c>
      <c r="Q146" s="463">
        <f t="shared" si="183"/>
        <v>7425.1183146707272</v>
      </c>
      <c r="R146" s="463">
        <f t="shared" si="183"/>
        <v>8097.907485617965</v>
      </c>
      <c r="S146" s="463">
        <f t="shared" si="183"/>
        <v>8852.4830533287877</v>
      </c>
    </row>
    <row r="147" spans="1:19" outlineLevel="1"/>
    <row r="148" spans="1:19" outlineLevel="1">
      <c r="B148" s="49" t="s">
        <v>50</v>
      </c>
      <c r="C148" s="49"/>
      <c r="D148" s="49"/>
      <c r="E148" s="49"/>
      <c r="F148" s="49"/>
      <c r="G148" s="49"/>
      <c r="H148" s="49"/>
      <c r="I148" s="49"/>
      <c r="J148" s="490">
        <f>ControlSheet!K165</f>
        <v>0.8</v>
      </c>
      <c r="K148" s="490">
        <f>ControlSheet!L165</f>
        <v>0.8</v>
      </c>
      <c r="L148" s="490">
        <f>ControlSheet!M165</f>
        <v>0.8</v>
      </c>
      <c r="M148" s="490">
        <f>ControlSheet!N165</f>
        <v>0.8</v>
      </c>
      <c r="N148" s="490">
        <f>ControlSheet!O165</f>
        <v>0.85</v>
      </c>
      <c r="O148" s="490">
        <f>ControlSheet!P165</f>
        <v>0.85</v>
      </c>
      <c r="P148" s="490">
        <f>ControlSheet!Q165</f>
        <v>0.85</v>
      </c>
      <c r="Q148" s="490">
        <f>ControlSheet!R165</f>
        <v>0.85</v>
      </c>
      <c r="R148" s="490">
        <f>ControlSheet!S165</f>
        <v>0.85</v>
      </c>
      <c r="S148" s="490">
        <f>ControlSheet!T165</f>
        <v>0.85</v>
      </c>
    </row>
    <row r="149" spans="1:19" outlineLevel="1"/>
    <row r="151" spans="1:19" ht="18">
      <c r="A151" t="s">
        <v>21</v>
      </c>
      <c r="B151" s="25" t="s">
        <v>51</v>
      </c>
      <c r="C151" s="11"/>
      <c r="D151" s="11"/>
      <c r="E151" s="11"/>
      <c r="F151" s="11"/>
      <c r="G151" s="11"/>
      <c r="H151" s="11"/>
      <c r="I151" s="11"/>
      <c r="J151" s="11"/>
      <c r="K151" s="11"/>
      <c r="L151" s="11"/>
      <c r="M151" s="11"/>
      <c r="N151" s="11"/>
      <c r="O151" s="11"/>
      <c r="P151" s="11"/>
      <c r="Q151" s="11"/>
      <c r="R151" s="11"/>
      <c r="S151" s="11"/>
    </row>
    <row r="152" spans="1:19" outlineLevel="1">
      <c r="N152" s="51"/>
      <c r="O152" s="51"/>
      <c r="P152" s="51"/>
      <c r="Q152" s="51"/>
      <c r="R152" s="51"/>
      <c r="S152" s="51">
        <v>365</v>
      </c>
    </row>
    <row r="153" spans="1:19" outlineLevel="1">
      <c r="B153" s="477" t="s">
        <v>516</v>
      </c>
      <c r="C153" s="164"/>
      <c r="D153" s="470"/>
      <c r="E153" s="470"/>
      <c r="F153" s="470"/>
      <c r="G153" s="470"/>
      <c r="H153" s="470"/>
      <c r="I153" s="470"/>
      <c r="J153" s="191"/>
      <c r="K153" s="191"/>
      <c r="L153" s="191"/>
      <c r="M153" s="191"/>
      <c r="N153" s="191"/>
      <c r="O153" s="191"/>
      <c r="P153" s="191"/>
      <c r="Q153" s="191"/>
      <c r="R153" s="191"/>
      <c r="S153" s="191"/>
    </row>
    <row r="154" spans="1:19" outlineLevel="1">
      <c r="B154" t="s">
        <v>42</v>
      </c>
      <c r="D154" s="47">
        <f>'P&amp;l 25-24'!E6</f>
        <v>7315</v>
      </c>
      <c r="E154" s="47">
        <f>'P&amp;l 25-24'!F6</f>
        <v>8048</v>
      </c>
      <c r="F154" s="47">
        <f>'P&amp;l 25-24'!G6</f>
        <v>9512</v>
      </c>
      <c r="G154" s="47">
        <f>'P&amp;l 25-24'!H6</f>
        <v>9764</v>
      </c>
      <c r="H154" s="47">
        <f>'P&amp;l 25-24'!I6</f>
        <v>9653</v>
      </c>
      <c r="I154" s="47">
        <f>'P&amp;l 25-24'!J6</f>
        <v>10831</v>
      </c>
      <c r="J154" s="46">
        <f>J13</f>
        <v>12347.340000000002</v>
      </c>
      <c r="K154" s="46">
        <f>K13</f>
        <v>14014.230900000002</v>
      </c>
      <c r="L154" s="46">
        <f>L13</f>
        <v>15836.080917000001</v>
      </c>
      <c r="M154" s="46">
        <f>M13</f>
        <v>17815.591031625001</v>
      </c>
      <c r="N154" s="46">
        <f>N13</f>
        <v>19953.461955420004</v>
      </c>
      <c r="O154" s="46">
        <f t="shared" ref="O154:S154" si="184">O13</f>
        <v>22347.877390070407</v>
      </c>
      <c r="P154" s="46">
        <f t="shared" si="184"/>
        <v>25029.622676878858</v>
      </c>
      <c r="Q154" s="46">
        <f t="shared" si="184"/>
        <v>28033.177398104322</v>
      </c>
      <c r="R154" s="46">
        <f t="shared" si="184"/>
        <v>31397.158685876846</v>
      </c>
      <c r="S154" s="46">
        <f t="shared" si="184"/>
        <v>35164.817728182068</v>
      </c>
    </row>
    <row r="155" spans="1:19" outlineLevel="1">
      <c r="B155" t="s">
        <v>516</v>
      </c>
      <c r="D155" s="47">
        <f>'Balance Sheet'!D27</f>
        <v>539</v>
      </c>
      <c r="E155" s="47">
        <f>'Balance Sheet'!E27</f>
        <v>388</v>
      </c>
      <c r="F155" s="47">
        <f>'Balance Sheet'!F27</f>
        <v>652</v>
      </c>
      <c r="G155" s="47">
        <f>'Balance Sheet'!G27</f>
        <v>1015</v>
      </c>
      <c r="H155" s="47">
        <f>'Balance Sheet'!H27</f>
        <v>1069</v>
      </c>
      <c r="I155" s="47">
        <f>'Balance Sheet'!I27</f>
        <v>1271</v>
      </c>
      <c r="J155" s="242">
        <f>J154/$S$152*J156</f>
        <v>1522.2747945205483</v>
      </c>
      <c r="K155" s="242">
        <f t="shared" ref="K155:S155" si="185">K154/$S$152*K156</f>
        <v>1727.7818917808224</v>
      </c>
      <c r="L155" s="242">
        <f t="shared" si="185"/>
        <v>1822.2339685315069</v>
      </c>
      <c r="M155" s="242">
        <f t="shared" si="185"/>
        <v>2050.0132145979451</v>
      </c>
      <c r="N155" s="242">
        <f t="shared" si="185"/>
        <v>2296.0148003496993</v>
      </c>
      <c r="O155" s="242">
        <f t="shared" si="185"/>
        <v>2449.0824537063459</v>
      </c>
      <c r="P155" s="242">
        <f t="shared" si="185"/>
        <v>2742.9723481511073</v>
      </c>
      <c r="Q155" s="242">
        <f t="shared" si="185"/>
        <v>2995.3258041810095</v>
      </c>
      <c r="R155" s="242">
        <f t="shared" si="185"/>
        <v>3389.1727458179389</v>
      </c>
      <c r="S155" s="242">
        <f t="shared" si="185"/>
        <v>3757.3366887646594</v>
      </c>
    </row>
    <row r="156" spans="1:19" outlineLevel="1">
      <c r="B156" s="15" t="s">
        <v>517</v>
      </c>
      <c r="C156" s="15"/>
      <c r="D156" s="15"/>
      <c r="E156" s="226">
        <f>(AVERAGE(D155:E155)/E154)*$S$152</f>
        <v>21.021061133200796</v>
      </c>
      <c r="F156" s="226">
        <f t="shared" ref="F156:I156" si="186">(AVERAGE(E155:F155)/F154)*$S$152</f>
        <v>19.953742640874683</v>
      </c>
      <c r="G156" s="226">
        <f t="shared" si="186"/>
        <v>31.158080704629253</v>
      </c>
      <c r="H156" s="226">
        <f t="shared" si="186"/>
        <v>39.400186470527295</v>
      </c>
      <c r="I156" s="226">
        <f t="shared" si="186"/>
        <v>39.42849229064722</v>
      </c>
      <c r="J156" s="448">
        <f>ControlSheet!K173</f>
        <v>45</v>
      </c>
      <c r="K156" s="448">
        <f>ControlSheet!L173</f>
        <v>45</v>
      </c>
      <c r="L156" s="448">
        <f>ControlSheet!M173</f>
        <v>42</v>
      </c>
      <c r="M156" s="448">
        <f>ControlSheet!N173</f>
        <v>42</v>
      </c>
      <c r="N156" s="448">
        <f>ControlSheet!O173</f>
        <v>42</v>
      </c>
      <c r="O156" s="448">
        <f>ControlSheet!P173</f>
        <v>40</v>
      </c>
      <c r="P156" s="448">
        <f>ControlSheet!Q173</f>
        <v>40</v>
      </c>
      <c r="Q156" s="448">
        <f>ControlSheet!R173</f>
        <v>39</v>
      </c>
      <c r="R156" s="448">
        <f>ControlSheet!S173</f>
        <v>39.4</v>
      </c>
      <c r="S156" s="448">
        <f>ControlSheet!T173</f>
        <v>39</v>
      </c>
    </row>
    <row r="157" spans="1:19" outlineLevel="1">
      <c r="B157" s="15" t="s">
        <v>523</v>
      </c>
      <c r="C157" s="15"/>
      <c r="D157" s="29">
        <f>D155/D154</f>
        <v>7.3684210526315783E-2</v>
      </c>
      <c r="E157" s="29">
        <f t="shared" ref="E157:N157" si="187">E155/E154</f>
        <v>4.8210735586481111E-2</v>
      </c>
      <c r="F157" s="29">
        <f t="shared" si="187"/>
        <v>6.854499579478554E-2</v>
      </c>
      <c r="G157" s="29">
        <f t="shared" si="187"/>
        <v>0.1039532978287587</v>
      </c>
      <c r="H157" s="29">
        <f t="shared" si="187"/>
        <v>0.11074277426706723</v>
      </c>
      <c r="I157" s="29">
        <f t="shared" si="187"/>
        <v>0.11734835195272827</v>
      </c>
      <c r="J157" s="29">
        <f t="shared" si="187"/>
        <v>0.12328767123287672</v>
      </c>
      <c r="K157" s="29">
        <f t="shared" si="187"/>
        <v>0.12328767123287673</v>
      </c>
      <c r="L157" s="29">
        <f t="shared" si="187"/>
        <v>0.11506849315068493</v>
      </c>
      <c r="M157" s="29">
        <f t="shared" si="187"/>
        <v>0.11506849315068492</v>
      </c>
      <c r="N157" s="29">
        <f t="shared" si="187"/>
        <v>0.11506849315068494</v>
      </c>
      <c r="O157" s="29">
        <f t="shared" ref="O157:S157" si="188">O155/O154</f>
        <v>0.1095890410958904</v>
      </c>
      <c r="P157" s="29">
        <f t="shared" si="188"/>
        <v>0.10958904109589039</v>
      </c>
      <c r="Q157" s="29">
        <f t="shared" si="188"/>
        <v>0.10684931506849314</v>
      </c>
      <c r="R157" s="29">
        <f t="shared" si="188"/>
        <v>0.10794520547945205</v>
      </c>
      <c r="S157" s="29">
        <f t="shared" si="188"/>
        <v>0.10684931506849316</v>
      </c>
    </row>
    <row r="158" spans="1:19" outlineLevel="1"/>
    <row r="159" spans="1:19" outlineLevel="1">
      <c r="B159" s="477" t="s">
        <v>6</v>
      </c>
      <c r="C159" s="164"/>
      <c r="D159" s="470"/>
      <c r="E159" s="470"/>
      <c r="F159" s="470"/>
      <c r="G159" s="470"/>
      <c r="H159" s="470"/>
      <c r="I159" s="470"/>
      <c r="J159" s="191"/>
      <c r="K159" s="191"/>
      <c r="L159" s="191"/>
      <c r="M159" s="191"/>
      <c r="N159" s="191"/>
      <c r="O159" s="191"/>
      <c r="P159" s="191"/>
      <c r="Q159" s="191"/>
      <c r="R159" s="191"/>
      <c r="S159" s="191"/>
    </row>
    <row r="160" spans="1:19" outlineLevel="1">
      <c r="B160" t="s">
        <v>42</v>
      </c>
      <c r="D160" s="47">
        <f>'P&amp;l 25-24'!E6</f>
        <v>7315</v>
      </c>
      <c r="E160" s="47">
        <f>'P&amp;l 25-24'!F6</f>
        <v>8048</v>
      </c>
      <c r="F160" s="47">
        <f>'P&amp;l 25-24'!G6</f>
        <v>9512</v>
      </c>
      <c r="G160" s="47">
        <f>'P&amp;l 25-24'!H6</f>
        <v>9764</v>
      </c>
      <c r="H160" s="47">
        <f>'P&amp;l 25-24'!I6</f>
        <v>9653</v>
      </c>
      <c r="I160" s="47">
        <f>'P&amp;l 25-24'!J6</f>
        <v>10831</v>
      </c>
      <c r="J160" s="46">
        <f>J13</f>
        <v>12347.340000000002</v>
      </c>
      <c r="K160" s="46">
        <f>K13</f>
        <v>14014.230900000002</v>
      </c>
      <c r="L160" s="46">
        <f>L13</f>
        <v>15836.080917000001</v>
      </c>
      <c r="M160" s="46">
        <f>M13</f>
        <v>17815.591031625001</v>
      </c>
      <c r="N160" s="46">
        <f>N13</f>
        <v>19953.461955420004</v>
      </c>
      <c r="O160" s="46">
        <f t="shared" ref="O160:S160" si="189">O13</f>
        <v>22347.877390070407</v>
      </c>
      <c r="P160" s="46">
        <f t="shared" si="189"/>
        <v>25029.622676878858</v>
      </c>
      <c r="Q160" s="46">
        <f t="shared" si="189"/>
        <v>28033.177398104322</v>
      </c>
      <c r="R160" s="46">
        <f t="shared" si="189"/>
        <v>31397.158685876846</v>
      </c>
      <c r="S160" s="46">
        <f t="shared" si="189"/>
        <v>35164.817728182068</v>
      </c>
    </row>
    <row r="161" spans="2:19" outlineLevel="1">
      <c r="B161" t="s">
        <v>6</v>
      </c>
      <c r="D161" s="47">
        <f>'Balance Sheet'!D26</f>
        <v>1380</v>
      </c>
      <c r="E161" s="47">
        <f>'Balance Sheet'!E26</f>
        <v>1126</v>
      </c>
      <c r="F161" s="47">
        <f>'Balance Sheet'!F26</f>
        <v>1412</v>
      </c>
      <c r="G161" s="47">
        <f>'Balance Sheet'!G26</f>
        <v>1225</v>
      </c>
      <c r="H161" s="47">
        <f>'Balance Sheet'!H26</f>
        <v>1336</v>
      </c>
      <c r="I161" s="47">
        <f>'Balance Sheet'!I26</f>
        <v>1235</v>
      </c>
      <c r="J161" s="46">
        <f>J160/$S$152*J162</f>
        <v>1589.9314520547948</v>
      </c>
      <c r="K161" s="46">
        <f t="shared" ref="K161:S161" si="190">K160/$S$152*K162</f>
        <v>1804.5721980821922</v>
      </c>
      <c r="L161" s="46">
        <f t="shared" si="190"/>
        <v>1995.7800607726028</v>
      </c>
      <c r="M161" s="46">
        <f t="shared" si="190"/>
        <v>2245.2525683691783</v>
      </c>
      <c r="N161" s="46">
        <f t="shared" si="190"/>
        <v>2514.6828765734799</v>
      </c>
      <c r="O161" s="46">
        <f t="shared" si="190"/>
        <v>2693.9906990769805</v>
      </c>
      <c r="P161" s="46">
        <f t="shared" si="190"/>
        <v>3017.2695829662184</v>
      </c>
      <c r="Q161" s="46">
        <f t="shared" si="190"/>
        <v>3225.7354814257028</v>
      </c>
      <c r="R161" s="46">
        <f t="shared" si="190"/>
        <v>3440.7845135207504</v>
      </c>
      <c r="S161" s="46">
        <f t="shared" si="190"/>
        <v>3853.6786551432401</v>
      </c>
    </row>
    <row r="162" spans="2:19" outlineLevel="1">
      <c r="B162" s="15" t="s">
        <v>53</v>
      </c>
      <c r="C162" s="15"/>
      <c r="D162" s="52"/>
      <c r="E162" s="226">
        <f>(AVERAGE(D161:E161)/E160)*$S$152</f>
        <v>56.827162027833005</v>
      </c>
      <c r="F162" s="226">
        <f t="shared" ref="F162:I162" si="191">(AVERAGE(E161:F161)/F160)*$S$152</f>
        <v>48.694806560134566</v>
      </c>
      <c r="G162" s="226">
        <f t="shared" si="191"/>
        <v>49.288457599344532</v>
      </c>
      <c r="H162" s="226">
        <f t="shared" si="191"/>
        <v>48.41836734693878</v>
      </c>
      <c r="I162" s="226">
        <f t="shared" si="191"/>
        <v>43.32079217062136</v>
      </c>
      <c r="J162" s="448">
        <f>ControlSheet!K179</f>
        <v>47</v>
      </c>
      <c r="K162" s="448">
        <f>ControlSheet!L179</f>
        <v>47</v>
      </c>
      <c r="L162" s="448">
        <f>ControlSheet!M179</f>
        <v>46</v>
      </c>
      <c r="M162" s="448">
        <f>ControlSheet!N179</f>
        <v>46</v>
      </c>
      <c r="N162" s="448">
        <f>ControlSheet!O179</f>
        <v>46</v>
      </c>
      <c r="O162" s="448">
        <f>ControlSheet!P179</f>
        <v>44</v>
      </c>
      <c r="P162" s="448">
        <f>ControlSheet!Q179</f>
        <v>44</v>
      </c>
      <c r="Q162" s="448">
        <f>ControlSheet!R179</f>
        <v>42</v>
      </c>
      <c r="R162" s="448">
        <f>ControlSheet!S179</f>
        <v>40</v>
      </c>
      <c r="S162" s="448">
        <f>ControlSheet!T179</f>
        <v>40</v>
      </c>
    </row>
    <row r="163" spans="2:19" outlineLevel="1">
      <c r="B163" s="15" t="s">
        <v>510</v>
      </c>
      <c r="C163" s="15"/>
      <c r="D163" s="29">
        <f>D161/D160</f>
        <v>0.18865345181134655</v>
      </c>
      <c r="E163" s="29">
        <f>E161/E160</f>
        <v>0.13991053677932405</v>
      </c>
      <c r="F163" s="29">
        <f t="shared" ref="F163:N163" si="192">F161/F160</f>
        <v>0.14844407064760304</v>
      </c>
      <c r="G163" s="29">
        <f t="shared" si="192"/>
        <v>0.12546087668988121</v>
      </c>
      <c r="H163" s="29">
        <f t="shared" si="192"/>
        <v>0.1384025691494872</v>
      </c>
      <c r="I163" s="29">
        <f t="shared" si="192"/>
        <v>0.11402455913581387</v>
      </c>
      <c r="J163" s="29">
        <f t="shared" si="192"/>
        <v>0.12876712328767123</v>
      </c>
      <c r="K163" s="29">
        <f t="shared" si="192"/>
        <v>0.12876712328767123</v>
      </c>
      <c r="L163" s="29">
        <f t="shared" si="192"/>
        <v>0.12602739726027398</v>
      </c>
      <c r="M163" s="29">
        <f t="shared" si="192"/>
        <v>0.12602739726027398</v>
      </c>
      <c r="N163" s="29">
        <f t="shared" si="192"/>
        <v>0.12602739726027398</v>
      </c>
      <c r="O163" s="29">
        <f t="shared" ref="O163:S163" si="193">O161/O160</f>
        <v>0.12054794520547944</v>
      </c>
      <c r="P163" s="29">
        <f t="shared" si="193"/>
        <v>0.12054794520547944</v>
      </c>
      <c r="Q163" s="29">
        <f t="shared" si="193"/>
        <v>0.11506849315068493</v>
      </c>
      <c r="R163" s="29">
        <f t="shared" si="193"/>
        <v>0.10958904109589042</v>
      </c>
      <c r="S163" s="29">
        <f t="shared" si="193"/>
        <v>0.1095890410958904</v>
      </c>
    </row>
    <row r="164" spans="2:19" outlineLevel="1"/>
    <row r="165" spans="2:19" outlineLevel="1">
      <c r="B165" s="477" t="s">
        <v>9</v>
      </c>
      <c r="C165" s="164"/>
      <c r="D165" s="470"/>
      <c r="E165" s="470"/>
      <c r="F165" s="470"/>
      <c r="G165" s="470"/>
      <c r="H165" s="470"/>
      <c r="I165" s="470"/>
      <c r="J165" s="191"/>
      <c r="K165" s="191"/>
      <c r="L165" s="191"/>
      <c r="M165" s="191"/>
      <c r="N165" s="191"/>
      <c r="O165" s="191"/>
      <c r="P165" s="191"/>
      <c r="Q165" s="191"/>
      <c r="R165" s="191"/>
      <c r="S165" s="191"/>
    </row>
    <row r="166" spans="2:19" outlineLevel="1">
      <c r="B166" t="s">
        <v>42</v>
      </c>
      <c r="D166" s="47">
        <f>'P&amp;l 25-24'!E6</f>
        <v>7315</v>
      </c>
      <c r="E166" s="47">
        <f>'P&amp;l 25-24'!F6</f>
        <v>8048</v>
      </c>
      <c r="F166" s="47">
        <f>'P&amp;l 25-24'!G6</f>
        <v>9512</v>
      </c>
      <c r="G166" s="47">
        <f>'P&amp;l 25-24'!H6</f>
        <v>9764</v>
      </c>
      <c r="H166" s="47">
        <f>'P&amp;l 25-24'!I6</f>
        <v>9653</v>
      </c>
      <c r="I166" s="47">
        <f>'P&amp;l 25-24'!J6</f>
        <v>10831</v>
      </c>
      <c r="J166" s="46">
        <f>J13</f>
        <v>12347.340000000002</v>
      </c>
      <c r="K166" s="46">
        <f>K13</f>
        <v>14014.230900000002</v>
      </c>
      <c r="L166" s="46">
        <f>L13</f>
        <v>15836.080917000001</v>
      </c>
      <c r="M166" s="46">
        <f>M13</f>
        <v>17815.591031625001</v>
      </c>
      <c r="N166" s="46">
        <f>N13</f>
        <v>19953.461955420004</v>
      </c>
      <c r="O166" s="46">
        <f t="shared" ref="O166:S166" si="194">O13</f>
        <v>22347.877390070407</v>
      </c>
      <c r="P166" s="46">
        <f t="shared" si="194"/>
        <v>25029.622676878858</v>
      </c>
      <c r="Q166" s="46">
        <f t="shared" si="194"/>
        <v>28033.177398104322</v>
      </c>
      <c r="R166" s="46">
        <f t="shared" si="194"/>
        <v>31397.158685876846</v>
      </c>
      <c r="S166" s="46">
        <f t="shared" si="194"/>
        <v>35164.817728182068</v>
      </c>
    </row>
    <row r="167" spans="2:19" outlineLevel="1">
      <c r="B167" t="s">
        <v>9</v>
      </c>
      <c r="D167" s="47">
        <f>'Balance Sheet'!D29</f>
        <v>984</v>
      </c>
      <c r="E167" s="47">
        <f>'Balance Sheet'!E29</f>
        <v>878</v>
      </c>
      <c r="F167" s="47">
        <f>'Balance Sheet'!F29</f>
        <v>862</v>
      </c>
      <c r="G167" s="47">
        <f>'Balance Sheet'!G29</f>
        <v>824</v>
      </c>
      <c r="H167" s="47">
        <f>'Balance Sheet'!H29</f>
        <v>655</v>
      </c>
      <c r="I167" s="47">
        <f>'Balance Sheet'!I29</f>
        <v>1800</v>
      </c>
      <c r="J167" s="242">
        <f>J166*J168</f>
        <v>1728.6276000000005</v>
      </c>
      <c r="K167" s="242">
        <f t="shared" ref="K167:N167" si="195">K166*K168</f>
        <v>1961.9923260000005</v>
      </c>
      <c r="L167" s="242">
        <f t="shared" si="195"/>
        <v>2058.6905192100003</v>
      </c>
      <c r="M167" s="242">
        <f t="shared" si="195"/>
        <v>2137.8709237950002</v>
      </c>
      <c r="N167" s="242">
        <f t="shared" si="195"/>
        <v>2194.8808150962004</v>
      </c>
      <c r="O167" s="242">
        <f t="shared" ref="O167:S167" si="196">O166*O168</f>
        <v>2458.266512907745</v>
      </c>
      <c r="P167" s="242">
        <f t="shared" si="196"/>
        <v>2502.9622676878862</v>
      </c>
      <c r="Q167" s="242">
        <f t="shared" si="196"/>
        <v>2803.3177398104326</v>
      </c>
      <c r="R167" s="242">
        <f t="shared" si="196"/>
        <v>3139.7158685876848</v>
      </c>
      <c r="S167" s="242">
        <f t="shared" si="196"/>
        <v>3516.481772818207</v>
      </c>
    </row>
    <row r="168" spans="2:19" outlineLevel="1">
      <c r="B168" s="15" t="s">
        <v>522</v>
      </c>
      <c r="C168" s="15"/>
      <c r="D168" s="491">
        <f>D167/D166</f>
        <v>0.1345181134654819</v>
      </c>
      <c r="E168" s="491">
        <f t="shared" ref="E168:I168" si="197">E167/E166</f>
        <v>0.10909542743538768</v>
      </c>
      <c r="F168" s="491">
        <f t="shared" si="197"/>
        <v>9.0622371740958788E-2</v>
      </c>
      <c r="G168" s="491">
        <f t="shared" si="197"/>
        <v>8.4391642769356817E-2</v>
      </c>
      <c r="H168" s="491">
        <f t="shared" si="197"/>
        <v>6.7854552988708169E-2</v>
      </c>
      <c r="I168" s="491">
        <f t="shared" si="197"/>
        <v>0.1661896408457206</v>
      </c>
      <c r="J168" s="449">
        <f>ControlSheet!K185</f>
        <v>0.14000000000000001</v>
      </c>
      <c r="K168" s="449">
        <f>ControlSheet!L185</f>
        <v>0.14000000000000001</v>
      </c>
      <c r="L168" s="449">
        <f>ControlSheet!M185</f>
        <v>0.13</v>
      </c>
      <c r="M168" s="449">
        <f>ControlSheet!N185</f>
        <v>0.12</v>
      </c>
      <c r="N168" s="449">
        <f>ControlSheet!O185</f>
        <v>0.11</v>
      </c>
      <c r="O168" s="449">
        <f>ControlSheet!P185</f>
        <v>0.11</v>
      </c>
      <c r="P168" s="449">
        <f>ControlSheet!Q185</f>
        <v>0.1</v>
      </c>
      <c r="Q168" s="449">
        <f>ControlSheet!R185</f>
        <v>0.1</v>
      </c>
      <c r="R168" s="449">
        <f>ControlSheet!S185</f>
        <v>0.1</v>
      </c>
      <c r="S168" s="449">
        <f>ControlSheet!T185</f>
        <v>0.1</v>
      </c>
    </row>
    <row r="169" spans="2:19" outlineLevel="1"/>
    <row r="170" spans="2:19" outlineLevel="1">
      <c r="B170" s="477" t="s">
        <v>587</v>
      </c>
      <c r="C170" s="164"/>
      <c r="D170" s="470"/>
      <c r="E170" s="470"/>
      <c r="F170" s="470"/>
      <c r="G170" s="470"/>
      <c r="H170" s="470"/>
      <c r="I170" s="470"/>
      <c r="J170" s="191"/>
      <c r="K170" s="191"/>
      <c r="L170" s="191"/>
      <c r="M170" s="191"/>
      <c r="N170" s="191"/>
      <c r="O170" s="191"/>
      <c r="P170" s="191"/>
      <c r="Q170" s="191"/>
      <c r="R170" s="191"/>
      <c r="S170" s="191"/>
    </row>
    <row r="171" spans="2:19" outlineLevel="1">
      <c r="B171" t="s">
        <v>52</v>
      </c>
      <c r="D171" s="47">
        <f>'P&amp;l 25-24'!E16*-1</f>
        <v>3745</v>
      </c>
      <c r="E171" s="47">
        <f>'P&amp;l 25-24'!F16*-1</f>
        <v>4270</v>
      </c>
      <c r="F171" s="47">
        <f>'P&amp;l 25-24'!G16*-1</f>
        <v>5436</v>
      </c>
      <c r="G171" s="47">
        <f>'P&amp;l 25-24'!H16*-1</f>
        <v>5351</v>
      </c>
      <c r="H171" s="47">
        <f>'P&amp;l 25-24'!I16*-1</f>
        <v>4748</v>
      </c>
      <c r="I171" s="47">
        <f>'P&amp;l 25-24'!J16*-1</f>
        <v>5388</v>
      </c>
      <c r="J171" s="242">
        <f>I20</f>
        <v>5388</v>
      </c>
      <c r="K171" s="242">
        <f>J20</f>
        <v>6420.6168000000016</v>
      </c>
      <c r="L171" s="242">
        <f>K20</f>
        <v>7287.4000680000017</v>
      </c>
      <c r="M171" s="242">
        <f>L20</f>
        <v>8234.7620768400011</v>
      </c>
      <c r="N171" s="242">
        <f>M20</f>
        <v>8907.7955158125005</v>
      </c>
      <c r="O171" s="242">
        <f t="shared" ref="O171:S171" si="198">N20</f>
        <v>9976.7309777100018</v>
      </c>
      <c r="P171" s="242">
        <f t="shared" si="198"/>
        <v>11173.938695035204</v>
      </c>
      <c r="Q171" s="242">
        <f t="shared" si="198"/>
        <v>12514.811338439429</v>
      </c>
      <c r="R171" s="242">
        <f t="shared" si="198"/>
        <v>14016.588699052161</v>
      </c>
      <c r="S171" s="242">
        <f t="shared" si="198"/>
        <v>15698.579342938423</v>
      </c>
    </row>
    <row r="172" spans="2:19" outlineLevel="1">
      <c r="B172" t="s">
        <v>13</v>
      </c>
      <c r="D172" s="47">
        <f>'Balance Sheet'!D69</f>
        <v>978</v>
      </c>
      <c r="E172" s="47">
        <f>'Balance Sheet'!E69</f>
        <v>1134</v>
      </c>
      <c r="F172" s="47">
        <f>'Balance Sheet'!F69</f>
        <v>1344</v>
      </c>
      <c r="G172" s="47">
        <f>'Balance Sheet'!G69</f>
        <v>1452</v>
      </c>
      <c r="H172" s="47">
        <f>'Balance Sheet'!H69</f>
        <v>1581</v>
      </c>
      <c r="I172" s="47">
        <f>'Balance Sheet'!I69</f>
        <v>1363</v>
      </c>
      <c r="J172" s="242">
        <f>J171/$S$152*J173</f>
        <v>1549.972602739726</v>
      </c>
      <c r="K172" s="242">
        <f t="shared" ref="K172:S172" si="199">K171/$S$152*K173</f>
        <v>1847.026750684932</v>
      </c>
      <c r="L172" s="242">
        <f t="shared" si="199"/>
        <v>2096.3753620273978</v>
      </c>
      <c r="M172" s="242">
        <f t="shared" si="199"/>
        <v>2301.221183116932</v>
      </c>
      <c r="N172" s="242">
        <f t="shared" si="199"/>
        <v>2489.3017605832192</v>
      </c>
      <c r="O172" s="242">
        <f t="shared" si="199"/>
        <v>2788.0179718532063</v>
      </c>
      <c r="P172" s="242">
        <f t="shared" si="199"/>
        <v>3061.3530671329327</v>
      </c>
      <c r="Q172" s="242">
        <f t="shared" si="199"/>
        <v>3428.7154351888844</v>
      </c>
      <c r="R172" s="242">
        <f t="shared" si="199"/>
        <v>3840.1612874115508</v>
      </c>
      <c r="S172" s="242">
        <f t="shared" si="199"/>
        <v>4300.9806419009383</v>
      </c>
    </row>
    <row r="173" spans="2:19" outlineLevel="1">
      <c r="B173" s="15" t="s">
        <v>54</v>
      </c>
      <c r="C173" s="15"/>
      <c r="D173" s="15"/>
      <c r="E173" s="226">
        <f>(AVERAGE(D172:E172)/E171)*$S$152</f>
        <v>90.266978922716632</v>
      </c>
      <c r="F173" s="226">
        <f t="shared" ref="F173:I173" si="200">(AVERAGE(E172:F172)/F171)*$S$152</f>
        <v>83.192604856512148</v>
      </c>
      <c r="G173" s="226">
        <f t="shared" si="200"/>
        <v>95.359745841898715</v>
      </c>
      <c r="H173" s="226">
        <f t="shared" si="200"/>
        <v>116.58013900589721</v>
      </c>
      <c r="I173" s="226">
        <f t="shared" si="200"/>
        <v>99.71789161098738</v>
      </c>
      <c r="J173" s="467">
        <f>ControlSheet!K191</f>
        <v>105</v>
      </c>
      <c r="K173" s="467">
        <f>ControlSheet!L191</f>
        <v>105</v>
      </c>
      <c r="L173" s="467">
        <f>ControlSheet!M191</f>
        <v>105</v>
      </c>
      <c r="M173" s="467">
        <f>ControlSheet!N191</f>
        <v>102</v>
      </c>
      <c r="N173" s="467">
        <f>ControlSheet!O191</f>
        <v>102</v>
      </c>
      <c r="O173" s="467">
        <f>ControlSheet!P191</f>
        <v>102</v>
      </c>
      <c r="P173" s="467">
        <f>ControlSheet!Q191</f>
        <v>100</v>
      </c>
      <c r="Q173" s="467">
        <f>ControlSheet!R191</f>
        <v>100</v>
      </c>
      <c r="R173" s="467">
        <f>ControlSheet!S191</f>
        <v>100</v>
      </c>
      <c r="S173" s="467">
        <f>ControlSheet!T191</f>
        <v>100</v>
      </c>
    </row>
    <row r="174" spans="2:19" outlineLevel="1">
      <c r="J174" s="242"/>
      <c r="K174" s="242"/>
      <c r="L174" s="242"/>
      <c r="M174" s="242"/>
      <c r="N174" s="242"/>
      <c r="O174" s="242"/>
      <c r="P174" s="242"/>
      <c r="Q174" s="242"/>
      <c r="R174" s="242"/>
      <c r="S174" s="242"/>
    </row>
    <row r="175" spans="2:19" outlineLevel="1">
      <c r="B175" s="477" t="s">
        <v>635</v>
      </c>
      <c r="C175" s="164"/>
      <c r="D175" s="470"/>
      <c r="E175" s="470"/>
      <c r="F175" s="470"/>
      <c r="G175" s="470"/>
      <c r="H175" s="470"/>
      <c r="I175" s="470"/>
      <c r="J175" s="191"/>
      <c r="K175" s="191"/>
      <c r="L175" s="191"/>
      <c r="M175" s="191"/>
      <c r="N175" s="191"/>
      <c r="O175" s="191"/>
      <c r="P175" s="191"/>
      <c r="Q175" s="191"/>
      <c r="R175" s="191"/>
      <c r="S175" s="191"/>
    </row>
    <row r="176" spans="2:19" outlineLevel="1">
      <c r="B176" t="s">
        <v>635</v>
      </c>
      <c r="D176" s="230">
        <f>'Balance Sheet'!D71</f>
        <v>325</v>
      </c>
      <c r="E176" s="230">
        <f>'Balance Sheet'!E71</f>
        <v>340</v>
      </c>
      <c r="F176" s="230">
        <f>'Balance Sheet'!F71</f>
        <v>345</v>
      </c>
      <c r="G176" s="230">
        <f>'Balance Sheet'!G71</f>
        <v>473</v>
      </c>
      <c r="H176" s="230">
        <f>'Balance Sheet'!H71</f>
        <v>383</v>
      </c>
      <c r="I176" s="230">
        <f>'Balance Sheet'!I71</f>
        <v>379</v>
      </c>
      <c r="J176" s="242">
        <f>J177*J178</f>
        <v>493.89360000000011</v>
      </c>
      <c r="K176" s="242">
        <f t="shared" ref="K176:N176" si="201">K177*K178</f>
        <v>560.56923600000016</v>
      </c>
      <c r="L176" s="242">
        <f t="shared" si="201"/>
        <v>475.08242751</v>
      </c>
      <c r="M176" s="242">
        <f t="shared" si="201"/>
        <v>534.46773094875005</v>
      </c>
      <c r="N176" s="242">
        <f t="shared" si="201"/>
        <v>598.60385866260003</v>
      </c>
      <c r="O176" s="242">
        <f t="shared" ref="O176:S176" si="202">O177*O178</f>
        <v>560.93172249076724</v>
      </c>
      <c r="P176" s="242">
        <f t="shared" si="202"/>
        <v>625.74056692197155</v>
      </c>
      <c r="Q176" s="242">
        <f t="shared" si="202"/>
        <v>700.82943495260815</v>
      </c>
      <c r="R176" s="242">
        <f t="shared" si="202"/>
        <v>784.9289671469212</v>
      </c>
      <c r="S176" s="242">
        <f t="shared" si="202"/>
        <v>879.12044320455175</v>
      </c>
    </row>
    <row r="177" spans="2:19" outlineLevel="1">
      <c r="B177" t="s">
        <v>42</v>
      </c>
      <c r="D177" s="47">
        <f>'P&amp;l 25-24'!E6</f>
        <v>7315</v>
      </c>
      <c r="E177" s="47">
        <f>'P&amp;l 25-24'!F6</f>
        <v>8048</v>
      </c>
      <c r="F177" s="47">
        <f>'P&amp;l 25-24'!G6</f>
        <v>9512</v>
      </c>
      <c r="G177" s="47">
        <f>'P&amp;l 25-24'!H6</f>
        <v>9764</v>
      </c>
      <c r="H177" s="47">
        <f>'P&amp;l 25-24'!I6</f>
        <v>9653</v>
      </c>
      <c r="I177" s="47">
        <f>'P&amp;l 25-24'!J6</f>
        <v>10831</v>
      </c>
      <c r="J177" s="46">
        <f>J13</f>
        <v>12347.340000000002</v>
      </c>
      <c r="K177" s="46">
        <f>K13</f>
        <v>14014.230900000002</v>
      </c>
      <c r="L177" s="46">
        <f>L13</f>
        <v>15836.080917000001</v>
      </c>
      <c r="M177" s="46">
        <f>M13</f>
        <v>17815.591031625001</v>
      </c>
      <c r="N177" s="46">
        <f>N13</f>
        <v>19953.461955420004</v>
      </c>
      <c r="O177" s="46">
        <f t="shared" ref="O177:S177" si="203">O13</f>
        <v>22347.877390070407</v>
      </c>
      <c r="P177" s="46">
        <f t="shared" si="203"/>
        <v>25029.622676878858</v>
      </c>
      <c r="Q177" s="46">
        <f t="shared" si="203"/>
        <v>28033.177398104322</v>
      </c>
      <c r="R177" s="46">
        <f t="shared" si="203"/>
        <v>31397.158685876846</v>
      </c>
      <c r="S177" s="46">
        <f t="shared" si="203"/>
        <v>35164.817728182068</v>
      </c>
    </row>
    <row r="178" spans="2:19" outlineLevel="1">
      <c r="B178" s="15" t="s">
        <v>634</v>
      </c>
      <c r="C178" s="15"/>
      <c r="D178" s="29">
        <f>D176/D177</f>
        <v>4.4429254955570742E-2</v>
      </c>
      <c r="E178" s="29">
        <f t="shared" ref="E178:I178" si="204">E176/E177</f>
        <v>4.2246520874751489E-2</v>
      </c>
      <c r="F178" s="29">
        <f t="shared" si="204"/>
        <v>3.6269974768713208E-2</v>
      </c>
      <c r="G178" s="29">
        <f t="shared" si="204"/>
        <v>4.8443260958623516E-2</v>
      </c>
      <c r="H178" s="29">
        <f t="shared" si="204"/>
        <v>3.9676784419351498E-2</v>
      </c>
      <c r="I178" s="29">
        <f t="shared" si="204"/>
        <v>3.499215215584895E-2</v>
      </c>
      <c r="J178" s="449">
        <f>ControlSheet!K133</f>
        <v>0.04</v>
      </c>
      <c r="K178" s="449">
        <f>ControlSheet!L133</f>
        <v>0.04</v>
      </c>
      <c r="L178" s="449">
        <f>ControlSheet!M133</f>
        <v>0.03</v>
      </c>
      <c r="M178" s="449">
        <f>ControlSheet!N133</f>
        <v>0.03</v>
      </c>
      <c r="N178" s="449">
        <f>ControlSheet!O133</f>
        <v>0.03</v>
      </c>
      <c r="O178" s="449">
        <f>ControlSheet!P133</f>
        <v>2.5100000000000001E-2</v>
      </c>
      <c r="P178" s="449">
        <f>ControlSheet!Q133</f>
        <v>2.5000000000000001E-2</v>
      </c>
      <c r="Q178" s="449">
        <f>ControlSheet!R133</f>
        <v>2.5000000000000001E-2</v>
      </c>
      <c r="R178" s="449">
        <f>ControlSheet!S133</f>
        <v>2.5000000000000001E-2</v>
      </c>
      <c r="S178" s="449">
        <f>ControlSheet!T133</f>
        <v>2.5000000000000001E-2</v>
      </c>
    </row>
    <row r="179" spans="2:19" outlineLevel="1">
      <c r="B179" s="18"/>
      <c r="C179" s="18"/>
      <c r="D179" s="18"/>
      <c r="E179" s="282"/>
      <c r="F179" s="282"/>
      <c r="G179" s="282"/>
      <c r="H179" s="282"/>
      <c r="I179" s="282"/>
      <c r="J179" s="283"/>
      <c r="K179" s="283"/>
      <c r="L179" s="283"/>
      <c r="M179" s="283"/>
      <c r="N179" s="283"/>
      <c r="O179" s="283"/>
      <c r="P179" s="283"/>
      <c r="Q179" s="283"/>
      <c r="R179" s="283"/>
      <c r="S179" s="283"/>
    </row>
    <row r="180" spans="2:19" outlineLevel="1">
      <c r="B180" s="477" t="s">
        <v>692</v>
      </c>
      <c r="C180" s="164"/>
      <c r="D180" s="470"/>
      <c r="E180" s="470"/>
      <c r="F180" s="470"/>
      <c r="G180" s="470"/>
      <c r="H180" s="470"/>
      <c r="I180" s="470"/>
      <c r="J180" s="191"/>
      <c r="K180" s="191"/>
      <c r="L180" s="191"/>
      <c r="M180" s="191"/>
      <c r="N180" s="191"/>
      <c r="O180" s="191"/>
      <c r="P180" s="191"/>
      <c r="Q180" s="191"/>
      <c r="R180" s="191"/>
      <c r="S180" s="191"/>
    </row>
    <row r="181" spans="2:19" outlineLevel="1">
      <c r="B181" t="str">
        <f>B180</f>
        <v>Lease Liabilities</v>
      </c>
      <c r="D181" s="230">
        <f>'3 Statement Model'!D100</f>
        <v>0</v>
      </c>
      <c r="E181" s="230">
        <f>'3 Statement Model'!E100</f>
        <v>0</v>
      </c>
      <c r="F181" s="230">
        <f>'3 Statement Model'!F100</f>
        <v>43</v>
      </c>
      <c r="G181" s="230">
        <f>'3 Statement Model'!G100</f>
        <v>42</v>
      </c>
      <c r="H181" s="230">
        <f>'3 Statement Model'!H100</f>
        <v>41</v>
      </c>
      <c r="I181" s="230">
        <f>'3 Statement Model'!I100</f>
        <v>51</v>
      </c>
      <c r="J181">
        <f>I181*(1+J182)</f>
        <v>51</v>
      </c>
      <c r="K181">
        <f t="shared" ref="K181:N181" si="205">J181*(1+K182)</f>
        <v>51</v>
      </c>
      <c r="L181">
        <f t="shared" si="205"/>
        <v>51</v>
      </c>
      <c r="M181">
        <f t="shared" si="205"/>
        <v>51</v>
      </c>
      <c r="N181">
        <f t="shared" si="205"/>
        <v>51</v>
      </c>
      <c r="O181">
        <f t="shared" ref="O181" si="206">N181*(1+O182)</f>
        <v>51</v>
      </c>
      <c r="P181">
        <f t="shared" ref="P181" si="207">O181*(1+P182)</f>
        <v>51</v>
      </c>
      <c r="Q181">
        <f t="shared" ref="Q181" si="208">P181*(1+Q182)</f>
        <v>51</v>
      </c>
      <c r="R181">
        <f t="shared" ref="R181" si="209">Q181*(1+R182)</f>
        <v>51</v>
      </c>
      <c r="S181">
        <f t="shared" ref="S181" si="210">R181*(1+S182)</f>
        <v>51</v>
      </c>
    </row>
    <row r="182" spans="2:19" outlineLevel="1">
      <c r="B182" s="240" t="s">
        <v>632</v>
      </c>
      <c r="C182" s="240"/>
      <c r="D182" s="240"/>
      <c r="E182" s="492">
        <f>IF(D181=0, 0, (E181/D181)-1)</f>
        <v>0</v>
      </c>
      <c r="F182" s="492">
        <f>IF(E181=0, 0, (F181/E181)-1)</f>
        <v>0</v>
      </c>
      <c r="G182" s="492">
        <f t="shared" ref="G182:I182" si="211">G181/F181-1</f>
        <v>-2.3255813953488413E-2</v>
      </c>
      <c r="H182" s="492">
        <f t="shared" si="211"/>
        <v>-2.3809523809523836E-2</v>
      </c>
      <c r="I182" s="492">
        <f t="shared" si="211"/>
        <v>0.24390243902439024</v>
      </c>
      <c r="J182" s="493">
        <f>ControlSheet!K197</f>
        <v>0</v>
      </c>
      <c r="K182" s="493">
        <f>ControlSheet!L197</f>
        <v>0</v>
      </c>
      <c r="L182" s="493">
        <f>ControlSheet!M197</f>
        <v>0</v>
      </c>
      <c r="M182" s="493">
        <f>ControlSheet!N197</f>
        <v>0</v>
      </c>
      <c r="N182" s="493">
        <f>ControlSheet!O197</f>
        <v>0</v>
      </c>
      <c r="O182" s="493">
        <f>ControlSheet!P197</f>
        <v>0</v>
      </c>
      <c r="P182" s="493">
        <f>ControlSheet!Q197</f>
        <v>0</v>
      </c>
      <c r="Q182" s="493">
        <f>ControlSheet!R197</f>
        <v>0</v>
      </c>
      <c r="R182" s="493">
        <f>ControlSheet!S197</f>
        <v>0</v>
      </c>
      <c r="S182" s="493">
        <f>ControlSheet!T197</f>
        <v>0</v>
      </c>
    </row>
    <row r="183" spans="2:19" outlineLevel="1"/>
    <row r="184" spans="2:19" outlineLevel="1">
      <c r="B184" s="477" t="s">
        <v>697</v>
      </c>
      <c r="C184" s="164"/>
      <c r="D184" s="470"/>
      <c r="E184" s="470"/>
      <c r="F184" s="470"/>
      <c r="G184" s="470"/>
      <c r="H184" s="470"/>
      <c r="I184" s="470"/>
      <c r="J184" s="191"/>
      <c r="K184" s="191"/>
      <c r="L184" s="191"/>
      <c r="M184" s="191"/>
      <c r="N184" s="191"/>
      <c r="O184" s="191"/>
      <c r="P184" s="191"/>
      <c r="Q184" s="191"/>
      <c r="R184" s="191"/>
      <c r="S184" s="191"/>
    </row>
    <row r="185" spans="2:19" outlineLevel="1">
      <c r="B185" t="str">
        <f>B184</f>
        <v>Others Financial Liabilities - Short-term</v>
      </c>
      <c r="D185" s="230">
        <f>'3 Statement Model'!D101</f>
        <v>79</v>
      </c>
      <c r="E185" s="230">
        <f>'3 Statement Model'!E101</f>
        <v>82</v>
      </c>
      <c r="F185" s="230">
        <f>'3 Statement Model'!F101</f>
        <v>45</v>
      </c>
      <c r="G185" s="230">
        <f>'3 Statement Model'!G101</f>
        <v>40</v>
      </c>
      <c r="H185" s="230">
        <f>'3 Statement Model'!H101</f>
        <v>59</v>
      </c>
      <c r="I185" s="230">
        <f>'3 Statement Model'!I101</f>
        <v>231</v>
      </c>
      <c r="J185">
        <f>I185*(1+J186)</f>
        <v>231</v>
      </c>
      <c r="K185">
        <f t="shared" ref="K185" si="212">J185*(1+K186)</f>
        <v>231</v>
      </c>
      <c r="L185">
        <f t="shared" ref="L185" si="213">K185*(1+L186)</f>
        <v>231</v>
      </c>
      <c r="M185">
        <f t="shared" ref="M185" si="214">L185*(1+M186)</f>
        <v>231</v>
      </c>
      <c r="N185">
        <f t="shared" ref="N185" si="215">M185*(1+N186)</f>
        <v>231</v>
      </c>
      <c r="O185">
        <f t="shared" ref="O185" si="216">N185*(1+O186)</f>
        <v>231</v>
      </c>
      <c r="P185">
        <f t="shared" ref="P185" si="217">O185*(1+P186)</f>
        <v>231</v>
      </c>
      <c r="Q185">
        <f t="shared" ref="Q185" si="218">P185*(1+Q186)</f>
        <v>231</v>
      </c>
      <c r="R185">
        <f t="shared" ref="R185" si="219">Q185*(1+R186)</f>
        <v>231</v>
      </c>
      <c r="S185">
        <f t="shared" ref="S185" si="220">R185*(1+S186)</f>
        <v>231</v>
      </c>
    </row>
    <row r="186" spans="2:19" outlineLevel="1">
      <c r="B186" s="240" t="s">
        <v>632</v>
      </c>
      <c r="C186" s="240"/>
      <c r="D186" s="240"/>
      <c r="E186" s="492">
        <f>E185/D185-1</f>
        <v>3.7974683544303778E-2</v>
      </c>
      <c r="F186" s="492">
        <f t="shared" ref="F186" si="221">F185/E185-1</f>
        <v>-0.45121951219512191</v>
      </c>
      <c r="G186" s="492">
        <f t="shared" ref="G186" si="222">G185/F185-1</f>
        <v>-0.11111111111111116</v>
      </c>
      <c r="H186" s="492">
        <f t="shared" ref="H186" si="223">H185/G185-1</f>
        <v>0.47500000000000009</v>
      </c>
      <c r="I186" s="492">
        <f t="shared" ref="I186" si="224">I185/H185-1</f>
        <v>2.9152542372881354</v>
      </c>
      <c r="J186" s="493">
        <f>ControlSheet!K203</f>
        <v>0</v>
      </c>
      <c r="K186" s="493">
        <f>ControlSheet!L203</f>
        <v>0</v>
      </c>
      <c r="L186" s="493">
        <f>ControlSheet!M203</f>
        <v>0</v>
      </c>
      <c r="M186" s="493">
        <f>ControlSheet!N203</f>
        <v>0</v>
      </c>
      <c r="N186" s="493">
        <f>ControlSheet!O203</f>
        <v>0</v>
      </c>
      <c r="O186" s="493">
        <f>ControlSheet!P203</f>
        <v>0</v>
      </c>
      <c r="P186" s="493">
        <f>ControlSheet!Q203</f>
        <v>0</v>
      </c>
      <c r="Q186" s="493">
        <f>ControlSheet!R203</f>
        <v>0</v>
      </c>
      <c r="R186" s="493">
        <f>ControlSheet!S203</f>
        <v>0</v>
      </c>
      <c r="S186" s="493">
        <f>ControlSheet!T203</f>
        <v>0</v>
      </c>
    </row>
    <row r="187" spans="2:19" outlineLevel="1"/>
    <row r="188" spans="2:19" outlineLevel="1">
      <c r="B188" s="477" t="s">
        <v>14</v>
      </c>
      <c r="C188" s="164"/>
      <c r="D188" s="470"/>
      <c r="E188" s="470"/>
      <c r="F188" s="470"/>
      <c r="G188" s="470"/>
      <c r="H188" s="470"/>
      <c r="I188" s="470"/>
      <c r="J188" s="191"/>
      <c r="K188" s="191"/>
      <c r="L188" s="191"/>
      <c r="M188" s="191"/>
      <c r="N188" s="191"/>
      <c r="O188" s="191"/>
      <c r="P188" s="191"/>
      <c r="Q188" s="191"/>
      <c r="R188" s="191"/>
      <c r="S188" s="191"/>
    </row>
    <row r="189" spans="2:19" outlineLevel="1">
      <c r="B189" t="str">
        <f>B188</f>
        <v>Other Current Liabilities</v>
      </c>
      <c r="D189" s="230">
        <f>'3 Statement Model'!D102</f>
        <v>217</v>
      </c>
      <c r="E189" s="230">
        <f>'3 Statement Model'!E102</f>
        <v>287</v>
      </c>
      <c r="F189" s="230">
        <f>'3 Statement Model'!F102</f>
        <v>224</v>
      </c>
      <c r="G189" s="230">
        <f>'3 Statement Model'!G102</f>
        <v>217</v>
      </c>
      <c r="H189" s="230">
        <f>'3 Statement Model'!H102</f>
        <v>211</v>
      </c>
      <c r="I189" s="230">
        <f>'3 Statement Model'!I102</f>
        <v>232</v>
      </c>
      <c r="J189">
        <f>I189*(1+J190)</f>
        <v>232</v>
      </c>
      <c r="K189">
        <f t="shared" ref="K189" si="225">J189*(1+K190)</f>
        <v>232</v>
      </c>
      <c r="L189">
        <f t="shared" ref="L189" si="226">K189*(1+L190)</f>
        <v>232</v>
      </c>
      <c r="M189">
        <f t="shared" ref="M189" si="227">L189*(1+M190)</f>
        <v>232</v>
      </c>
      <c r="N189">
        <f t="shared" ref="N189" si="228">M189*(1+N190)</f>
        <v>232</v>
      </c>
      <c r="O189">
        <f t="shared" ref="O189" si="229">N189*(1+O190)</f>
        <v>232</v>
      </c>
      <c r="P189">
        <f t="shared" ref="P189" si="230">O189*(1+P190)</f>
        <v>232</v>
      </c>
      <c r="Q189">
        <f t="shared" ref="Q189" si="231">P189*(1+Q190)</f>
        <v>232</v>
      </c>
      <c r="R189">
        <f t="shared" ref="R189" si="232">Q189*(1+R190)</f>
        <v>232</v>
      </c>
      <c r="S189">
        <f t="shared" ref="S189" si="233">R189*(1+S190)</f>
        <v>232</v>
      </c>
    </row>
    <row r="190" spans="2:19" outlineLevel="1">
      <c r="B190" s="240" t="s">
        <v>632</v>
      </c>
      <c r="C190" s="240"/>
      <c r="D190" s="240"/>
      <c r="E190" s="492">
        <f>E189/D189-1</f>
        <v>0.32258064516129026</v>
      </c>
      <c r="F190" s="492">
        <f t="shared" ref="F190" si="234">F189/E189-1</f>
        <v>-0.21951219512195119</v>
      </c>
      <c r="G190" s="492">
        <f t="shared" ref="G190" si="235">G189/F189-1</f>
        <v>-3.125E-2</v>
      </c>
      <c r="H190" s="492">
        <f t="shared" ref="H190" si="236">H189/G189-1</f>
        <v>-2.7649769585253448E-2</v>
      </c>
      <c r="I190" s="492">
        <f t="shared" ref="I190" si="237">I189/H189-1</f>
        <v>9.9526066350710929E-2</v>
      </c>
      <c r="J190" s="493">
        <f>ControlSheet!K209</f>
        <v>0</v>
      </c>
      <c r="K190" s="493">
        <f>ControlSheet!L209</f>
        <v>0</v>
      </c>
      <c r="L190" s="493">
        <f>ControlSheet!M209</f>
        <v>0</v>
      </c>
      <c r="M190" s="493">
        <f>ControlSheet!N209</f>
        <v>0</v>
      </c>
      <c r="N190" s="493">
        <f>ControlSheet!O209</f>
        <v>0</v>
      </c>
      <c r="O190" s="493">
        <f>ControlSheet!P209</f>
        <v>0</v>
      </c>
      <c r="P190" s="493">
        <f>ControlSheet!Q209</f>
        <v>0</v>
      </c>
      <c r="Q190" s="493">
        <f>ControlSheet!R209</f>
        <v>0</v>
      </c>
      <c r="R190" s="493">
        <f>ControlSheet!S209</f>
        <v>0</v>
      </c>
      <c r="S190" s="493">
        <f>ControlSheet!T209</f>
        <v>0</v>
      </c>
    </row>
    <row r="191" spans="2:19" outlineLevel="1"/>
    <row r="192" spans="2:19" outlineLevel="1">
      <c r="B192" s="477" t="s">
        <v>220</v>
      </c>
      <c r="C192" s="164"/>
      <c r="D192" s="470"/>
      <c r="E192" s="470"/>
      <c r="F192" s="470"/>
      <c r="G192" s="470"/>
      <c r="H192" s="470"/>
      <c r="I192" s="470"/>
      <c r="J192" s="191"/>
      <c r="K192" s="191"/>
      <c r="L192" s="191"/>
      <c r="M192" s="191"/>
      <c r="N192" s="191"/>
      <c r="O192" s="191"/>
      <c r="P192" s="191"/>
      <c r="Q192" s="191"/>
      <c r="R192" s="191"/>
      <c r="S192" s="191"/>
    </row>
    <row r="193" spans="2:19" outlineLevel="1">
      <c r="B193" t="str">
        <f>B192</f>
        <v>Provisions</v>
      </c>
      <c r="D193" s="230">
        <f>'3 Statement Model'!D103</f>
        <v>58</v>
      </c>
      <c r="E193" s="230">
        <f>'3 Statement Model'!E103</f>
        <v>20</v>
      </c>
      <c r="F193" s="230">
        <f>'3 Statement Model'!F103</f>
        <v>21</v>
      </c>
      <c r="G193" s="230">
        <f>'3 Statement Model'!G103</f>
        <v>44</v>
      </c>
      <c r="H193" s="230">
        <f>'3 Statement Model'!H103</f>
        <v>7</v>
      </c>
      <c r="I193" s="230">
        <f>'3 Statement Model'!I103</f>
        <v>21</v>
      </c>
      <c r="J193">
        <f>I193*(1+J194)</f>
        <v>21</v>
      </c>
      <c r="K193">
        <f t="shared" ref="K193" si="238">J193*(1+K194)</f>
        <v>21</v>
      </c>
      <c r="L193">
        <f t="shared" ref="L193" si="239">K193*(1+L194)</f>
        <v>21</v>
      </c>
      <c r="M193">
        <f t="shared" ref="M193" si="240">L193*(1+M194)</f>
        <v>21</v>
      </c>
      <c r="N193">
        <f t="shared" ref="N193" si="241">M193*(1+N194)</f>
        <v>21</v>
      </c>
      <c r="O193">
        <f t="shared" ref="O193" si="242">N193*(1+O194)</f>
        <v>21</v>
      </c>
      <c r="P193">
        <f t="shared" ref="P193" si="243">O193*(1+P194)</f>
        <v>21</v>
      </c>
      <c r="Q193">
        <f t="shared" ref="Q193" si="244">P193*(1+Q194)</f>
        <v>21</v>
      </c>
      <c r="R193">
        <f t="shared" ref="R193" si="245">Q193*(1+R194)</f>
        <v>21</v>
      </c>
      <c r="S193">
        <f t="shared" ref="S193" si="246">R193*(1+S194)</f>
        <v>21</v>
      </c>
    </row>
    <row r="194" spans="2:19" outlineLevel="1">
      <c r="B194" s="240" t="s">
        <v>632</v>
      </c>
      <c r="C194" s="240"/>
      <c r="D194" s="240"/>
      <c r="E194" s="492">
        <f>E193/D193-1</f>
        <v>-0.65517241379310343</v>
      </c>
      <c r="F194" s="492">
        <f t="shared" ref="F194" si="247">F193/E193-1</f>
        <v>5.0000000000000044E-2</v>
      </c>
      <c r="G194" s="492">
        <f t="shared" ref="G194" si="248">G193/F193-1</f>
        <v>1.0952380952380953</v>
      </c>
      <c r="H194" s="492">
        <f t="shared" ref="H194" si="249">H193/G193-1</f>
        <v>-0.84090909090909094</v>
      </c>
      <c r="I194" s="492">
        <f t="shared" ref="I194" si="250">I193/H193-1</f>
        <v>2</v>
      </c>
      <c r="J194" s="493">
        <f>ControlSheet!K215</f>
        <v>0</v>
      </c>
      <c r="K194" s="493">
        <f>ControlSheet!L215</f>
        <v>0</v>
      </c>
      <c r="L194" s="493">
        <f>ControlSheet!M215</f>
        <v>0</v>
      </c>
      <c r="M194" s="493">
        <f>ControlSheet!N215</f>
        <v>0</v>
      </c>
      <c r="N194" s="493">
        <f>ControlSheet!O215</f>
        <v>0</v>
      </c>
      <c r="O194" s="493">
        <f>ControlSheet!P215</f>
        <v>0</v>
      </c>
      <c r="P194" s="493">
        <f>ControlSheet!Q215</f>
        <v>0</v>
      </c>
      <c r="Q194" s="493">
        <f>ControlSheet!R215</f>
        <v>0</v>
      </c>
      <c r="R194" s="493">
        <f>ControlSheet!S215</f>
        <v>0</v>
      </c>
      <c r="S194" s="493">
        <f>ControlSheet!T215</f>
        <v>0</v>
      </c>
    </row>
    <row r="195" spans="2:19" outlineLevel="1"/>
    <row r="196" spans="2:19" outlineLevel="1">
      <c r="B196" s="477" t="s">
        <v>221</v>
      </c>
      <c r="C196" s="164"/>
      <c r="D196" s="470"/>
      <c r="E196" s="470"/>
      <c r="F196" s="470"/>
      <c r="G196" s="470"/>
      <c r="H196" s="470"/>
      <c r="I196" s="470"/>
      <c r="J196" s="191"/>
      <c r="K196" s="191"/>
      <c r="L196" s="191"/>
      <c r="M196" s="191"/>
      <c r="N196" s="191"/>
      <c r="O196" s="191"/>
      <c r="P196" s="191"/>
      <c r="Q196" s="191"/>
      <c r="R196" s="191"/>
      <c r="S196" s="191"/>
    </row>
    <row r="197" spans="2:19" outlineLevel="1">
      <c r="B197" t="str">
        <f>B196</f>
        <v>Employee benefit obligations (net)</v>
      </c>
      <c r="D197" s="230">
        <f>'3 Statement Model'!D104</f>
        <v>54</v>
      </c>
      <c r="E197" s="230">
        <f>'3 Statement Model'!E104</f>
        <v>78</v>
      </c>
      <c r="F197" s="230">
        <f>'3 Statement Model'!F104</f>
        <v>64</v>
      </c>
      <c r="G197" s="230">
        <f>'3 Statement Model'!G104</f>
        <v>74</v>
      </c>
      <c r="H197" s="230">
        <f>'3 Statement Model'!H104</f>
        <v>79</v>
      </c>
      <c r="I197" s="230">
        <f>'3 Statement Model'!I104</f>
        <v>92</v>
      </c>
      <c r="J197">
        <f>I197*(1+J198)</f>
        <v>92</v>
      </c>
      <c r="K197">
        <f t="shared" ref="K197" si="251">J197*(1+K198)</f>
        <v>92</v>
      </c>
      <c r="L197">
        <f t="shared" ref="L197" si="252">K197*(1+L198)</f>
        <v>92</v>
      </c>
      <c r="M197">
        <f t="shared" ref="M197" si="253">L197*(1+M198)</f>
        <v>92</v>
      </c>
      <c r="N197">
        <f t="shared" ref="N197" si="254">M197*(1+N198)</f>
        <v>92</v>
      </c>
      <c r="O197">
        <f t="shared" ref="O197" si="255">N197*(1+O198)</f>
        <v>92</v>
      </c>
      <c r="P197">
        <f t="shared" ref="P197" si="256">O197*(1+P198)</f>
        <v>92</v>
      </c>
      <c r="Q197">
        <f t="shared" ref="Q197" si="257">P197*(1+Q198)</f>
        <v>92</v>
      </c>
      <c r="R197">
        <f t="shared" ref="R197" si="258">Q197*(1+R198)</f>
        <v>92</v>
      </c>
      <c r="S197">
        <f t="shared" ref="S197" si="259">R197*(1+S198)</f>
        <v>92</v>
      </c>
    </row>
    <row r="198" spans="2:19" outlineLevel="1">
      <c r="B198" s="240" t="s">
        <v>632</v>
      </c>
      <c r="C198" s="240"/>
      <c r="D198" s="240"/>
      <c r="E198" s="492">
        <f>E197/D197-1</f>
        <v>0.44444444444444442</v>
      </c>
      <c r="F198" s="492">
        <f t="shared" ref="F198" si="260">F197/E197-1</f>
        <v>-0.17948717948717952</v>
      </c>
      <c r="G198" s="492">
        <f t="shared" ref="G198" si="261">G197/F197-1</f>
        <v>0.15625</v>
      </c>
      <c r="H198" s="492">
        <f t="shared" ref="H198" si="262">H197/G197-1</f>
        <v>6.7567567567567544E-2</v>
      </c>
      <c r="I198" s="492">
        <f t="shared" ref="I198" si="263">I197/H197-1</f>
        <v>0.16455696202531644</v>
      </c>
      <c r="J198" s="493">
        <f>ControlSheet!K221</f>
        <v>0</v>
      </c>
      <c r="K198" s="493">
        <f>ControlSheet!L221</f>
        <v>0</v>
      </c>
      <c r="L198" s="493">
        <f>ControlSheet!M221</f>
        <v>0</v>
      </c>
      <c r="M198" s="493">
        <f>ControlSheet!N221</f>
        <v>0</v>
      </c>
      <c r="N198" s="493">
        <f>ControlSheet!O221</f>
        <v>0</v>
      </c>
      <c r="O198" s="493">
        <f>ControlSheet!P221</f>
        <v>0</v>
      </c>
      <c r="P198" s="493">
        <f>ControlSheet!Q221</f>
        <v>0</v>
      </c>
      <c r="Q198" s="493">
        <f>ControlSheet!R221</f>
        <v>0</v>
      </c>
      <c r="R198" s="493">
        <f>ControlSheet!S221</f>
        <v>0</v>
      </c>
      <c r="S198" s="493">
        <f>ControlSheet!T221</f>
        <v>0</v>
      </c>
    </row>
    <row r="199" spans="2:19" outlineLevel="1"/>
    <row r="200" spans="2:19" outlineLevel="1">
      <c r="B200" s="477" t="s">
        <v>698</v>
      </c>
      <c r="C200" s="164"/>
      <c r="D200" s="470"/>
      <c r="E200" s="470"/>
      <c r="F200" s="470"/>
      <c r="G200" s="470"/>
      <c r="H200" s="470"/>
      <c r="I200" s="470"/>
      <c r="J200" s="191"/>
      <c r="K200" s="191"/>
      <c r="L200" s="191"/>
      <c r="M200" s="191"/>
      <c r="N200" s="191"/>
      <c r="O200" s="191"/>
      <c r="P200" s="191"/>
      <c r="Q200" s="191"/>
      <c r="R200" s="191"/>
      <c r="S200" s="191"/>
    </row>
    <row r="201" spans="2:19" outlineLevel="1">
      <c r="B201" t="str">
        <f>B200</f>
        <v>Current Tax Liabilities - Short-term</v>
      </c>
      <c r="D201" s="230">
        <f>'3 Statement Model'!D105</f>
        <v>74</v>
      </c>
      <c r="E201" s="230">
        <f>'3 Statement Model'!E105</f>
        <v>72</v>
      </c>
      <c r="F201" s="230">
        <f>'3 Statement Model'!F105</f>
        <v>67</v>
      </c>
      <c r="G201" s="230">
        <f>'3 Statement Model'!G105</f>
        <v>87</v>
      </c>
      <c r="H201" s="230">
        <f>'3 Statement Model'!H105</f>
        <v>83</v>
      </c>
      <c r="I201" s="230">
        <f>'3 Statement Model'!I105</f>
        <v>92</v>
      </c>
      <c r="J201">
        <f>I201*(1+J202)</f>
        <v>92</v>
      </c>
      <c r="K201">
        <f t="shared" ref="K201" si="264">J201*(1+K202)</f>
        <v>92</v>
      </c>
      <c r="L201">
        <f t="shared" ref="L201" si="265">K201*(1+L202)</f>
        <v>92</v>
      </c>
      <c r="M201">
        <f t="shared" ref="M201" si="266">L201*(1+M202)</f>
        <v>92</v>
      </c>
      <c r="N201">
        <f t="shared" ref="N201" si="267">M201*(1+N202)</f>
        <v>92</v>
      </c>
      <c r="O201">
        <f t="shared" ref="O201" si="268">N201*(1+O202)</f>
        <v>92</v>
      </c>
      <c r="P201">
        <f t="shared" ref="P201" si="269">O201*(1+P202)</f>
        <v>92</v>
      </c>
      <c r="Q201">
        <f t="shared" ref="Q201" si="270">P201*(1+Q202)</f>
        <v>92</v>
      </c>
      <c r="R201">
        <f t="shared" ref="R201" si="271">Q201*(1+R202)</f>
        <v>92</v>
      </c>
      <c r="S201">
        <f t="shared" ref="S201" si="272">R201*(1+S202)</f>
        <v>92</v>
      </c>
    </row>
    <row r="202" spans="2:19" outlineLevel="1">
      <c r="B202" s="240" t="s">
        <v>632</v>
      </c>
      <c r="C202" s="240"/>
      <c r="D202" s="240"/>
      <c r="E202" s="492">
        <f>E201/D201-1</f>
        <v>-2.7027027027026973E-2</v>
      </c>
      <c r="F202" s="492">
        <f t="shared" ref="F202" si="273">F201/E201-1</f>
        <v>-6.944444444444442E-2</v>
      </c>
      <c r="G202" s="492">
        <f t="shared" ref="G202" si="274">G201/F201-1</f>
        <v>0.29850746268656714</v>
      </c>
      <c r="H202" s="492">
        <f t="shared" ref="H202" si="275">H201/G201-1</f>
        <v>-4.5977011494252928E-2</v>
      </c>
      <c r="I202" s="492">
        <f t="shared" ref="I202" si="276">I201/H201-1</f>
        <v>0.10843373493975905</v>
      </c>
      <c r="J202" s="493">
        <f>ControlSheet!K227</f>
        <v>0</v>
      </c>
      <c r="K202" s="493">
        <f>ControlSheet!L227</f>
        <v>0</v>
      </c>
      <c r="L202" s="493">
        <f>ControlSheet!M227</f>
        <v>0</v>
      </c>
      <c r="M202" s="493">
        <f>ControlSheet!N227</f>
        <v>0</v>
      </c>
      <c r="N202" s="493">
        <f>ControlSheet!O227</f>
        <v>0</v>
      </c>
      <c r="O202" s="493">
        <f>ControlSheet!P227</f>
        <v>0</v>
      </c>
      <c r="P202" s="493">
        <f>ControlSheet!Q227</f>
        <v>0</v>
      </c>
      <c r="Q202" s="493">
        <f>ControlSheet!R227</f>
        <v>0</v>
      </c>
      <c r="R202" s="493">
        <f>ControlSheet!S227</f>
        <v>0</v>
      </c>
      <c r="S202" s="493">
        <f>ControlSheet!T227</f>
        <v>0</v>
      </c>
    </row>
    <row r="203" spans="2:19" outlineLevel="1">
      <c r="B203" s="136"/>
      <c r="C203" s="136"/>
      <c r="D203" s="136"/>
      <c r="E203" s="252"/>
      <c r="F203" s="252"/>
      <c r="G203" s="252"/>
      <c r="H203" s="252"/>
      <c r="I203" s="252"/>
      <c r="J203" s="479"/>
      <c r="K203" s="479"/>
      <c r="L203" s="479"/>
      <c r="M203" s="479"/>
      <c r="N203" s="479"/>
      <c r="O203" s="479"/>
      <c r="P203" s="479"/>
      <c r="Q203" s="479"/>
      <c r="R203" s="479"/>
      <c r="S203" s="479"/>
    </row>
    <row r="204" spans="2:19" outlineLevel="1">
      <c r="B204" s="477" t="s">
        <v>774</v>
      </c>
      <c r="C204" s="164"/>
      <c r="D204" s="470"/>
      <c r="E204" s="470"/>
      <c r="F204" s="470"/>
      <c r="G204" s="470"/>
      <c r="H204" s="470"/>
      <c r="I204" s="470"/>
      <c r="J204" s="191"/>
      <c r="K204" s="191"/>
      <c r="L204" s="191"/>
      <c r="M204" s="191"/>
      <c r="N204" s="191"/>
      <c r="O204" s="191"/>
      <c r="P204" s="191"/>
      <c r="Q204" s="191"/>
      <c r="R204" s="191"/>
      <c r="S204" s="191"/>
    </row>
    <row r="205" spans="2:19" outlineLevel="1">
      <c r="B205" t="str">
        <f>B204</f>
        <v xml:space="preserve">Bank Balance </v>
      </c>
      <c r="D205" s="230">
        <f>'Balance Sheet'!D38</f>
        <v>186</v>
      </c>
      <c r="E205" s="230">
        <f>'Balance Sheet'!E38</f>
        <v>835</v>
      </c>
      <c r="F205" s="230">
        <f>'Balance Sheet'!F38</f>
        <v>303</v>
      </c>
      <c r="G205" s="230">
        <f>'Balance Sheet'!G38</f>
        <v>549</v>
      </c>
      <c r="H205" s="230">
        <f>'Balance Sheet'!H38</f>
        <v>715</v>
      </c>
      <c r="I205" s="230">
        <f>'Balance Sheet'!I38</f>
        <v>456</v>
      </c>
      <c r="J205">
        <f>I205*(1+J206)</f>
        <v>456</v>
      </c>
      <c r="K205">
        <f t="shared" ref="K205:N205" si="277">J205*(1+K206)</f>
        <v>456</v>
      </c>
      <c r="L205">
        <f t="shared" si="277"/>
        <v>456</v>
      </c>
      <c r="M205">
        <f t="shared" si="277"/>
        <v>456</v>
      </c>
      <c r="N205">
        <f t="shared" si="277"/>
        <v>456</v>
      </c>
      <c r="O205">
        <f t="shared" ref="O205" si="278">N205*(1+O206)</f>
        <v>456</v>
      </c>
      <c r="P205">
        <f t="shared" ref="P205" si="279">O205*(1+P206)</f>
        <v>456</v>
      </c>
      <c r="Q205">
        <f t="shared" ref="Q205" si="280">P205*(1+Q206)</f>
        <v>456</v>
      </c>
      <c r="R205">
        <f t="shared" ref="R205" si="281">Q205*(1+R206)</f>
        <v>456</v>
      </c>
      <c r="S205">
        <f t="shared" ref="S205" si="282">R205*(1+S206)</f>
        <v>456</v>
      </c>
    </row>
    <row r="206" spans="2:19" outlineLevel="1">
      <c r="B206" s="240" t="s">
        <v>632</v>
      </c>
      <c r="C206" s="240"/>
      <c r="D206" s="240"/>
      <c r="E206" s="492">
        <f>E205/D205-1</f>
        <v>3.489247311827957</v>
      </c>
      <c r="F206" s="492">
        <f t="shared" ref="F206:I206" si="283">F205/E205-1</f>
        <v>-0.63712574850299397</v>
      </c>
      <c r="G206" s="492">
        <f t="shared" si="283"/>
        <v>0.81188118811881194</v>
      </c>
      <c r="H206" s="492">
        <f t="shared" si="283"/>
        <v>0.30236794171220405</v>
      </c>
      <c r="I206" s="492">
        <f t="shared" si="283"/>
        <v>-0.36223776223776227</v>
      </c>
      <c r="J206" s="493">
        <f>ControlSheet!K233</f>
        <v>0</v>
      </c>
      <c r="K206" s="493">
        <f>ControlSheet!L233</f>
        <v>0</v>
      </c>
      <c r="L206" s="493">
        <f>ControlSheet!M233</f>
        <v>0</v>
      </c>
      <c r="M206" s="493">
        <f>ControlSheet!N233</f>
        <v>0</v>
      </c>
      <c r="N206" s="493">
        <f>ControlSheet!O233</f>
        <v>0</v>
      </c>
      <c r="O206" s="493">
        <f>ControlSheet!P233</f>
        <v>0</v>
      </c>
      <c r="P206" s="493">
        <f>ControlSheet!Q233</f>
        <v>0</v>
      </c>
      <c r="Q206" s="493">
        <f>ControlSheet!R233</f>
        <v>0</v>
      </c>
      <c r="R206" s="493">
        <f>ControlSheet!S233</f>
        <v>0</v>
      </c>
      <c r="S206" s="493">
        <f>ControlSheet!T233</f>
        <v>0</v>
      </c>
    </row>
    <row r="207" spans="2:19" outlineLevel="1"/>
    <row r="208" spans="2:19" outlineLevel="1">
      <c r="B208" s="477" t="s">
        <v>82</v>
      </c>
      <c r="C208" s="164"/>
      <c r="D208" s="470"/>
      <c r="E208" s="470"/>
      <c r="F208" s="470"/>
      <c r="G208" s="470"/>
      <c r="H208" s="470"/>
      <c r="I208" s="470"/>
      <c r="J208" s="191"/>
      <c r="K208" s="191"/>
      <c r="L208" s="191"/>
      <c r="M208" s="191"/>
      <c r="N208" s="191"/>
      <c r="O208" s="191"/>
      <c r="P208" s="191"/>
      <c r="Q208" s="191"/>
      <c r="R208" s="191"/>
      <c r="S208" s="191"/>
    </row>
    <row r="209" spans="2:19" outlineLevel="1">
      <c r="B209" s="18"/>
      <c r="C209" s="18"/>
      <c r="D209" s="18"/>
      <c r="E209" s="18"/>
      <c r="F209" s="18"/>
      <c r="G209" s="18"/>
      <c r="H209" s="18"/>
      <c r="I209" s="70"/>
      <c r="J209" s="70"/>
      <c r="K209" s="70"/>
      <c r="L209" s="70"/>
      <c r="M209" s="70"/>
      <c r="N209" s="70"/>
      <c r="O209" s="70"/>
      <c r="P209" s="70"/>
      <c r="Q209" s="70"/>
      <c r="R209" s="70"/>
      <c r="S209" s="70"/>
    </row>
    <row r="210" spans="2:19" outlineLevel="1">
      <c r="B210" t="s">
        <v>83</v>
      </c>
      <c r="I210" s="71"/>
      <c r="J210" s="203">
        <f>J161-I161</f>
        <v>354.93145205479482</v>
      </c>
      <c r="K210" s="203">
        <f>K161-J161</f>
        <v>214.64074602739743</v>
      </c>
      <c r="L210" s="203">
        <f>L161-K161</f>
        <v>191.20786269041059</v>
      </c>
      <c r="M210" s="203">
        <f>M161-L161</f>
        <v>249.4725075965755</v>
      </c>
      <c r="N210" s="203">
        <f>N161-M161</f>
        <v>269.43030820430158</v>
      </c>
      <c r="O210" s="203">
        <f t="shared" ref="O210:S210" si="284">O161-N161</f>
        <v>179.30782250350057</v>
      </c>
      <c r="P210" s="203">
        <f t="shared" si="284"/>
        <v>323.27888388923793</v>
      </c>
      <c r="Q210" s="203">
        <f t="shared" si="284"/>
        <v>208.46589845948438</v>
      </c>
      <c r="R210" s="203">
        <f t="shared" si="284"/>
        <v>215.04903209504755</v>
      </c>
      <c r="S210" s="203">
        <f t="shared" si="284"/>
        <v>412.89414162248977</v>
      </c>
    </row>
    <row r="211" spans="2:19" outlineLevel="1">
      <c r="B211" t="s">
        <v>84</v>
      </c>
      <c r="I211" s="71"/>
      <c r="J211" s="203">
        <f>J155-I155</f>
        <v>251.27479452054831</v>
      </c>
      <c r="K211" s="203">
        <f>K155-J155</f>
        <v>205.50709726027412</v>
      </c>
      <c r="L211" s="203">
        <f>L155-K155</f>
        <v>94.452076750684455</v>
      </c>
      <c r="M211" s="203">
        <f>M155-L155</f>
        <v>227.77924606643819</v>
      </c>
      <c r="N211" s="203">
        <f>N155-M155</f>
        <v>246.00158575175419</v>
      </c>
      <c r="O211" s="203">
        <f t="shared" ref="O211:S211" si="285">O155-N155</f>
        <v>153.06765335664659</v>
      </c>
      <c r="P211" s="203">
        <f t="shared" si="285"/>
        <v>293.88989444476147</v>
      </c>
      <c r="Q211" s="203">
        <f t="shared" si="285"/>
        <v>252.35345602990219</v>
      </c>
      <c r="R211" s="203">
        <f t="shared" si="285"/>
        <v>393.84694163692939</v>
      </c>
      <c r="S211" s="203">
        <f t="shared" si="285"/>
        <v>368.16394294672045</v>
      </c>
    </row>
    <row r="212" spans="2:19" outlineLevel="1">
      <c r="B212" t="s">
        <v>85</v>
      </c>
      <c r="I212" s="71"/>
      <c r="J212" s="203">
        <f>J167-I167</f>
        <v>-71.372399999999516</v>
      </c>
      <c r="K212" s="203">
        <f>K167-J167</f>
        <v>233.36472600000002</v>
      </c>
      <c r="L212" s="203">
        <f>L167-K167</f>
        <v>96.698193209999772</v>
      </c>
      <c r="M212" s="203">
        <f>M167-L167</f>
        <v>79.180404584999906</v>
      </c>
      <c r="N212" s="203">
        <f>N167-M167</f>
        <v>57.009891301200241</v>
      </c>
      <c r="O212" s="203">
        <f t="shared" ref="O212:S212" si="286">O167-N167</f>
        <v>263.38569781154456</v>
      </c>
      <c r="P212" s="203">
        <f t="shared" si="286"/>
        <v>44.695754780141215</v>
      </c>
      <c r="Q212" s="203">
        <f t="shared" si="286"/>
        <v>300.35547212254642</v>
      </c>
      <c r="R212" s="203">
        <f t="shared" si="286"/>
        <v>336.39812877725217</v>
      </c>
      <c r="S212" s="203">
        <f t="shared" si="286"/>
        <v>376.76590423052221</v>
      </c>
    </row>
    <row r="213" spans="2:19" outlineLevel="1">
      <c r="B213" s="20" t="s">
        <v>741</v>
      </c>
      <c r="C213" s="20"/>
      <c r="D213" s="20"/>
      <c r="E213" s="20"/>
      <c r="F213" s="20"/>
      <c r="G213" s="20"/>
      <c r="H213" s="20"/>
      <c r="I213" s="72"/>
      <c r="J213" s="464">
        <f>SUM(J210:J212)</f>
        <v>534.83384657534361</v>
      </c>
      <c r="K213" s="464">
        <f>SUM(K210:K212)</f>
        <v>653.51256928767157</v>
      </c>
      <c r="L213" s="464">
        <f>SUM(L210:L212)</f>
        <v>382.35813265109482</v>
      </c>
      <c r="M213" s="464">
        <f>SUM(M210:M212)</f>
        <v>556.43215824801359</v>
      </c>
      <c r="N213" s="464">
        <f>SUM(N210:N212)</f>
        <v>572.44178525725602</v>
      </c>
      <c r="O213" s="464">
        <f t="shared" ref="O213:S213" si="287">SUM(O210:O212)</f>
        <v>595.76117367169172</v>
      </c>
      <c r="P213" s="464">
        <f t="shared" si="287"/>
        <v>661.86453311414061</v>
      </c>
      <c r="Q213" s="464">
        <f t="shared" si="287"/>
        <v>761.17482661193299</v>
      </c>
      <c r="R213" s="464">
        <f t="shared" si="287"/>
        <v>945.29410250922911</v>
      </c>
      <c r="S213" s="464">
        <f t="shared" si="287"/>
        <v>1157.8239887997324</v>
      </c>
    </row>
    <row r="214" spans="2:19" outlineLevel="1">
      <c r="I214" s="71"/>
      <c r="J214" s="242"/>
      <c r="K214" s="242"/>
      <c r="L214" s="242"/>
      <c r="M214" s="242"/>
      <c r="N214" s="242"/>
      <c r="O214" s="242"/>
      <c r="P214" s="242"/>
      <c r="Q214" s="242"/>
      <c r="R214" s="242"/>
      <c r="S214" s="242"/>
    </row>
    <row r="215" spans="2:19" outlineLevel="1">
      <c r="B215" t="s">
        <v>630</v>
      </c>
      <c r="G215" s="30"/>
      <c r="H215" s="30"/>
      <c r="I215" s="30"/>
      <c r="J215" s="203">
        <f>J172-I172</f>
        <v>186.97260273972597</v>
      </c>
      <c r="K215" s="203">
        <f>K172-J172</f>
        <v>297.05414794520607</v>
      </c>
      <c r="L215" s="203">
        <f>L172-K172</f>
        <v>249.3486113424658</v>
      </c>
      <c r="M215" s="203">
        <f>M172-L172</f>
        <v>204.84582108953418</v>
      </c>
      <c r="N215" s="203">
        <f>N172-M172</f>
        <v>188.0805774662872</v>
      </c>
      <c r="O215" s="203">
        <f t="shared" ref="O215:S215" si="288">O172-N172</f>
        <v>298.71621126998707</v>
      </c>
      <c r="P215" s="203">
        <f t="shared" si="288"/>
        <v>273.33509527972637</v>
      </c>
      <c r="Q215" s="203">
        <f t="shared" si="288"/>
        <v>367.36236805595172</v>
      </c>
      <c r="R215" s="203">
        <f t="shared" si="288"/>
        <v>411.44585222266642</v>
      </c>
      <c r="S215" s="203">
        <f t="shared" si="288"/>
        <v>460.81935448938748</v>
      </c>
    </row>
    <row r="216" spans="2:19" outlineLevel="1">
      <c r="B216" t="s">
        <v>734</v>
      </c>
      <c r="G216" s="30"/>
      <c r="H216" s="30"/>
      <c r="I216" s="30"/>
      <c r="J216" s="203">
        <f>J176-I176</f>
        <v>114.89360000000011</v>
      </c>
      <c r="K216" s="203">
        <f>K176-J176</f>
        <v>66.675636000000054</v>
      </c>
      <c r="L216" s="203">
        <f>L176-K176</f>
        <v>-85.486808490000158</v>
      </c>
      <c r="M216" s="203">
        <f>M176-L176</f>
        <v>59.385303438750043</v>
      </c>
      <c r="N216" s="203">
        <f>N176-M176</f>
        <v>64.136127713849987</v>
      </c>
      <c r="O216" s="203">
        <f t="shared" ref="O216:S216" si="289">O176-N176</f>
        <v>-37.67213617183279</v>
      </c>
      <c r="P216" s="203">
        <f t="shared" si="289"/>
        <v>64.808844431204307</v>
      </c>
      <c r="Q216" s="203">
        <f t="shared" si="289"/>
        <v>75.088868030636604</v>
      </c>
      <c r="R216" s="203">
        <f t="shared" si="289"/>
        <v>84.099532194313042</v>
      </c>
      <c r="S216" s="203">
        <f t="shared" si="289"/>
        <v>94.191476057630553</v>
      </c>
    </row>
    <row r="217" spans="2:19" outlineLevel="1">
      <c r="B217" t="s">
        <v>735</v>
      </c>
      <c r="G217" s="30"/>
      <c r="H217" s="30"/>
      <c r="I217" s="30"/>
      <c r="J217" s="46">
        <f>J181-I181</f>
        <v>0</v>
      </c>
      <c r="K217" s="46">
        <f>K181-J181</f>
        <v>0</v>
      </c>
      <c r="L217" s="46">
        <f>L181-K181</f>
        <v>0</v>
      </c>
      <c r="M217" s="46">
        <f>M181-L181</f>
        <v>0</v>
      </c>
      <c r="N217" s="46">
        <f>N181-M181</f>
        <v>0</v>
      </c>
      <c r="O217" s="46">
        <f t="shared" ref="O217:S217" si="290">O181-N181</f>
        <v>0</v>
      </c>
      <c r="P217" s="46">
        <f t="shared" si="290"/>
        <v>0</v>
      </c>
      <c r="Q217" s="46">
        <f t="shared" si="290"/>
        <v>0</v>
      </c>
      <c r="R217" s="46">
        <f t="shared" si="290"/>
        <v>0</v>
      </c>
      <c r="S217" s="46">
        <f t="shared" si="290"/>
        <v>0</v>
      </c>
    </row>
    <row r="218" spans="2:19" outlineLevel="1">
      <c r="B218" t="s">
        <v>736</v>
      </c>
      <c r="G218" s="30"/>
      <c r="H218" s="30"/>
      <c r="I218" s="30"/>
      <c r="J218" s="46">
        <f>J185-I185</f>
        <v>0</v>
      </c>
      <c r="K218" s="46">
        <f>K185-J185</f>
        <v>0</v>
      </c>
      <c r="L218" s="46">
        <f>L185-K185</f>
        <v>0</v>
      </c>
      <c r="M218" s="46">
        <f>M185-L185</f>
        <v>0</v>
      </c>
      <c r="N218" s="46">
        <f>N185-M185</f>
        <v>0</v>
      </c>
      <c r="O218" s="46">
        <f t="shared" ref="O218:S218" si="291">O185-N185</f>
        <v>0</v>
      </c>
      <c r="P218" s="46">
        <f t="shared" si="291"/>
        <v>0</v>
      </c>
      <c r="Q218" s="46">
        <f t="shared" si="291"/>
        <v>0</v>
      </c>
      <c r="R218" s="46">
        <f t="shared" si="291"/>
        <v>0</v>
      </c>
      <c r="S218" s="46">
        <f t="shared" si="291"/>
        <v>0</v>
      </c>
    </row>
    <row r="219" spans="2:19" outlineLevel="1">
      <c r="B219" t="s">
        <v>737</v>
      </c>
      <c r="G219" s="30"/>
      <c r="H219" s="30"/>
      <c r="I219" s="30"/>
      <c r="J219" s="46">
        <f>J189-I189</f>
        <v>0</v>
      </c>
      <c r="K219" s="46">
        <f>K189-J189</f>
        <v>0</v>
      </c>
      <c r="L219" s="46">
        <f>L189-K189</f>
        <v>0</v>
      </c>
      <c r="M219" s="46">
        <f>M189-L189</f>
        <v>0</v>
      </c>
      <c r="N219" s="46">
        <f>N189-M189</f>
        <v>0</v>
      </c>
      <c r="O219" s="46">
        <f t="shared" ref="O219:S219" si="292">O189-N189</f>
        <v>0</v>
      </c>
      <c r="P219" s="46">
        <f t="shared" si="292"/>
        <v>0</v>
      </c>
      <c r="Q219" s="46">
        <f t="shared" si="292"/>
        <v>0</v>
      </c>
      <c r="R219" s="46">
        <f t="shared" si="292"/>
        <v>0</v>
      </c>
      <c r="S219" s="46">
        <f t="shared" si="292"/>
        <v>0</v>
      </c>
    </row>
    <row r="220" spans="2:19" outlineLevel="1">
      <c r="B220" t="s">
        <v>738</v>
      </c>
      <c r="G220" s="30"/>
      <c r="H220" s="30"/>
      <c r="I220" s="30"/>
      <c r="J220" s="46">
        <f>J193-I193</f>
        <v>0</v>
      </c>
      <c r="K220" s="46">
        <f>K193-J193</f>
        <v>0</v>
      </c>
      <c r="L220" s="46">
        <f>L193-K193</f>
        <v>0</v>
      </c>
      <c r="M220" s="46">
        <f>M193-L193</f>
        <v>0</v>
      </c>
      <c r="N220" s="46">
        <f>N193-M193</f>
        <v>0</v>
      </c>
      <c r="O220" s="46">
        <f t="shared" ref="O220:S220" si="293">O193-N193</f>
        <v>0</v>
      </c>
      <c r="P220" s="46">
        <f t="shared" si="293"/>
        <v>0</v>
      </c>
      <c r="Q220" s="46">
        <f t="shared" si="293"/>
        <v>0</v>
      </c>
      <c r="R220" s="46">
        <f t="shared" si="293"/>
        <v>0</v>
      </c>
      <c r="S220" s="46">
        <f t="shared" si="293"/>
        <v>0</v>
      </c>
    </row>
    <row r="221" spans="2:19" outlineLevel="1">
      <c r="B221" t="s">
        <v>739</v>
      </c>
      <c r="G221" s="30"/>
      <c r="H221" s="30"/>
      <c r="I221" s="30"/>
      <c r="J221" s="46">
        <f>J197-I197</f>
        <v>0</v>
      </c>
      <c r="K221" s="46">
        <f>K197-J197</f>
        <v>0</v>
      </c>
      <c r="L221" s="46">
        <f>L197-K197</f>
        <v>0</v>
      </c>
      <c r="M221" s="46">
        <f>M197-L197</f>
        <v>0</v>
      </c>
      <c r="N221" s="46">
        <f>N197-M197</f>
        <v>0</v>
      </c>
      <c r="O221" s="46">
        <f t="shared" ref="O221:S221" si="294">O197-N197</f>
        <v>0</v>
      </c>
      <c r="P221" s="46">
        <f t="shared" si="294"/>
        <v>0</v>
      </c>
      <c r="Q221" s="46">
        <f t="shared" si="294"/>
        <v>0</v>
      </c>
      <c r="R221" s="46">
        <f t="shared" si="294"/>
        <v>0</v>
      </c>
      <c r="S221" s="46">
        <f t="shared" si="294"/>
        <v>0</v>
      </c>
    </row>
    <row r="222" spans="2:19" outlineLevel="1">
      <c r="B222" t="s">
        <v>740</v>
      </c>
      <c r="G222" s="23"/>
      <c r="H222" s="23"/>
      <c r="I222" s="23"/>
      <c r="J222" s="191">
        <f>J201-I201</f>
        <v>0</v>
      </c>
      <c r="K222" s="191">
        <f>K201-J201</f>
        <v>0</v>
      </c>
      <c r="L222" s="191">
        <f>L201-K201</f>
        <v>0</v>
      </c>
      <c r="M222" s="191">
        <f>M201-L201</f>
        <v>0</v>
      </c>
      <c r="N222" s="191">
        <f>N201-M201</f>
        <v>0</v>
      </c>
      <c r="O222" s="191">
        <f t="shared" ref="O222:S222" si="295">O201-N201</f>
        <v>0</v>
      </c>
      <c r="P222" s="191">
        <f t="shared" si="295"/>
        <v>0</v>
      </c>
      <c r="Q222" s="191">
        <f t="shared" si="295"/>
        <v>0</v>
      </c>
      <c r="R222" s="191">
        <f t="shared" si="295"/>
        <v>0</v>
      </c>
      <c r="S222" s="191">
        <f t="shared" si="295"/>
        <v>0</v>
      </c>
    </row>
    <row r="223" spans="2:19" outlineLevel="1">
      <c r="B223" s="20" t="s">
        <v>15</v>
      </c>
      <c r="C223" s="20"/>
      <c r="D223" s="20"/>
      <c r="E223" s="20"/>
      <c r="F223" s="20"/>
      <c r="G223" s="30"/>
      <c r="H223" s="30"/>
      <c r="I223" s="30"/>
      <c r="J223" s="242">
        <f>SUM(J215:J222)</f>
        <v>301.86620273972608</v>
      </c>
      <c r="K223" s="242">
        <f t="shared" ref="K223:N223" si="296">SUM(K215:K222)</f>
        <v>363.72978394520612</v>
      </c>
      <c r="L223" s="242">
        <f t="shared" si="296"/>
        <v>163.86180285246564</v>
      </c>
      <c r="M223" s="242">
        <f t="shared" si="296"/>
        <v>264.23112452828423</v>
      </c>
      <c r="N223" s="242">
        <f t="shared" si="296"/>
        <v>252.21670518013718</v>
      </c>
      <c r="O223" s="242">
        <f t="shared" ref="O223:S223" si="297">SUM(O215:O222)</f>
        <v>261.04407509815428</v>
      </c>
      <c r="P223" s="242">
        <f t="shared" si="297"/>
        <v>338.14393971093068</v>
      </c>
      <c r="Q223" s="242">
        <f t="shared" si="297"/>
        <v>442.45123608658832</v>
      </c>
      <c r="R223" s="242">
        <f t="shared" si="297"/>
        <v>495.54538441697946</v>
      </c>
      <c r="S223" s="242">
        <f t="shared" si="297"/>
        <v>555.01083054701803</v>
      </c>
    </row>
    <row r="224" spans="2:19" outlineLevel="1">
      <c r="B224" s="18"/>
      <c r="C224" s="18"/>
      <c r="D224" s="18"/>
      <c r="E224" s="18"/>
      <c r="F224" s="18"/>
      <c r="G224" s="18"/>
      <c r="H224" s="18"/>
      <c r="I224" s="444"/>
      <c r="J224" s="242"/>
      <c r="K224" s="242"/>
      <c r="L224" s="242"/>
      <c r="M224" s="242"/>
      <c r="N224" s="242"/>
      <c r="O224" s="242"/>
      <c r="P224" s="242"/>
      <c r="Q224" s="242"/>
      <c r="R224" s="242"/>
      <c r="S224" s="242"/>
    </row>
    <row r="225" spans="1:19">
      <c r="B225" s="16" t="s">
        <v>743</v>
      </c>
      <c r="C225" s="16"/>
      <c r="D225" s="16"/>
      <c r="E225" s="16"/>
      <c r="F225" s="16"/>
      <c r="G225" s="16"/>
      <c r="H225" s="16"/>
      <c r="I225" s="73"/>
      <c r="J225" s="465">
        <f>J213-J215</f>
        <v>347.86124383561764</v>
      </c>
      <c r="K225" s="465">
        <f>K213-K215</f>
        <v>356.4584213424655</v>
      </c>
      <c r="L225" s="465">
        <f t="shared" ref="L225:N225" si="298">L213-L215</f>
        <v>133.00952130862902</v>
      </c>
      <c r="M225" s="465">
        <f t="shared" si="298"/>
        <v>351.58633715847941</v>
      </c>
      <c r="N225" s="465">
        <f t="shared" si="298"/>
        <v>384.36120779096882</v>
      </c>
      <c r="O225" s="465">
        <f t="shared" ref="O225:S225" si="299">O213-O215</f>
        <v>297.04496240170465</v>
      </c>
      <c r="P225" s="465">
        <f t="shared" si="299"/>
        <v>388.52943783441424</v>
      </c>
      <c r="Q225" s="465">
        <f t="shared" si="299"/>
        <v>393.81245855598127</v>
      </c>
      <c r="R225" s="465">
        <f t="shared" si="299"/>
        <v>533.84825028656269</v>
      </c>
      <c r="S225" s="465">
        <f t="shared" si="299"/>
        <v>697.00463431034495</v>
      </c>
    </row>
    <row r="226" spans="1:19">
      <c r="B226" t="s">
        <v>742</v>
      </c>
      <c r="I226" s="71"/>
      <c r="J226" s="242">
        <f>J213-J223</f>
        <v>232.96764383561754</v>
      </c>
      <c r="K226" s="242">
        <f t="shared" ref="K226:N226" si="300">K213-K223</f>
        <v>289.78278534246544</v>
      </c>
      <c r="L226" s="242">
        <f t="shared" si="300"/>
        <v>218.49632979862918</v>
      </c>
      <c r="M226" s="242">
        <f t="shared" si="300"/>
        <v>292.20103371972937</v>
      </c>
      <c r="N226" s="242">
        <f t="shared" si="300"/>
        <v>320.22508007711883</v>
      </c>
      <c r="O226" s="242">
        <f t="shared" ref="O226:S226" si="301">O213-O223</f>
        <v>334.71709857353744</v>
      </c>
      <c r="P226" s="242">
        <f t="shared" si="301"/>
        <v>323.72059340320993</v>
      </c>
      <c r="Q226" s="242">
        <f t="shared" si="301"/>
        <v>318.72359052534466</v>
      </c>
      <c r="R226" s="242">
        <f t="shared" si="301"/>
        <v>449.74871809224965</v>
      </c>
      <c r="S226" s="242">
        <f t="shared" si="301"/>
        <v>602.8131582527144</v>
      </c>
    </row>
    <row r="227" spans="1:19">
      <c r="I227" s="334"/>
      <c r="J227" s="466"/>
      <c r="K227" s="466"/>
      <c r="L227" s="466"/>
      <c r="M227" s="466"/>
      <c r="N227" s="466"/>
      <c r="O227" s="466"/>
      <c r="P227" s="466"/>
      <c r="Q227" s="466"/>
      <c r="R227" s="466"/>
      <c r="S227" s="466"/>
    </row>
    <row r="228" spans="1:19" ht="18">
      <c r="A228" t="s">
        <v>21</v>
      </c>
      <c r="B228" s="25" t="s">
        <v>55</v>
      </c>
      <c r="C228" s="11"/>
      <c r="D228" s="11"/>
      <c r="E228" s="11"/>
      <c r="F228" s="11"/>
      <c r="G228" s="11"/>
      <c r="H228" s="11"/>
      <c r="I228" s="11"/>
      <c r="J228" s="11"/>
      <c r="K228" s="11"/>
      <c r="L228" s="11"/>
      <c r="M228" s="11"/>
      <c r="N228" s="11"/>
      <c r="O228" s="11"/>
      <c r="P228" s="11"/>
      <c r="Q228" s="11"/>
      <c r="R228" s="11"/>
      <c r="S228" s="11"/>
    </row>
    <row r="229" spans="1:19" outlineLevel="1"/>
    <row r="230" spans="1:19" outlineLevel="1">
      <c r="B230" t="s">
        <v>631</v>
      </c>
      <c r="D230" s="230">
        <f>'Balance Sheet'!D60</f>
        <v>10</v>
      </c>
      <c r="E230" s="230">
        <f>'Balance Sheet'!E60</f>
        <v>8</v>
      </c>
      <c r="F230" s="230">
        <f>'Balance Sheet'!F60</f>
        <v>0</v>
      </c>
      <c r="G230" s="230">
        <f>'Balance Sheet'!G60</f>
        <v>2</v>
      </c>
      <c r="H230" s="230">
        <f>'Balance Sheet'!H60</f>
        <v>0</v>
      </c>
      <c r="I230" s="230">
        <f>'Balance Sheet'!I60</f>
        <v>0</v>
      </c>
      <c r="J230" s="30">
        <f>I230*(1+J231)</f>
        <v>0</v>
      </c>
      <c r="K230" s="30">
        <f t="shared" ref="K230:N230" si="302">J230*(1+K231)</f>
        <v>0</v>
      </c>
      <c r="L230" s="30">
        <f t="shared" si="302"/>
        <v>0</v>
      </c>
      <c r="M230" s="30">
        <f t="shared" si="302"/>
        <v>0</v>
      </c>
      <c r="N230" s="30">
        <f t="shared" si="302"/>
        <v>0</v>
      </c>
      <c r="O230" s="30">
        <f t="shared" ref="O230" si="303">N230*(1+O231)</f>
        <v>0</v>
      </c>
      <c r="P230" s="30">
        <f t="shared" ref="P230" si="304">O230*(1+P231)</f>
        <v>0</v>
      </c>
      <c r="Q230" s="30">
        <f t="shared" ref="Q230" si="305">P230*(1+Q231)</f>
        <v>0</v>
      </c>
      <c r="R230" s="30">
        <f t="shared" ref="R230" si="306">Q230*(1+R231)</f>
        <v>0</v>
      </c>
      <c r="S230" s="30">
        <f t="shared" ref="S230" si="307">R230*(1+S231)</f>
        <v>0</v>
      </c>
    </row>
    <row r="231" spans="1:19" outlineLevel="1">
      <c r="B231" s="136" t="s">
        <v>632</v>
      </c>
      <c r="C231" s="136"/>
      <c r="D231" s="136"/>
      <c r="E231" s="268">
        <f>E230/D230-1</f>
        <v>-0.19999999999999996</v>
      </c>
      <c r="F231" s="268">
        <f t="shared" ref="F231" si="308">F230/E230-1</f>
        <v>-1</v>
      </c>
      <c r="G231" s="252">
        <f>IF(F230=0, 0, (G230/F230)-1)</f>
        <v>0</v>
      </c>
      <c r="H231" s="252">
        <f t="shared" ref="H231:I231" si="309">IF(G230=0, 0, (H230/G230)-1)</f>
        <v>-1</v>
      </c>
      <c r="I231" s="252">
        <f t="shared" si="309"/>
        <v>0</v>
      </c>
      <c r="J231" s="458">
        <f>ControlSheet!K141</f>
        <v>0</v>
      </c>
      <c r="K231" s="458">
        <f>ControlSheet!L141</f>
        <v>0</v>
      </c>
      <c r="L231" s="458">
        <f>ControlSheet!M141</f>
        <v>0</v>
      </c>
      <c r="M231" s="458">
        <f>ControlSheet!N141</f>
        <v>0</v>
      </c>
      <c r="N231" s="458">
        <f>ControlSheet!O141</f>
        <v>0</v>
      </c>
      <c r="O231" s="458">
        <f>ControlSheet!P141</f>
        <v>0</v>
      </c>
      <c r="P231" s="458">
        <f>ControlSheet!Q141</f>
        <v>0</v>
      </c>
      <c r="Q231" s="458">
        <f>ControlSheet!R141</f>
        <v>0</v>
      </c>
      <c r="R231" s="458">
        <f>ControlSheet!S141</f>
        <v>0</v>
      </c>
      <c r="S231" s="458">
        <f>ControlSheet!T141</f>
        <v>0</v>
      </c>
    </row>
    <row r="232" spans="1:19" outlineLevel="1"/>
    <row r="233" spans="1:19" outlineLevel="1">
      <c r="B233" t="s">
        <v>636</v>
      </c>
      <c r="D233" s="476">
        <f>'Balance Sheet'!D71</f>
        <v>325</v>
      </c>
      <c r="E233" s="476">
        <f>'Balance Sheet'!E71</f>
        <v>340</v>
      </c>
      <c r="F233" s="476">
        <f>'Balance Sheet'!F71</f>
        <v>345</v>
      </c>
      <c r="G233" s="476">
        <f>'Balance Sheet'!G71</f>
        <v>473</v>
      </c>
      <c r="H233" s="476">
        <f>'Balance Sheet'!H71</f>
        <v>383</v>
      </c>
      <c r="I233" s="476">
        <f>'Balance Sheet'!I71</f>
        <v>379</v>
      </c>
      <c r="J233" s="24">
        <f>J176</f>
        <v>493.89360000000011</v>
      </c>
      <c r="K233" s="24">
        <f>K176</f>
        <v>560.56923600000016</v>
      </c>
      <c r="L233" s="24">
        <f>L176</f>
        <v>475.08242751</v>
      </c>
      <c r="M233" s="24">
        <f>M176</f>
        <v>534.46773094875005</v>
      </c>
      <c r="N233" s="24">
        <f>N176</f>
        <v>598.60385866260003</v>
      </c>
      <c r="O233" s="24">
        <f t="shared" ref="O233:S233" si="310">O176</f>
        <v>560.93172249076724</v>
      </c>
      <c r="P233" s="24">
        <f t="shared" si="310"/>
        <v>625.74056692197155</v>
      </c>
      <c r="Q233" s="24">
        <f t="shared" si="310"/>
        <v>700.82943495260815</v>
      </c>
      <c r="R233" s="24">
        <f t="shared" si="310"/>
        <v>784.9289671469212</v>
      </c>
      <c r="S233" s="24">
        <f t="shared" si="310"/>
        <v>879.12044320455175</v>
      </c>
    </row>
    <row r="234" spans="1:19" outlineLevel="1">
      <c r="B234" s="21" t="s">
        <v>637</v>
      </c>
      <c r="C234" s="21"/>
      <c r="D234" s="286">
        <f>SUM(D233,D230)</f>
        <v>335</v>
      </c>
      <c r="E234" s="286">
        <f t="shared" ref="E234:N234" si="311">SUM(E233,E230)</f>
        <v>348</v>
      </c>
      <c r="F234" s="286">
        <f t="shared" si="311"/>
        <v>345</v>
      </c>
      <c r="G234" s="286">
        <f t="shared" si="311"/>
        <v>475</v>
      </c>
      <c r="H234" s="286">
        <f t="shared" si="311"/>
        <v>383</v>
      </c>
      <c r="I234" s="286">
        <f t="shared" si="311"/>
        <v>379</v>
      </c>
      <c r="J234" s="286">
        <f t="shared" si="311"/>
        <v>493.89360000000011</v>
      </c>
      <c r="K234" s="286">
        <f t="shared" si="311"/>
        <v>560.56923600000016</v>
      </c>
      <c r="L234" s="286">
        <f t="shared" si="311"/>
        <v>475.08242751</v>
      </c>
      <c r="M234" s="286">
        <f t="shared" si="311"/>
        <v>534.46773094875005</v>
      </c>
      <c r="N234" s="286">
        <f t="shared" si="311"/>
        <v>598.60385866260003</v>
      </c>
      <c r="O234" s="286">
        <f t="shared" ref="O234:S234" si="312">SUM(O233,O230)</f>
        <v>560.93172249076724</v>
      </c>
      <c r="P234" s="286">
        <f t="shared" si="312"/>
        <v>625.74056692197155</v>
      </c>
      <c r="Q234" s="286">
        <f t="shared" si="312"/>
        <v>700.82943495260815</v>
      </c>
      <c r="R234" s="286">
        <f t="shared" si="312"/>
        <v>784.9289671469212</v>
      </c>
      <c r="S234" s="286">
        <f t="shared" si="312"/>
        <v>879.12044320455175</v>
      </c>
    </row>
    <row r="235" spans="1:19" outlineLevel="1"/>
    <row r="236" spans="1:19" outlineLevel="1">
      <c r="B236" s="16" t="s">
        <v>605</v>
      </c>
      <c r="C236" s="16"/>
      <c r="D236" s="34">
        <f>D230/D234</f>
        <v>2.9850746268656716E-2</v>
      </c>
      <c r="E236" s="34">
        <f t="shared" ref="E236:N236" si="313">E230/E234</f>
        <v>2.2988505747126436E-2</v>
      </c>
      <c r="F236" s="34">
        <f t="shared" si="313"/>
        <v>0</v>
      </c>
      <c r="G236" s="34">
        <f t="shared" si="313"/>
        <v>4.2105263157894736E-3</v>
      </c>
      <c r="H236" s="34">
        <f t="shared" si="313"/>
        <v>0</v>
      </c>
      <c r="I236" s="34">
        <f t="shared" si="313"/>
        <v>0</v>
      </c>
      <c r="J236" s="34">
        <f t="shared" si="313"/>
        <v>0</v>
      </c>
      <c r="K236" s="34">
        <f t="shared" si="313"/>
        <v>0</v>
      </c>
      <c r="L236" s="34">
        <f t="shared" si="313"/>
        <v>0</v>
      </c>
      <c r="M236" s="34">
        <f t="shared" si="313"/>
        <v>0</v>
      </c>
      <c r="N236" s="34">
        <f t="shared" si="313"/>
        <v>0</v>
      </c>
      <c r="O236" s="34">
        <f t="shared" ref="O236:S236" si="314">O230/O234</f>
        <v>0</v>
      </c>
      <c r="P236" s="34">
        <f t="shared" si="314"/>
        <v>0</v>
      </c>
      <c r="Q236" s="34">
        <f t="shared" si="314"/>
        <v>0</v>
      </c>
      <c r="R236" s="34">
        <f t="shared" si="314"/>
        <v>0</v>
      </c>
      <c r="S236" s="34">
        <f t="shared" si="314"/>
        <v>0</v>
      </c>
    </row>
    <row r="237" spans="1:19" outlineLevel="1">
      <c r="B237" s="16" t="s">
        <v>606</v>
      </c>
      <c r="C237" s="16"/>
      <c r="D237" s="34">
        <f>D233/D234</f>
        <v>0.97014925373134331</v>
      </c>
      <c r="E237" s="34">
        <f t="shared" ref="E237:N237" si="315">E233/E234</f>
        <v>0.97701149425287359</v>
      </c>
      <c r="F237" s="34">
        <f t="shared" si="315"/>
        <v>1</v>
      </c>
      <c r="G237" s="34">
        <f t="shared" si="315"/>
        <v>0.99578947368421056</v>
      </c>
      <c r="H237" s="34">
        <f t="shared" si="315"/>
        <v>1</v>
      </c>
      <c r="I237" s="34">
        <f t="shared" si="315"/>
        <v>1</v>
      </c>
      <c r="J237" s="34">
        <f t="shared" si="315"/>
        <v>1</v>
      </c>
      <c r="K237" s="34">
        <f t="shared" si="315"/>
        <v>1</v>
      </c>
      <c r="L237" s="34">
        <f t="shared" si="315"/>
        <v>1</v>
      </c>
      <c r="M237" s="34">
        <f t="shared" si="315"/>
        <v>1</v>
      </c>
      <c r="N237" s="34">
        <f t="shared" si="315"/>
        <v>1</v>
      </c>
      <c r="O237" s="34">
        <f t="shared" ref="O237:S237" si="316">O233/O234</f>
        <v>1</v>
      </c>
      <c r="P237" s="34">
        <f t="shared" si="316"/>
        <v>1</v>
      </c>
      <c r="Q237" s="34">
        <f t="shared" si="316"/>
        <v>1</v>
      </c>
      <c r="R237" s="34">
        <f t="shared" si="316"/>
        <v>1</v>
      </c>
      <c r="S237" s="34">
        <f t="shared" si="316"/>
        <v>1</v>
      </c>
    </row>
    <row r="238" spans="1:19" outlineLevel="1">
      <c r="J238" s="30"/>
      <c r="K238" s="30"/>
      <c r="L238" s="30"/>
      <c r="M238" s="30"/>
      <c r="N238" s="30"/>
      <c r="O238" s="30"/>
      <c r="P238" s="30"/>
      <c r="Q238" s="30"/>
      <c r="R238" s="30"/>
      <c r="S238" s="30"/>
    </row>
    <row r="240" spans="1:19" ht="18">
      <c r="A240" t="s">
        <v>21</v>
      </c>
      <c r="B240" s="25" t="s">
        <v>56</v>
      </c>
      <c r="C240" s="11"/>
      <c r="D240" s="11"/>
      <c r="E240" s="11"/>
      <c r="F240" s="11"/>
      <c r="G240" s="11"/>
      <c r="H240" s="11"/>
      <c r="I240" s="11"/>
      <c r="J240" s="11"/>
      <c r="K240" s="11"/>
      <c r="L240" s="11"/>
      <c r="M240" s="11"/>
      <c r="N240" s="11"/>
      <c r="O240" s="11"/>
      <c r="P240" s="11"/>
      <c r="Q240" s="11"/>
      <c r="R240" s="11"/>
      <c r="S240" s="11"/>
    </row>
    <row r="241" spans="1:19" outlineLevel="1"/>
    <row r="242" spans="1:19" outlineLevel="1">
      <c r="B242" t="s">
        <v>720</v>
      </c>
      <c r="I242" s="472">
        <f>ControlSheet!K154</f>
        <v>0.125</v>
      </c>
      <c r="J242" s="472">
        <f>ControlSheet!K157</f>
        <v>0.125</v>
      </c>
      <c r="K242" s="472">
        <f>ControlSheet!L157</f>
        <v>0.125</v>
      </c>
      <c r="L242" s="472">
        <f>ControlSheet!M157</f>
        <v>0.125</v>
      </c>
      <c r="M242" s="472">
        <f>ControlSheet!N157</f>
        <v>0.125</v>
      </c>
      <c r="N242" s="472">
        <f>ControlSheet!O157</f>
        <v>0.125</v>
      </c>
      <c r="O242" s="472">
        <f>ControlSheet!P157</f>
        <v>0.125</v>
      </c>
      <c r="P242" s="472">
        <f>ControlSheet!Q157</f>
        <v>0.125</v>
      </c>
      <c r="Q242" s="472">
        <f>ControlSheet!R157</f>
        <v>0.125</v>
      </c>
      <c r="R242" s="472">
        <f>ControlSheet!S157</f>
        <v>0.125</v>
      </c>
      <c r="S242" s="472">
        <f>ControlSheet!T157</f>
        <v>0.125</v>
      </c>
    </row>
    <row r="243" spans="1:19" outlineLevel="1">
      <c r="B243" t="s">
        <v>721</v>
      </c>
      <c r="I243" s="469">
        <f t="shared" ref="I243:N243" si="317">AVERAGE(H234:I234)</f>
        <v>381</v>
      </c>
      <c r="J243" s="469">
        <f t="shared" si="317"/>
        <v>436.44680000000005</v>
      </c>
      <c r="K243" s="469">
        <f t="shared" si="317"/>
        <v>527.23141800000008</v>
      </c>
      <c r="L243" s="469">
        <f t="shared" si="317"/>
        <v>517.82583175500008</v>
      </c>
      <c r="M243" s="469">
        <f t="shared" si="317"/>
        <v>504.77507922937502</v>
      </c>
      <c r="N243" s="469">
        <f t="shared" si="317"/>
        <v>566.5357948056751</v>
      </c>
      <c r="O243" s="469">
        <f t="shared" ref="O243" si="318">AVERAGE(N234:O234)</f>
        <v>579.76779057668364</v>
      </c>
      <c r="P243" s="469">
        <f t="shared" ref="P243" si="319">AVERAGE(O234:P234)</f>
        <v>593.3361447063694</v>
      </c>
      <c r="Q243" s="469">
        <f t="shared" ref="Q243" si="320">AVERAGE(P234:Q234)</f>
        <v>663.28500093728985</v>
      </c>
      <c r="R243" s="469">
        <f t="shared" ref="R243" si="321">AVERAGE(Q234:R234)</f>
        <v>742.87920104976467</v>
      </c>
      <c r="S243" s="469">
        <f t="shared" ref="S243" si="322">AVERAGE(R234:S234)</f>
        <v>832.02470517573647</v>
      </c>
    </row>
    <row r="244" spans="1:19" outlineLevel="1">
      <c r="B244" s="20" t="s">
        <v>722</v>
      </c>
      <c r="C244" s="20"/>
      <c r="D244" s="20"/>
      <c r="E244" s="20"/>
      <c r="F244" s="20"/>
      <c r="G244" s="20"/>
      <c r="H244" s="20"/>
      <c r="I244" s="440">
        <f>I243*I242</f>
        <v>47.625</v>
      </c>
      <c r="J244" s="440">
        <f t="shared" ref="J244:N244" si="323">J243*J242</f>
        <v>54.555850000000007</v>
      </c>
      <c r="K244" s="440">
        <f t="shared" si="323"/>
        <v>65.90392725000001</v>
      </c>
      <c r="L244" s="440">
        <f t="shared" si="323"/>
        <v>64.72822896937501</v>
      </c>
      <c r="M244" s="440">
        <f t="shared" si="323"/>
        <v>63.096884903671878</v>
      </c>
      <c r="N244" s="440">
        <f t="shared" si="323"/>
        <v>70.816974350709387</v>
      </c>
      <c r="O244" s="440">
        <f t="shared" ref="O244:S244" si="324">O243*O242</f>
        <v>72.470973822085455</v>
      </c>
      <c r="P244" s="440">
        <f t="shared" si="324"/>
        <v>74.167018088296174</v>
      </c>
      <c r="Q244" s="440">
        <f t="shared" si="324"/>
        <v>82.910625117161231</v>
      </c>
      <c r="R244" s="440">
        <f t="shared" si="324"/>
        <v>92.859900131220584</v>
      </c>
      <c r="S244" s="440">
        <f t="shared" si="324"/>
        <v>104.00308814696706</v>
      </c>
    </row>
    <row r="246" spans="1:19" ht="18">
      <c r="A246" t="s">
        <v>21</v>
      </c>
      <c r="B246" s="25" t="s">
        <v>688</v>
      </c>
      <c r="C246" s="11"/>
      <c r="D246" s="11"/>
      <c r="E246" s="11"/>
      <c r="F246" s="11"/>
      <c r="G246" s="11"/>
      <c r="H246" s="11"/>
      <c r="I246" s="11"/>
      <c r="J246" s="11"/>
      <c r="K246" s="11"/>
      <c r="L246" s="11"/>
      <c r="M246" s="11"/>
      <c r="N246" s="11"/>
      <c r="O246" s="11"/>
      <c r="P246" s="11"/>
      <c r="Q246" s="11"/>
      <c r="R246" s="11"/>
      <c r="S246" s="11"/>
    </row>
    <row r="247" spans="1:19" ht="18" outlineLevel="1">
      <c r="B247" s="441"/>
      <c r="C247" s="195"/>
      <c r="D247" s="195"/>
      <c r="E247" s="195"/>
      <c r="F247" s="195"/>
      <c r="G247" s="195"/>
      <c r="H247" s="195"/>
      <c r="I247" s="195"/>
      <c r="J247" s="195"/>
      <c r="K247" s="195"/>
      <c r="L247" s="195"/>
      <c r="M247" s="195"/>
      <c r="N247" s="195"/>
      <c r="O247" s="195"/>
      <c r="P247" s="195"/>
      <c r="Q247" s="195"/>
      <c r="R247" s="195"/>
      <c r="S247" s="195"/>
    </row>
    <row r="248" spans="1:19" ht="18" outlineLevel="1">
      <c r="B248" s="7" t="s">
        <v>42</v>
      </c>
      <c r="D248" s="47">
        <f t="shared" ref="D248:N248" si="325">D13</f>
        <v>7315</v>
      </c>
      <c r="E248" s="47">
        <f t="shared" si="325"/>
        <v>8048</v>
      </c>
      <c r="F248" s="47">
        <f t="shared" si="325"/>
        <v>9512</v>
      </c>
      <c r="G248" s="47">
        <f t="shared" si="325"/>
        <v>9764</v>
      </c>
      <c r="H248" s="47">
        <f t="shared" si="325"/>
        <v>9653</v>
      </c>
      <c r="I248" s="47">
        <f t="shared" si="325"/>
        <v>10831</v>
      </c>
      <c r="J248" s="46">
        <f t="shared" si="325"/>
        <v>12347.340000000002</v>
      </c>
      <c r="K248" s="46">
        <f t="shared" si="325"/>
        <v>14014.230900000002</v>
      </c>
      <c r="L248" s="46">
        <f t="shared" si="325"/>
        <v>15836.080917000001</v>
      </c>
      <c r="M248" s="46">
        <f t="shared" si="325"/>
        <v>17815.591031625001</v>
      </c>
      <c r="N248" s="46">
        <f t="shared" si="325"/>
        <v>19953.461955420004</v>
      </c>
      <c r="O248" s="46">
        <f t="shared" ref="O248:S248" si="326">O13</f>
        <v>22347.877390070407</v>
      </c>
      <c r="P248" s="46">
        <f t="shared" si="326"/>
        <v>25029.622676878858</v>
      </c>
      <c r="Q248" s="46">
        <f t="shared" si="326"/>
        <v>28033.177398104322</v>
      </c>
      <c r="R248" s="46">
        <f t="shared" si="326"/>
        <v>31397.158685876846</v>
      </c>
      <c r="S248" s="46">
        <f t="shared" si="326"/>
        <v>35164.817728182068</v>
      </c>
    </row>
    <row r="249" spans="1:19" ht="15.6" outlineLevel="1">
      <c r="B249" s="260" t="s">
        <v>688</v>
      </c>
      <c r="C249" s="260"/>
      <c r="D249" s="35">
        <f>D250/D248</f>
        <v>1.695146958304853E-2</v>
      </c>
      <c r="E249" s="35">
        <f t="shared" ref="E249:I249" si="327">E250/E248</f>
        <v>1.1679920477137177E-2</v>
      </c>
      <c r="F249" s="35">
        <f t="shared" si="327"/>
        <v>1.0302775441547519E-2</v>
      </c>
      <c r="G249" s="35">
        <f t="shared" si="327"/>
        <v>1.4748054076198279E-2</v>
      </c>
      <c r="H249" s="35">
        <f t="shared" si="327"/>
        <v>1.4710452709002383E-2</v>
      </c>
      <c r="I249" s="35">
        <f t="shared" si="327"/>
        <v>1.9204136275505494E-2</v>
      </c>
      <c r="J249" s="75">
        <f>ControlSheet!K149</f>
        <v>1.4999999999999999E-2</v>
      </c>
      <c r="K249" s="75">
        <f>ControlSheet!L149</f>
        <v>1.4999999999999999E-2</v>
      </c>
      <c r="L249" s="75">
        <f>ControlSheet!M149</f>
        <v>1.4999999999999999E-2</v>
      </c>
      <c r="M249" s="75">
        <f>ControlSheet!N149</f>
        <v>1.4999999999999999E-2</v>
      </c>
      <c r="N249" s="75">
        <f>ControlSheet!O149</f>
        <v>1.4999999999999999E-2</v>
      </c>
      <c r="O249" s="75">
        <f>ControlSheet!P149</f>
        <v>1.4999999999999999E-2</v>
      </c>
      <c r="P249" s="75">
        <f>ControlSheet!Q149</f>
        <v>1.4999999999999999E-2</v>
      </c>
      <c r="Q249" s="75">
        <f>ControlSheet!R149</f>
        <v>1.4999999999999999E-2</v>
      </c>
      <c r="R249" s="75">
        <f>ControlSheet!S149</f>
        <v>1.4999999999999999E-2</v>
      </c>
      <c r="S249" s="75">
        <f>ControlSheet!T149</f>
        <v>1.4999999999999999E-2</v>
      </c>
    </row>
    <row r="250" spans="1:19" ht="15.6" outlineLevel="1">
      <c r="B250" s="442" t="s">
        <v>686</v>
      </c>
      <c r="C250" s="442"/>
      <c r="D250" s="445">
        <f>'P&amp;l 25-24'!E40</f>
        <v>124</v>
      </c>
      <c r="E250" s="445">
        <f>'P&amp;l 25-24'!F40</f>
        <v>94</v>
      </c>
      <c r="F250" s="445">
        <f>'P&amp;l 25-24'!G40</f>
        <v>98</v>
      </c>
      <c r="G250" s="445">
        <f>'P&amp;l 25-24'!H40</f>
        <v>144</v>
      </c>
      <c r="H250" s="445">
        <f>'P&amp;l 25-24'!I40</f>
        <v>142</v>
      </c>
      <c r="I250" s="445">
        <f>'P&amp;l 25-24'!J40</f>
        <v>208</v>
      </c>
      <c r="J250" s="446">
        <f>J248*J249</f>
        <v>185.21010000000001</v>
      </c>
      <c r="K250" s="446">
        <f t="shared" ref="K250:M250" si="328">K248*K249</f>
        <v>210.21346350000002</v>
      </c>
      <c r="L250" s="446">
        <f t="shared" si="328"/>
        <v>237.541213755</v>
      </c>
      <c r="M250" s="446">
        <f t="shared" si="328"/>
        <v>267.23386547437502</v>
      </c>
      <c r="N250" s="446">
        <f>N248*N249</f>
        <v>299.30192933130002</v>
      </c>
      <c r="O250" s="446">
        <f t="shared" ref="O250:S250" si="329">O248*O249</f>
        <v>335.2181608510561</v>
      </c>
      <c r="P250" s="446">
        <f t="shared" si="329"/>
        <v>375.44434015318285</v>
      </c>
      <c r="Q250" s="446">
        <f t="shared" si="329"/>
        <v>420.49766097156481</v>
      </c>
      <c r="R250" s="446">
        <f t="shared" si="329"/>
        <v>470.95738028815265</v>
      </c>
      <c r="S250" s="446">
        <f t="shared" si="329"/>
        <v>527.47226592273103</v>
      </c>
    </row>
    <row r="259" spans="2:2">
      <c r="B259" s="215"/>
    </row>
  </sheetData>
  <mergeCells count="2">
    <mergeCell ref="J8:N8"/>
    <mergeCell ref="O8:S8"/>
  </mergeCells>
  <pageMargins left="0.25" right="0.25" top="0.75" bottom="0.75" header="0.3" footer="0.3"/>
  <pageSetup scale="35" orientation="portrait" r:id="rId1"/>
  <ignoredErrors>
    <ignoredError sqref="O64"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0243" r:id="rId4" name="Drop Down 3">
              <controlPr defaultSize="0" autoLine="0" autoPict="0">
                <anchor moveWithCells="1">
                  <from>
                    <xdr:col>9</xdr:col>
                    <xdr:colOff>91440</xdr:colOff>
                    <xdr:row>2</xdr:row>
                    <xdr:rowOff>228600</xdr:rowOff>
                  </from>
                  <to>
                    <xdr:col>11</xdr:col>
                    <xdr:colOff>38100</xdr:colOff>
                    <xdr:row>4</xdr:row>
                    <xdr:rowOff>22860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95CF2-E8DD-4CCD-9D6A-65A13016C858}">
  <sheetPr codeName="Sheet5"/>
  <dimension ref="A2:X158"/>
  <sheetViews>
    <sheetView showGridLines="0" zoomScale="79" zoomScaleNormal="90" workbookViewId="0">
      <pane xSplit="2" ySplit="9" topLeftCell="F140" activePane="bottomRight" state="frozen"/>
      <selection pane="topRight" activeCell="C1" sqref="C1"/>
      <selection pane="bottomLeft" activeCell="A10" sqref="A10"/>
      <selection pane="bottomRight" activeCell="I60" sqref="I60"/>
    </sheetView>
  </sheetViews>
  <sheetFormatPr defaultRowHeight="14.4" customHeight="1"/>
  <cols>
    <col min="1" max="1" width="1.88671875" customWidth="1"/>
    <col min="2" max="2" width="45.33203125" customWidth="1"/>
    <col min="3" max="3" width="5.5546875" customWidth="1"/>
    <col min="4" max="19" width="12.77734375" customWidth="1"/>
    <col min="20" max="20" width="1.88671875" customWidth="1"/>
    <col min="21" max="21" width="8.88671875" customWidth="1"/>
    <col min="24" max="24" width="12.77734375" customWidth="1"/>
  </cols>
  <sheetData>
    <row r="2" spans="1:22" ht="19.95" customHeight="1">
      <c r="B2" s="10" t="str">
        <f>'Input Sheet'!C5</f>
        <v xml:space="preserve">Marico Ltd </v>
      </c>
      <c r="C2" s="7"/>
      <c r="D2" s="7"/>
      <c r="E2" s="7"/>
      <c r="F2" s="7"/>
      <c r="G2" s="7"/>
      <c r="H2" s="7"/>
      <c r="I2" s="7"/>
    </row>
    <row r="3" spans="1:22" ht="14.4" customHeight="1">
      <c r="B3" s="9" t="s">
        <v>57</v>
      </c>
      <c r="G3" s="7"/>
      <c r="H3" s="7"/>
    </row>
    <row r="4" spans="1:22" ht="14.4" customHeight="1">
      <c r="K4" t="s">
        <v>25</v>
      </c>
    </row>
    <row r="5" spans="1:22" ht="14.4" customHeight="1">
      <c r="C5" s="203"/>
      <c r="N5" s="76"/>
      <c r="O5" s="76"/>
      <c r="P5" s="76"/>
      <c r="Q5" s="76"/>
      <c r="R5" s="76"/>
      <c r="S5" s="76"/>
    </row>
    <row r="7" spans="1:22" ht="14.4" customHeight="1">
      <c r="B7" s="137"/>
      <c r="C7" s="137"/>
      <c r="D7" s="137"/>
      <c r="E7" s="137"/>
      <c r="F7" s="137"/>
      <c r="G7" s="137"/>
      <c r="H7" s="137"/>
      <c r="I7" s="137"/>
      <c r="J7" s="137"/>
      <c r="K7" s="137"/>
      <c r="L7" s="137"/>
      <c r="M7" s="137"/>
      <c r="N7" s="137"/>
      <c r="O7" s="137"/>
      <c r="P7" s="137"/>
      <c r="Q7" s="137"/>
      <c r="R7" s="137"/>
      <c r="S7" s="137"/>
      <c r="U7" s="675"/>
      <c r="V7" s="675"/>
    </row>
    <row r="8" spans="1:22" ht="14.4" customHeight="1">
      <c r="B8" s="137"/>
      <c r="C8" s="137"/>
      <c r="D8" s="676" t="s">
        <v>19</v>
      </c>
      <c r="E8" s="676"/>
      <c r="F8" s="676"/>
      <c r="G8" s="676"/>
      <c r="H8" s="676"/>
      <c r="I8" s="676"/>
      <c r="J8" s="673" t="s">
        <v>20</v>
      </c>
      <c r="K8" s="673"/>
      <c r="L8" s="673"/>
      <c r="M8" s="673"/>
      <c r="N8" s="673"/>
      <c r="O8" s="674" t="s">
        <v>1142</v>
      </c>
      <c r="P8" s="674"/>
      <c r="Q8" s="674"/>
      <c r="R8" s="674"/>
      <c r="S8" s="674"/>
      <c r="U8" s="45" t="s">
        <v>62</v>
      </c>
      <c r="V8" s="45" t="s">
        <v>63</v>
      </c>
    </row>
    <row r="9" spans="1:22" ht="14.4" customHeight="1">
      <c r="B9" s="473" t="s">
        <v>18</v>
      </c>
      <c r="C9" s="475"/>
      <c r="D9" s="562">
        <f>Schedules!D9</f>
        <v>2020</v>
      </c>
      <c r="E9" s="562">
        <f>Schedules!E9</f>
        <v>2021</v>
      </c>
      <c r="F9" s="562">
        <f>Schedules!F9</f>
        <v>2022</v>
      </c>
      <c r="G9" s="562">
        <f>Schedules!G9</f>
        <v>2023</v>
      </c>
      <c r="H9" s="562">
        <f>Schedules!H9</f>
        <v>2024</v>
      </c>
      <c r="I9" s="562">
        <f>Schedules!I9</f>
        <v>2025</v>
      </c>
      <c r="J9" s="474">
        <f>I9+1</f>
        <v>2026</v>
      </c>
      <c r="K9" s="474">
        <f>J9+1</f>
        <v>2027</v>
      </c>
      <c r="L9" s="474">
        <f t="shared" ref="L9:M9" si="0">K9+1</f>
        <v>2028</v>
      </c>
      <c r="M9" s="474">
        <f t="shared" si="0"/>
        <v>2029</v>
      </c>
      <c r="N9" s="474">
        <f>M9+1</f>
        <v>2030</v>
      </c>
      <c r="O9" s="474">
        <f t="shared" ref="O9:S9" si="1">N9+1</f>
        <v>2031</v>
      </c>
      <c r="P9" s="474">
        <f t="shared" si="1"/>
        <v>2032</v>
      </c>
      <c r="Q9" s="474">
        <f t="shared" si="1"/>
        <v>2033</v>
      </c>
      <c r="R9" s="474">
        <f t="shared" si="1"/>
        <v>2034</v>
      </c>
      <c r="S9" s="474">
        <f t="shared" si="1"/>
        <v>2035</v>
      </c>
    </row>
    <row r="10" spans="1:22" ht="14.4" customHeight="1">
      <c r="B10" s="55"/>
      <c r="I10" s="56"/>
      <c r="J10" s="56"/>
      <c r="K10" s="56"/>
      <c r="L10" s="56"/>
      <c r="M10" s="56"/>
      <c r="N10" s="56"/>
      <c r="O10" s="56"/>
      <c r="P10" s="56"/>
      <c r="Q10" s="56"/>
      <c r="R10" s="56"/>
      <c r="S10" s="56"/>
    </row>
    <row r="11" spans="1:22" s="7" customFormat="1" ht="18" customHeight="1">
      <c r="A11" s="7" t="s">
        <v>21</v>
      </c>
      <c r="B11" s="25" t="s">
        <v>71</v>
      </c>
      <c r="C11" s="67"/>
      <c r="D11" s="67"/>
      <c r="E11" s="67"/>
      <c r="F11" s="67"/>
      <c r="G11" s="67"/>
      <c r="H11" s="67"/>
      <c r="I11" s="68"/>
      <c r="J11" s="68"/>
      <c r="K11" s="68"/>
      <c r="L11" s="68"/>
      <c r="M11" s="68"/>
      <c r="N11" s="68"/>
      <c r="O11" s="68"/>
      <c r="P11" s="68"/>
      <c r="Q11" s="68"/>
      <c r="R11" s="68"/>
      <c r="S11" s="68"/>
      <c r="V11"/>
    </row>
    <row r="13" spans="1:22" ht="14.4" customHeight="1">
      <c r="B13" s="57" t="s">
        <v>42</v>
      </c>
      <c r="D13" s="47">
        <f>Schedules!D13</f>
        <v>7315</v>
      </c>
      <c r="E13" s="47">
        <f>Schedules!E13</f>
        <v>8048</v>
      </c>
      <c r="F13" s="47">
        <f>Schedules!F13</f>
        <v>9512</v>
      </c>
      <c r="G13" s="47">
        <f>Schedules!G13</f>
        <v>9764</v>
      </c>
      <c r="H13" s="47">
        <f>Schedules!H13</f>
        <v>9653</v>
      </c>
      <c r="I13" s="47">
        <f>Schedules!I13</f>
        <v>10831</v>
      </c>
      <c r="J13" s="47">
        <f>Schedules!J13</f>
        <v>12347.340000000002</v>
      </c>
      <c r="K13" s="47">
        <f>Schedules!K13</f>
        <v>14014.230900000002</v>
      </c>
      <c r="L13" s="47">
        <f>Schedules!L13</f>
        <v>15836.080917000001</v>
      </c>
      <c r="M13" s="47">
        <f>Schedules!M13</f>
        <v>17815.591031625001</v>
      </c>
      <c r="N13" s="47">
        <f>Schedules!N13</f>
        <v>19953.461955420004</v>
      </c>
      <c r="O13" s="47">
        <f>Schedules!O13</f>
        <v>22347.877390070407</v>
      </c>
      <c r="P13" s="47">
        <f>Schedules!P13</f>
        <v>25029.622676878858</v>
      </c>
      <c r="Q13" s="47">
        <f>Schedules!Q13</f>
        <v>28033.177398104322</v>
      </c>
      <c r="R13" s="47">
        <f>Schedules!R13</f>
        <v>31397.158685876846</v>
      </c>
      <c r="S13" s="47">
        <f>Schedules!S13</f>
        <v>35164.817728182068</v>
      </c>
      <c r="U13" s="35">
        <f>_xlfn.RRI(5,I13,N13)</f>
        <v>0.12997787558638341</v>
      </c>
      <c r="V13" s="35">
        <f>_xlfn.RRI(3,K13,N13)</f>
        <v>0.12499259254381889</v>
      </c>
    </row>
    <row r="14" spans="1:22" ht="14.4" customHeight="1">
      <c r="B14" s="58" t="s">
        <v>0</v>
      </c>
      <c r="D14" s="47">
        <f>Schedules!D20</f>
        <v>3745</v>
      </c>
      <c r="E14" s="47">
        <f>Schedules!E20</f>
        <v>4270</v>
      </c>
      <c r="F14" s="47">
        <f>Schedules!F20</f>
        <v>5436</v>
      </c>
      <c r="G14" s="47">
        <f>Schedules!G20</f>
        <v>5351</v>
      </c>
      <c r="H14" s="47">
        <f>Schedules!H20</f>
        <v>4748</v>
      </c>
      <c r="I14" s="47">
        <f>Schedules!I20</f>
        <v>5388</v>
      </c>
      <c r="J14" s="47">
        <f>Schedules!J20</f>
        <v>6420.6168000000016</v>
      </c>
      <c r="K14" s="47">
        <f>Schedules!K20</f>
        <v>7287.4000680000017</v>
      </c>
      <c r="L14" s="47">
        <f>Schedules!L20</f>
        <v>8234.7620768400011</v>
      </c>
      <c r="M14" s="47">
        <f>Schedules!M20</f>
        <v>8907.7955158125005</v>
      </c>
      <c r="N14" s="47">
        <f>Schedules!N20</f>
        <v>9976.7309777100018</v>
      </c>
      <c r="O14" s="47">
        <f>Schedules!O20</f>
        <v>11173.938695035204</v>
      </c>
      <c r="P14" s="47">
        <f>Schedules!P20</f>
        <v>12514.811338439429</v>
      </c>
      <c r="Q14" s="47">
        <f>Schedules!Q20</f>
        <v>14016.588699052161</v>
      </c>
      <c r="R14" s="47">
        <f>Schedules!R20</f>
        <v>15698.579342938423</v>
      </c>
      <c r="S14" s="47">
        <f>Schedules!S20</f>
        <v>17582.408864091034</v>
      </c>
      <c r="U14" s="35">
        <f>_xlfn.RRI(5,I14,N14)</f>
        <v>0.131128994535886</v>
      </c>
      <c r="V14" s="35">
        <f>_xlfn.RRI(3,K14,N14)</f>
        <v>0.11038064523900992</v>
      </c>
    </row>
    <row r="15" spans="1:22" ht="14.4" customHeight="1">
      <c r="B15" s="59" t="s">
        <v>1</v>
      </c>
      <c r="C15" s="21"/>
      <c r="D15" s="181">
        <f>D13-D14</f>
        <v>3570</v>
      </c>
      <c r="E15" s="181">
        <f t="shared" ref="E15:M15" si="2">E13-E14</f>
        <v>3778</v>
      </c>
      <c r="F15" s="181">
        <f t="shared" si="2"/>
        <v>4076</v>
      </c>
      <c r="G15" s="181">
        <f t="shared" si="2"/>
        <v>4413</v>
      </c>
      <c r="H15" s="181">
        <f t="shared" si="2"/>
        <v>4905</v>
      </c>
      <c r="I15" s="181">
        <f t="shared" si="2"/>
        <v>5443</v>
      </c>
      <c r="J15" s="181">
        <f t="shared" si="2"/>
        <v>5926.7232000000004</v>
      </c>
      <c r="K15" s="181">
        <f t="shared" si="2"/>
        <v>6726.8308320000006</v>
      </c>
      <c r="L15" s="181">
        <f t="shared" si="2"/>
        <v>7601.31884016</v>
      </c>
      <c r="M15" s="181">
        <f t="shared" si="2"/>
        <v>8907.7955158125005</v>
      </c>
      <c r="N15" s="181">
        <f>N13-N14</f>
        <v>9976.7309777100018</v>
      </c>
      <c r="O15" s="181">
        <f t="shared" ref="O15:S15" si="3">O13-O14</f>
        <v>11173.938695035204</v>
      </c>
      <c r="P15" s="181">
        <f t="shared" si="3"/>
        <v>12514.811338439429</v>
      </c>
      <c r="Q15" s="181">
        <f t="shared" si="3"/>
        <v>14016.588699052161</v>
      </c>
      <c r="R15" s="181">
        <f t="shared" si="3"/>
        <v>15698.579342938423</v>
      </c>
      <c r="S15" s="181">
        <f t="shared" si="3"/>
        <v>17582.408864091034</v>
      </c>
      <c r="U15" s="35">
        <f>_xlfn.RRI(5,I15,N15)</f>
        <v>0.12883374983801565</v>
      </c>
      <c r="V15" s="35">
        <f>_xlfn.RRI(3,K15,N15)</f>
        <v>0.14040536522921832</v>
      </c>
    </row>
    <row r="16" spans="1:22" ht="14.4" customHeight="1">
      <c r="B16" s="1"/>
      <c r="D16" s="46"/>
      <c r="E16" s="46"/>
      <c r="F16" s="46"/>
      <c r="G16" s="46"/>
      <c r="H16" s="46"/>
      <c r="I16" s="46"/>
      <c r="J16" s="46"/>
      <c r="K16" s="46"/>
      <c r="L16" s="46"/>
      <c r="M16" s="46"/>
      <c r="N16" s="46"/>
      <c r="O16" s="46"/>
      <c r="P16" s="46"/>
      <c r="Q16" s="46"/>
      <c r="R16" s="46"/>
      <c r="S16" s="46"/>
      <c r="U16" s="35"/>
      <c r="V16" s="35"/>
    </row>
    <row r="17" spans="2:22" ht="14.4" customHeight="1">
      <c r="B17" s="419" t="s">
        <v>410</v>
      </c>
      <c r="C17" s="16"/>
      <c r="D17" s="420">
        <f>D15/D13</f>
        <v>0.48803827751196172</v>
      </c>
      <c r="E17" s="420">
        <f t="shared" ref="E17:N17" si="4">E15/E13</f>
        <v>0.46943339960238567</v>
      </c>
      <c r="F17" s="420">
        <f t="shared" si="4"/>
        <v>0.42851135407905805</v>
      </c>
      <c r="G17" s="420">
        <f t="shared" si="4"/>
        <v>0.45196640721015979</v>
      </c>
      <c r="H17" s="420">
        <f t="shared" si="4"/>
        <v>0.50813218688490625</v>
      </c>
      <c r="I17" s="420">
        <f t="shared" si="4"/>
        <v>0.50253900840180965</v>
      </c>
      <c r="J17" s="420">
        <f t="shared" si="4"/>
        <v>0.47999999999999993</v>
      </c>
      <c r="K17" s="420">
        <f t="shared" si="4"/>
        <v>0.48</v>
      </c>
      <c r="L17" s="420">
        <f t="shared" si="4"/>
        <v>0.48</v>
      </c>
      <c r="M17" s="420">
        <f t="shared" si="4"/>
        <v>0.5</v>
      </c>
      <c r="N17" s="420">
        <f t="shared" si="4"/>
        <v>0.5</v>
      </c>
      <c r="O17" s="420">
        <f t="shared" ref="O17:S17" si="5">O15/O13</f>
        <v>0.5</v>
      </c>
      <c r="P17" s="420">
        <f t="shared" si="5"/>
        <v>0.5</v>
      </c>
      <c r="Q17" s="420">
        <f t="shared" si="5"/>
        <v>0.5</v>
      </c>
      <c r="R17" s="420">
        <f t="shared" si="5"/>
        <v>0.5</v>
      </c>
      <c r="S17" s="420">
        <f t="shared" si="5"/>
        <v>0.5</v>
      </c>
      <c r="U17" s="35"/>
      <c r="V17" s="35"/>
    </row>
    <row r="18" spans="2:22" ht="14.4" customHeight="1">
      <c r="B18" s="60"/>
      <c r="D18" s="46"/>
      <c r="E18" s="46"/>
      <c r="F18" s="46"/>
      <c r="G18" s="46"/>
      <c r="H18" s="46"/>
      <c r="I18" s="46"/>
      <c r="J18" s="46"/>
      <c r="K18" s="46"/>
      <c r="L18" s="46"/>
      <c r="M18" s="46"/>
      <c r="N18" s="46"/>
      <c r="O18" s="46"/>
      <c r="P18" s="46"/>
      <c r="Q18" s="46"/>
      <c r="R18" s="46"/>
      <c r="S18" s="46"/>
    </row>
    <row r="19" spans="2:22" ht="14.4" customHeight="1">
      <c r="B19" s="61" t="s">
        <v>58</v>
      </c>
      <c r="D19" s="46"/>
      <c r="E19" s="46"/>
      <c r="F19" s="46"/>
      <c r="G19" s="46"/>
      <c r="H19" s="46"/>
      <c r="I19" s="46"/>
      <c r="J19" s="46"/>
      <c r="K19" s="46"/>
      <c r="L19" s="46"/>
      <c r="M19" s="46"/>
      <c r="N19" s="46"/>
      <c r="O19" s="46"/>
      <c r="P19" s="46"/>
      <c r="Q19" s="46"/>
      <c r="R19" s="46"/>
      <c r="S19" s="46"/>
    </row>
    <row r="20" spans="2:22" ht="14.4" customHeight="1">
      <c r="B20" s="58" t="str">
        <f>Schedules!B26</f>
        <v>Employee Benefit Cost</v>
      </c>
      <c r="D20" s="47">
        <f>Schedules!D28</f>
        <v>478</v>
      </c>
      <c r="E20" s="47">
        <f>Schedules!E28</f>
        <v>570</v>
      </c>
      <c r="F20" s="47">
        <f>Schedules!F28</f>
        <v>586</v>
      </c>
      <c r="G20" s="47">
        <f>Schedules!G28</f>
        <v>653</v>
      </c>
      <c r="H20" s="47">
        <f>Schedules!H28</f>
        <v>743</v>
      </c>
      <c r="I20" s="47">
        <f>Schedules!I28</f>
        <v>831</v>
      </c>
      <c r="J20" s="47">
        <f>Schedules!J28</f>
        <v>938.39784000000009</v>
      </c>
      <c r="K20" s="47">
        <f>Schedules!K28</f>
        <v>1065.0815484000002</v>
      </c>
      <c r="L20" s="47">
        <f>Schedules!L28</f>
        <v>1203.5421496920001</v>
      </c>
      <c r="M20" s="47">
        <f>Schedules!M28</f>
        <v>1353.9849184035002</v>
      </c>
      <c r="N20" s="47">
        <f>Schedules!N28</f>
        <v>1516.4631086119202</v>
      </c>
      <c r="O20" s="47">
        <f>Schedules!O28</f>
        <v>1698.4386816453509</v>
      </c>
      <c r="P20" s="47">
        <f>Schedules!P28</f>
        <v>1902.2513234427931</v>
      </c>
      <c r="Q20" s="47">
        <f>Schedules!Q28</f>
        <v>2130.5214822559283</v>
      </c>
      <c r="R20" s="47">
        <f>Schedules!R28</f>
        <v>2386.1840601266404</v>
      </c>
      <c r="S20" s="47">
        <f>Schedules!S28</f>
        <v>2672.5261473418373</v>
      </c>
      <c r="T20" s="46"/>
      <c r="U20" s="35">
        <f>_xlfn.RRI(5,I20,N20)</f>
        <v>0.12783655109192527</v>
      </c>
      <c r="V20" s="35">
        <f>_xlfn.RRI(3,K20,N20)</f>
        <v>0.12499259254381889</v>
      </c>
    </row>
    <row r="21" spans="2:22" ht="14.4" customHeight="1">
      <c r="B21" s="58" t="str">
        <f>Schedules!B31</f>
        <v xml:space="preserve">Advertisement and sales promotion </v>
      </c>
      <c r="D21" s="47">
        <f>Schedules!D33</f>
        <v>727</v>
      </c>
      <c r="E21" s="47">
        <f>Schedules!E33</f>
        <v>698</v>
      </c>
      <c r="F21" s="47">
        <f>Schedules!F33</f>
        <v>796</v>
      </c>
      <c r="G21" s="47">
        <f>Schedules!G33</f>
        <v>842</v>
      </c>
      <c r="H21" s="47">
        <f>Schedules!H33</f>
        <v>952</v>
      </c>
      <c r="I21" s="47">
        <f>Schedules!I33</f>
        <v>1128</v>
      </c>
      <c r="J21" s="47">
        <f>Schedules!J33</f>
        <v>1419.9441000000004</v>
      </c>
      <c r="K21" s="47">
        <f>Schedules!K33</f>
        <v>1611.6365535000004</v>
      </c>
      <c r="L21" s="47">
        <f>Schedules!L33</f>
        <v>1821.1493054550001</v>
      </c>
      <c r="M21" s="47">
        <f>Schedules!M33</f>
        <v>2048.7929686368752</v>
      </c>
      <c r="N21" s="47">
        <f>Schedules!N33</f>
        <v>2294.6481248733003</v>
      </c>
      <c r="O21" s="47">
        <f>Schedules!O33</f>
        <v>2570.0058998580971</v>
      </c>
      <c r="P21" s="47">
        <f>Schedules!P33</f>
        <v>2878.4066078410688</v>
      </c>
      <c r="Q21" s="47">
        <f>Schedules!Q33</f>
        <v>3223.8154007819971</v>
      </c>
      <c r="R21" s="47">
        <f>Schedules!R33</f>
        <v>3610.6732488758375</v>
      </c>
      <c r="S21" s="47">
        <f>Schedules!S33</f>
        <v>4043.9540387409379</v>
      </c>
      <c r="T21" s="46"/>
      <c r="U21" s="35">
        <f>_xlfn.RRI(5,I21,N21)</f>
        <v>0.15260738959219666</v>
      </c>
      <c r="V21" s="35">
        <f>_xlfn.RRI(3,K21,N21)</f>
        <v>0.12499259254381889</v>
      </c>
    </row>
    <row r="22" spans="2:22" ht="14.4" customHeight="1">
      <c r="B22" s="62" t="str">
        <f>Schedules!B36</f>
        <v xml:space="preserve">Freight and distribution expenses </v>
      </c>
      <c r="D22" s="47">
        <f>Schedules!D38</f>
        <v>294</v>
      </c>
      <c r="E22" s="47">
        <f>Schedules!E38</f>
        <v>305</v>
      </c>
      <c r="F22" s="47">
        <f>Schedules!F38</f>
        <v>354</v>
      </c>
      <c r="G22" s="47">
        <f>Schedules!G38</f>
        <v>387</v>
      </c>
      <c r="H22" s="47">
        <f>Schedules!H38</f>
        <v>416</v>
      </c>
      <c r="I22" s="47">
        <f>Schedules!I38</f>
        <v>449</v>
      </c>
      <c r="J22" s="47">
        <f>Schedules!J38</f>
        <v>493.89360000000011</v>
      </c>
      <c r="K22" s="47">
        <f>Schedules!K38</f>
        <v>560.56923600000016</v>
      </c>
      <c r="L22" s="47">
        <f>Schedules!L38</f>
        <v>633.44323668000004</v>
      </c>
      <c r="M22" s="47">
        <f>Schedules!M38</f>
        <v>712.62364126500006</v>
      </c>
      <c r="N22" s="47">
        <f>Schedules!N38</f>
        <v>798.13847821680019</v>
      </c>
      <c r="O22" s="47">
        <f>Schedules!O38</f>
        <v>893.91509560281634</v>
      </c>
      <c r="P22" s="47">
        <f>Schedules!P38</f>
        <v>1001.1849070751543</v>
      </c>
      <c r="Q22" s="47">
        <f>Schedules!Q38</f>
        <v>1121.3270959241729</v>
      </c>
      <c r="R22" s="47">
        <f>Schedules!R38</f>
        <v>1255.886347435074</v>
      </c>
      <c r="S22" s="47">
        <f>Schedules!S38</f>
        <v>1406.5927091272827</v>
      </c>
      <c r="T22" s="46"/>
      <c r="U22" s="35">
        <f>_xlfn.RRI(5,I22,N22)</f>
        <v>0.12193160288916549</v>
      </c>
      <c r="V22" s="35">
        <f>_xlfn.RRI(3,K22,N22)</f>
        <v>0.12499259254381889</v>
      </c>
    </row>
    <row r="23" spans="2:22" ht="14.4" customHeight="1">
      <c r="B23" s="58" t="str">
        <f>Schedules!B41</f>
        <v xml:space="preserve">Other Misc SG&amp;A Expenses </v>
      </c>
      <c r="D23" s="47">
        <f>Schedules!D43</f>
        <v>630.99999999999932</v>
      </c>
      <c r="E23" s="47">
        <f>Schedules!E43</f>
        <v>602.99999999999977</v>
      </c>
      <c r="F23" s="47">
        <f>Schedules!F43</f>
        <v>659</v>
      </c>
      <c r="G23" s="47">
        <f>Schedules!G43</f>
        <v>721</v>
      </c>
      <c r="H23" s="47">
        <f>Schedules!H43</f>
        <v>768</v>
      </c>
      <c r="I23" s="47">
        <f>Schedules!I43</f>
        <v>896</v>
      </c>
      <c r="J23" s="47">
        <f>Schedules!J43</f>
        <v>987.78720000000021</v>
      </c>
      <c r="K23" s="47">
        <f>Schedules!K43</f>
        <v>1121.1384720000003</v>
      </c>
      <c r="L23" s="47">
        <f>Schedules!L43</f>
        <v>1266.8864733600001</v>
      </c>
      <c r="M23" s="47">
        <f>Schedules!M43</f>
        <v>1425.2472825300001</v>
      </c>
      <c r="N23" s="47">
        <f>Schedules!N43</f>
        <v>1596.2769564336004</v>
      </c>
      <c r="O23" s="47">
        <f>Schedules!O43</f>
        <v>1787.8301912056327</v>
      </c>
      <c r="P23" s="47">
        <f>Schedules!P43</f>
        <v>2002.3698141503087</v>
      </c>
      <c r="Q23" s="47">
        <f>Schedules!Q43</f>
        <v>2242.6541918483458</v>
      </c>
      <c r="R23" s="47">
        <f>Schedules!R43</f>
        <v>2511.7726948701479</v>
      </c>
      <c r="S23" s="47">
        <f>Schedules!S43</f>
        <v>2813.1854182545653</v>
      </c>
      <c r="T23" s="46"/>
      <c r="U23" s="35">
        <f>_xlfn.RRI(5,I23,N23)</f>
        <v>0.12243201861137387</v>
      </c>
      <c r="V23" s="35">
        <f>_xlfn.RRI(3,K23,N23)</f>
        <v>0.12499259254381889</v>
      </c>
    </row>
    <row r="24" spans="2:22" ht="14.4" customHeight="1">
      <c r="B24" s="58"/>
      <c r="D24" s="46"/>
      <c r="E24" s="46"/>
      <c r="F24" s="46"/>
      <c r="G24" s="46"/>
      <c r="H24" s="46"/>
      <c r="I24" s="46"/>
      <c r="J24" s="47"/>
      <c r="K24" s="47"/>
      <c r="L24" s="47"/>
      <c r="M24" s="47"/>
      <c r="N24" s="47"/>
      <c r="O24" s="47"/>
      <c r="P24" s="47"/>
      <c r="Q24" s="47"/>
      <c r="R24" s="47"/>
      <c r="S24" s="47"/>
      <c r="U24" s="35"/>
      <c r="V24" s="35"/>
    </row>
    <row r="25" spans="2:22" ht="14.4" customHeight="1">
      <c r="B25" s="63" t="s">
        <v>59</v>
      </c>
      <c r="C25" s="21"/>
      <c r="D25" s="181">
        <f>D15-SUM(D20:D23)</f>
        <v>1440.0000000000009</v>
      </c>
      <c r="E25" s="181">
        <f t="shared" ref="E25:M25" si="6">E15-SUM(E20:E23)</f>
        <v>1602</v>
      </c>
      <c r="F25" s="181">
        <f t="shared" si="6"/>
        <v>1681</v>
      </c>
      <c r="G25" s="181">
        <f t="shared" si="6"/>
        <v>1810</v>
      </c>
      <c r="H25" s="181">
        <f t="shared" si="6"/>
        <v>2026</v>
      </c>
      <c r="I25" s="181">
        <f t="shared" si="6"/>
        <v>2139</v>
      </c>
      <c r="J25" s="181">
        <f t="shared" si="6"/>
        <v>2086.7004599999996</v>
      </c>
      <c r="K25" s="181">
        <f t="shared" si="6"/>
        <v>2368.4050220999989</v>
      </c>
      <c r="L25" s="181">
        <f t="shared" si="6"/>
        <v>2676.2976749729996</v>
      </c>
      <c r="M25" s="181">
        <f t="shared" si="6"/>
        <v>3367.1467049771245</v>
      </c>
      <c r="N25" s="181">
        <f>N15-SUM(N20:N23)</f>
        <v>3771.2043095743802</v>
      </c>
      <c r="O25" s="181">
        <f t="shared" ref="O25:S25" si="7">O15-SUM(O20:O23)</f>
        <v>4223.7488267233075</v>
      </c>
      <c r="P25" s="181">
        <f t="shared" si="7"/>
        <v>4730.5986859301047</v>
      </c>
      <c r="Q25" s="181">
        <f t="shared" si="7"/>
        <v>5298.2705282417173</v>
      </c>
      <c r="R25" s="181">
        <f t="shared" si="7"/>
        <v>5934.0629916307225</v>
      </c>
      <c r="S25" s="181">
        <f t="shared" si="7"/>
        <v>6646.1505506264111</v>
      </c>
      <c r="U25" s="35">
        <f>_xlfn.RRI(5,I25,N25)</f>
        <v>0.12009241262073433</v>
      </c>
      <c r="V25" s="35">
        <f>_xlfn.RRI(3,K25,N25)</f>
        <v>0.16772710945323421</v>
      </c>
    </row>
    <row r="26" spans="2:22" ht="14.4" customHeight="1">
      <c r="B26" s="64"/>
      <c r="D26" s="46"/>
      <c r="E26" s="46"/>
      <c r="F26" s="46"/>
      <c r="G26" s="46"/>
      <c r="H26" s="46"/>
      <c r="I26" s="46"/>
      <c r="J26" s="46"/>
      <c r="K26" s="46"/>
      <c r="L26" s="46"/>
      <c r="M26" s="46"/>
      <c r="N26" s="46"/>
      <c r="O26" s="46"/>
      <c r="P26" s="46"/>
      <c r="Q26" s="46"/>
      <c r="R26" s="46"/>
      <c r="S26" s="46"/>
      <c r="U26" s="35"/>
      <c r="V26" s="35"/>
    </row>
    <row r="27" spans="2:22" ht="14.4" customHeight="1">
      <c r="B27" s="419" t="s">
        <v>59</v>
      </c>
      <c r="C27" s="16"/>
      <c r="D27" s="420">
        <f t="shared" ref="D27:N27" si="8">D25/D13</f>
        <v>0.19685577580314434</v>
      </c>
      <c r="E27" s="420">
        <f t="shared" si="8"/>
        <v>0.19905566600397614</v>
      </c>
      <c r="F27" s="420">
        <f t="shared" si="8"/>
        <v>0.17672413793103448</v>
      </c>
      <c r="G27" s="420">
        <f t="shared" si="8"/>
        <v>0.18537484637443671</v>
      </c>
      <c r="H27" s="420">
        <f t="shared" si="8"/>
        <v>0.20988293794675231</v>
      </c>
      <c r="I27" s="420">
        <f t="shared" si="8"/>
        <v>0.19748868987166468</v>
      </c>
      <c r="J27" s="420">
        <f t="shared" si="8"/>
        <v>0.16899999999999993</v>
      </c>
      <c r="K27" s="420">
        <f t="shared" si="8"/>
        <v>0.1689999999999999</v>
      </c>
      <c r="L27" s="420">
        <f t="shared" si="8"/>
        <v>0.16899999999999996</v>
      </c>
      <c r="M27" s="420">
        <f t="shared" si="8"/>
        <v>0.18899999999999997</v>
      </c>
      <c r="N27" s="420">
        <f t="shared" si="8"/>
        <v>0.18899999999999997</v>
      </c>
      <c r="O27" s="420">
        <f t="shared" ref="O27:S27" si="9">O25/O13</f>
        <v>0.18900000000000003</v>
      </c>
      <c r="P27" s="420">
        <f t="shared" si="9"/>
        <v>0.18900000000000003</v>
      </c>
      <c r="Q27" s="420">
        <f t="shared" si="9"/>
        <v>0.189</v>
      </c>
      <c r="R27" s="420">
        <f t="shared" si="9"/>
        <v>0.18899999999999995</v>
      </c>
      <c r="S27" s="420">
        <f t="shared" si="9"/>
        <v>0.189</v>
      </c>
      <c r="U27" s="35"/>
      <c r="V27" s="35"/>
    </row>
    <row r="28" spans="2:22" ht="14.4" customHeight="1">
      <c r="B28" s="64"/>
      <c r="D28" s="194"/>
      <c r="E28" s="194"/>
      <c r="F28" s="194"/>
      <c r="G28" s="194"/>
      <c r="H28" s="194"/>
      <c r="I28" s="194"/>
      <c r="J28" s="46"/>
      <c r="K28" s="46"/>
      <c r="L28" s="46"/>
      <c r="M28" s="46"/>
      <c r="N28" s="46"/>
      <c r="O28" s="46"/>
      <c r="P28" s="46"/>
      <c r="Q28" s="46"/>
      <c r="R28" s="46"/>
      <c r="S28" s="46"/>
    </row>
    <row r="29" spans="2:22" ht="14.4" customHeight="1">
      <c r="B29" s="64" t="s">
        <v>44</v>
      </c>
      <c r="D29" s="47">
        <f>'P&amp;l 25-24'!E36*-1</f>
        <v>140</v>
      </c>
      <c r="E29" s="47">
        <f>'P&amp;l 25-24'!F36*-1</f>
        <v>139</v>
      </c>
      <c r="F29" s="47">
        <f>'P&amp;l 25-24'!G36*-1</f>
        <v>139</v>
      </c>
      <c r="G29" s="47">
        <f>'P&amp;l 25-24'!H36*-1</f>
        <v>155</v>
      </c>
      <c r="H29" s="47">
        <f>'P&amp;l 25-24'!I36*-1</f>
        <v>158</v>
      </c>
      <c r="I29" s="47">
        <f>'P&amp;l 25-24'!J36*-1</f>
        <v>178</v>
      </c>
      <c r="J29" s="47">
        <f>Schedules!J110</f>
        <v>191.17049600000001</v>
      </c>
      <c r="K29" s="47">
        <f>Schedules!K110</f>
        <v>206.11900896</v>
      </c>
      <c r="L29" s="47">
        <f>Schedules!L110</f>
        <v>223.0108286048</v>
      </c>
      <c r="M29" s="47">
        <f>Schedules!M110</f>
        <v>242.0141257052</v>
      </c>
      <c r="N29" s="47">
        <f>Schedules!N110</f>
        <v>226.96758766062001</v>
      </c>
      <c r="O29" s="47">
        <f>Schedules!O110</f>
        <v>231.31546505069042</v>
      </c>
      <c r="P29" s="47">
        <f>Schedules!P110</f>
        <v>258.01372923936117</v>
      </c>
      <c r="Q29" s="47">
        <f>Schedules!Q110</f>
        <v>289.78466362387945</v>
      </c>
      <c r="R29" s="47">
        <f>Schedules!R110</f>
        <v>322.2283942659522</v>
      </c>
      <c r="S29" s="47">
        <f>Schedules!S110</f>
        <v>351.53240903943725</v>
      </c>
      <c r="U29" s="35">
        <f>_xlfn.RRI(5,I29,N29)</f>
        <v>4.9805316657983267E-2</v>
      </c>
      <c r="V29" s="35">
        <f>_xlfn.RRI(3,K29,N29)</f>
        <v>3.2639179612817593E-2</v>
      </c>
    </row>
    <row r="30" spans="2:22" ht="14.4" customHeight="1">
      <c r="B30" s="63" t="s">
        <v>60</v>
      </c>
      <c r="C30" s="20"/>
      <c r="D30" s="181">
        <f>D25-D29</f>
        <v>1300.0000000000009</v>
      </c>
      <c r="E30" s="181">
        <f t="shared" ref="E30:I30" si="10">E25-E29</f>
        <v>1463</v>
      </c>
      <c r="F30" s="181">
        <f t="shared" si="10"/>
        <v>1542</v>
      </c>
      <c r="G30" s="181">
        <f t="shared" si="10"/>
        <v>1655</v>
      </c>
      <c r="H30" s="181">
        <f t="shared" si="10"/>
        <v>1868</v>
      </c>
      <c r="I30" s="181">
        <f t="shared" si="10"/>
        <v>1961</v>
      </c>
      <c r="J30" s="181">
        <f>J25-J29</f>
        <v>1895.5299639999996</v>
      </c>
      <c r="K30" s="181">
        <f t="shared" ref="K30:M30" si="11">K25-K29</f>
        <v>2162.2860131399989</v>
      </c>
      <c r="L30" s="181">
        <f t="shared" si="11"/>
        <v>2453.2868463681998</v>
      </c>
      <c r="M30" s="181">
        <f t="shared" si="11"/>
        <v>3125.1325792719244</v>
      </c>
      <c r="N30" s="181">
        <f>N25-N29</f>
        <v>3544.23672191376</v>
      </c>
      <c r="O30" s="181">
        <f t="shared" ref="O30:S30" si="12">O25-O29</f>
        <v>3992.4333616726171</v>
      </c>
      <c r="P30" s="181">
        <f t="shared" si="12"/>
        <v>4472.5849566907436</v>
      </c>
      <c r="Q30" s="181">
        <f t="shared" si="12"/>
        <v>5008.4858646178382</v>
      </c>
      <c r="R30" s="181">
        <f t="shared" si="12"/>
        <v>5611.8345973647702</v>
      </c>
      <c r="S30" s="181">
        <f t="shared" si="12"/>
        <v>6294.6181415869742</v>
      </c>
      <c r="U30" s="35">
        <f>_xlfn.RRI(5,I30,N30)</f>
        <v>0.12566464378778686</v>
      </c>
      <c r="V30" s="35">
        <f>_xlfn.RRI(3,K30,N30)</f>
        <v>0.17906168669815692</v>
      </c>
    </row>
    <row r="31" spans="2:22" ht="14.4" customHeight="1">
      <c r="B31" s="363"/>
      <c r="C31" s="18"/>
      <c r="D31" s="367"/>
      <c r="E31" s="367"/>
      <c r="F31" s="367"/>
      <c r="G31" s="367"/>
      <c r="H31" s="367"/>
      <c r="I31" s="367"/>
      <c r="J31" s="367"/>
      <c r="K31" s="367"/>
      <c r="L31" s="367"/>
      <c r="M31" s="367"/>
      <c r="N31" s="367"/>
      <c r="O31" s="367"/>
      <c r="P31" s="367"/>
      <c r="Q31" s="367"/>
      <c r="R31" s="367"/>
      <c r="S31" s="367"/>
      <c r="U31" s="35"/>
      <c r="V31" s="35"/>
    </row>
    <row r="32" spans="2:22" ht="14.4" customHeight="1">
      <c r="B32" s="64" t="s">
        <v>110</v>
      </c>
      <c r="C32" s="18"/>
      <c r="D32" s="368">
        <f>D30/D13</f>
        <v>0.17771701982228311</v>
      </c>
      <c r="E32" s="368">
        <f t="shared" ref="E32:N32" si="13">E30/E13</f>
        <v>0.18178429423459244</v>
      </c>
      <c r="F32" s="368">
        <f t="shared" si="13"/>
        <v>0.16211101766190075</v>
      </c>
      <c r="G32" s="368">
        <f t="shared" si="13"/>
        <v>0.1695002048340844</v>
      </c>
      <c r="H32" s="368">
        <f t="shared" si="13"/>
        <v>0.19351496943955246</v>
      </c>
      <c r="I32" s="368">
        <f t="shared" si="13"/>
        <v>0.18105438094358786</v>
      </c>
      <c r="J32" s="368">
        <f t="shared" si="13"/>
        <v>0.153517272870108</v>
      </c>
      <c r="K32" s="368">
        <f t="shared" si="13"/>
        <v>0.15429216405589538</v>
      </c>
      <c r="L32" s="368">
        <f t="shared" si="13"/>
        <v>0.15491754931200188</v>
      </c>
      <c r="M32" s="368">
        <f t="shared" si="13"/>
        <v>0.17541559938844611</v>
      </c>
      <c r="N32" s="368">
        <f t="shared" si="13"/>
        <v>0.17762515245887098</v>
      </c>
      <c r="O32" s="368">
        <f t="shared" ref="O32:S32" si="14">O30/O13</f>
        <v>0.1786493317457761</v>
      </c>
      <c r="P32" s="368">
        <f t="shared" si="14"/>
        <v>0.17869166524920485</v>
      </c>
      <c r="Q32" s="368">
        <f t="shared" si="14"/>
        <v>0.17866279635345672</v>
      </c>
      <c r="R32" s="368">
        <f t="shared" si="14"/>
        <v>0.17873702055368151</v>
      </c>
      <c r="S32" s="368">
        <f t="shared" si="14"/>
        <v>0.17900329216102523</v>
      </c>
      <c r="U32" s="35"/>
      <c r="V32" s="35"/>
    </row>
    <row r="33" spans="2:22" ht="14.4" customHeight="1">
      <c r="B33" s="363"/>
      <c r="C33" s="18"/>
      <c r="D33" s="367"/>
      <c r="E33" s="367"/>
      <c r="F33" s="367"/>
      <c r="G33" s="367"/>
      <c r="H33" s="367"/>
      <c r="I33" s="367"/>
      <c r="J33" s="367"/>
      <c r="K33" s="367"/>
      <c r="L33" s="367"/>
      <c r="M33" s="367"/>
      <c r="N33" s="367"/>
      <c r="O33" s="367"/>
      <c r="P33" s="367"/>
      <c r="Q33" s="367"/>
      <c r="R33" s="367"/>
      <c r="S33" s="367"/>
      <c r="U33" s="35"/>
      <c r="V33" s="35"/>
    </row>
    <row r="34" spans="2:22" ht="14.4" customHeight="1">
      <c r="B34" s="57" t="s">
        <v>685</v>
      </c>
      <c r="D34" s="47">
        <f>'P&amp;l 25-24'!E39*-1</f>
        <v>50</v>
      </c>
      <c r="E34" s="47">
        <f>'P&amp;l 25-24'!F39*-1</f>
        <v>34</v>
      </c>
      <c r="F34" s="47">
        <f>'P&amp;l 25-24'!G39*-1</f>
        <v>39</v>
      </c>
      <c r="G34" s="47">
        <f>'P&amp;l 25-24'!H39*-1</f>
        <v>56</v>
      </c>
      <c r="H34" s="47">
        <f>'P&amp;l 25-24'!I39*-1</f>
        <v>73</v>
      </c>
      <c r="I34" s="47">
        <f>'P&amp;l 25-24'!J39*-1</f>
        <v>53</v>
      </c>
      <c r="J34" s="47">
        <f>Schedules!J244</f>
        <v>54.555850000000007</v>
      </c>
      <c r="K34" s="47">
        <f>Schedules!K244</f>
        <v>65.90392725000001</v>
      </c>
      <c r="L34" s="47">
        <f>Schedules!L244</f>
        <v>64.72822896937501</v>
      </c>
      <c r="M34" s="47">
        <f>Schedules!M244</f>
        <v>63.096884903671878</v>
      </c>
      <c r="N34" s="47">
        <f>Schedules!N244</f>
        <v>70.816974350709387</v>
      </c>
      <c r="O34" s="47">
        <f>Schedules!O244</f>
        <v>72.470973822085455</v>
      </c>
      <c r="P34" s="47">
        <f>Schedules!P244</f>
        <v>74.167018088296174</v>
      </c>
      <c r="Q34" s="47">
        <f>Schedules!Q244</f>
        <v>82.910625117161231</v>
      </c>
      <c r="R34" s="47">
        <f>Schedules!R244</f>
        <v>92.859900131220584</v>
      </c>
      <c r="S34" s="47">
        <f>Schedules!S244</f>
        <v>104.00308814696706</v>
      </c>
      <c r="U34" s="35">
        <f>_xlfn.RRI(5,I34,N34)</f>
        <v>5.9674051048524968E-2</v>
      </c>
      <c r="V34" s="35">
        <f>_xlfn.RRI(3,K34,N34)</f>
        <v>2.425641064069417E-2</v>
      </c>
    </row>
    <row r="35" spans="2:22" ht="14.4" customHeight="1">
      <c r="B35" s="102" t="s">
        <v>171</v>
      </c>
      <c r="D35" s="47">
        <f>'P&amp;l 25-24'!E40</f>
        <v>124</v>
      </c>
      <c r="E35" s="47">
        <f>'P&amp;l 25-24'!F40</f>
        <v>94</v>
      </c>
      <c r="F35" s="47">
        <f>'P&amp;l 25-24'!G40</f>
        <v>98</v>
      </c>
      <c r="G35" s="47">
        <f>'P&amp;l 25-24'!H40</f>
        <v>144</v>
      </c>
      <c r="H35" s="47">
        <f>'P&amp;l 25-24'!I40</f>
        <v>142</v>
      </c>
      <c r="I35" s="47">
        <f>'P&amp;l 25-24'!J40</f>
        <v>208</v>
      </c>
      <c r="J35" s="47">
        <f>Schedules!J250</f>
        <v>185.21010000000001</v>
      </c>
      <c r="K35" s="47">
        <f>Schedules!K250</f>
        <v>210.21346350000002</v>
      </c>
      <c r="L35" s="47">
        <f>Schedules!L250</f>
        <v>237.541213755</v>
      </c>
      <c r="M35" s="47">
        <f>Schedules!M250</f>
        <v>267.23386547437502</v>
      </c>
      <c r="N35" s="47">
        <f>Schedules!N250</f>
        <v>299.30192933130002</v>
      </c>
      <c r="O35" s="47">
        <f>Schedules!O250</f>
        <v>335.2181608510561</v>
      </c>
      <c r="P35" s="47">
        <f>Schedules!P250</f>
        <v>375.44434015318285</v>
      </c>
      <c r="Q35" s="47">
        <f>Schedules!Q250</f>
        <v>420.49766097156481</v>
      </c>
      <c r="R35" s="47">
        <f>Schedules!R250</f>
        <v>470.95738028815265</v>
      </c>
      <c r="S35" s="47">
        <f>Schedules!S250</f>
        <v>527.47226592273103</v>
      </c>
      <c r="U35" s="35">
        <f>_xlfn.RRI(5,I35,N35)</f>
        <v>7.549708166776159E-2</v>
      </c>
      <c r="V35" s="35">
        <f>_xlfn.RRI(3,K35,N35)</f>
        <v>0.12499259254381889</v>
      </c>
    </row>
    <row r="36" spans="2:22" ht="14.4" customHeight="1">
      <c r="B36" s="63" t="s">
        <v>61</v>
      </c>
      <c r="C36" s="20"/>
      <c r="D36" s="181">
        <f>D30-D34+D35</f>
        <v>1374.0000000000009</v>
      </c>
      <c r="E36" s="181">
        <f t="shared" ref="E36:M36" si="15">E30-E34+E35</f>
        <v>1523</v>
      </c>
      <c r="F36" s="181">
        <f t="shared" si="15"/>
        <v>1601</v>
      </c>
      <c r="G36" s="181">
        <f t="shared" si="15"/>
        <v>1743</v>
      </c>
      <c r="H36" s="181">
        <f t="shared" si="15"/>
        <v>1937</v>
      </c>
      <c r="I36" s="181">
        <f t="shared" si="15"/>
        <v>2116</v>
      </c>
      <c r="J36" s="181">
        <f t="shared" si="15"/>
        <v>2026.1842139999997</v>
      </c>
      <c r="K36" s="181">
        <f t="shared" si="15"/>
        <v>2306.5955493899992</v>
      </c>
      <c r="L36" s="181">
        <f t="shared" si="15"/>
        <v>2626.0998311538251</v>
      </c>
      <c r="M36" s="181">
        <f t="shared" si="15"/>
        <v>3329.2695598426276</v>
      </c>
      <c r="N36" s="181">
        <f>N30-N34+N35</f>
        <v>3772.7216768943508</v>
      </c>
      <c r="O36" s="181">
        <f t="shared" ref="O36:S36" si="16">O30-O34+O35</f>
        <v>4255.1805487015881</v>
      </c>
      <c r="P36" s="181">
        <f t="shared" si="16"/>
        <v>4773.8622787556296</v>
      </c>
      <c r="Q36" s="181">
        <f t="shared" si="16"/>
        <v>5346.0729004722416</v>
      </c>
      <c r="R36" s="181">
        <f t="shared" si="16"/>
        <v>5989.932077521702</v>
      </c>
      <c r="S36" s="181">
        <f t="shared" si="16"/>
        <v>6718.0873193627376</v>
      </c>
      <c r="U36" s="35">
        <f>_xlfn.RRI(5,I36,N36)</f>
        <v>0.1226071935492119</v>
      </c>
      <c r="V36" s="35">
        <f>_xlfn.RRI(3,K36,N36)</f>
        <v>0.17822374944892028</v>
      </c>
    </row>
    <row r="37" spans="2:22" ht="14.4" customHeight="1">
      <c r="B37" s="58"/>
      <c r="D37" s="46"/>
      <c r="E37" s="46"/>
      <c r="F37" s="46"/>
      <c r="G37" s="46"/>
      <c r="H37" s="46"/>
      <c r="I37" s="47"/>
      <c r="J37" s="47"/>
      <c r="K37" s="47"/>
      <c r="L37" s="46"/>
      <c r="M37" s="46"/>
      <c r="N37" s="46"/>
      <c r="O37" s="46"/>
      <c r="P37" s="46"/>
      <c r="Q37" s="46"/>
      <c r="R37" s="46"/>
      <c r="S37" s="46"/>
      <c r="U37" s="35"/>
      <c r="V37" s="35"/>
    </row>
    <row r="38" spans="2:22" ht="14.4" customHeight="1">
      <c r="B38" s="58" t="s">
        <v>2</v>
      </c>
      <c r="D38" s="47">
        <f>'P&amp;l 25-24'!E44*-1</f>
        <v>331</v>
      </c>
      <c r="E38" s="47">
        <f>'P&amp;l 25-24'!F44*-1</f>
        <v>324</v>
      </c>
      <c r="F38" s="47">
        <f>'P&amp;l 25-24'!G44*-1</f>
        <v>346</v>
      </c>
      <c r="G38" s="47">
        <f>'P&amp;l 25-24'!H44*-1</f>
        <v>421</v>
      </c>
      <c r="H38" s="47">
        <f>'P&amp;l 25-24'!I44*-1</f>
        <v>435</v>
      </c>
      <c r="I38" s="47">
        <f>'P&amp;l 25-24'!J44*-1</f>
        <v>458</v>
      </c>
      <c r="J38" s="47">
        <f>Schedules!J136</f>
        <v>508.97747455679985</v>
      </c>
      <c r="K38" s="47">
        <f>Schedules!K136</f>
        <v>579.41680200676774</v>
      </c>
      <c r="L38" s="47">
        <f>Schedules!L136</f>
        <v>659.67627758584081</v>
      </c>
      <c r="M38" s="47">
        <f>Schedules!M136</f>
        <v>836.31251343246799</v>
      </c>
      <c r="N38" s="47">
        <f>Schedules!N136</f>
        <v>947.70768523586082</v>
      </c>
      <c r="O38" s="47">
        <f>Schedules!O136</f>
        <v>1068.9013538338388</v>
      </c>
      <c r="P38" s="47">
        <f>Schedules!P136</f>
        <v>1199.194204423414</v>
      </c>
      <c r="Q38" s="47">
        <f>Schedules!Q136</f>
        <v>1342.933512598627</v>
      </c>
      <c r="R38" s="47">
        <f>Schedules!R136</f>
        <v>1504.6709378734515</v>
      </c>
      <c r="S38" s="47">
        <f>Schedules!S136</f>
        <v>1687.5835346239196</v>
      </c>
      <c r="U38" s="35">
        <f>_xlfn.RRI(5,I38,N38)</f>
        <v>0.15654300137474442</v>
      </c>
      <c r="V38" s="35">
        <f>_xlfn.RRI(3,K38,N38)</f>
        <v>0.17822374944892028</v>
      </c>
    </row>
    <row r="39" spans="2:22" ht="14.4" customHeight="1" thickBot="1">
      <c r="B39" s="65" t="s">
        <v>3</v>
      </c>
      <c r="C39" s="66"/>
      <c r="D39" s="436">
        <f>D36-D38</f>
        <v>1043.0000000000009</v>
      </c>
      <c r="E39" s="436">
        <f t="shared" ref="E39:M39" si="17">E36-E38</f>
        <v>1199</v>
      </c>
      <c r="F39" s="436">
        <f t="shared" si="17"/>
        <v>1255</v>
      </c>
      <c r="G39" s="436">
        <f t="shared" si="17"/>
        <v>1322</v>
      </c>
      <c r="H39" s="436">
        <f t="shared" si="17"/>
        <v>1502</v>
      </c>
      <c r="I39" s="436">
        <f t="shared" si="17"/>
        <v>1658</v>
      </c>
      <c r="J39" s="436">
        <f>J36-J38</f>
        <v>1517.2067394431997</v>
      </c>
      <c r="K39" s="436">
        <f t="shared" si="17"/>
        <v>1727.1787473832314</v>
      </c>
      <c r="L39" s="436">
        <f t="shared" si="17"/>
        <v>1966.4235535679843</v>
      </c>
      <c r="M39" s="436">
        <f t="shared" si="17"/>
        <v>2492.9570464101598</v>
      </c>
      <c r="N39" s="436">
        <f>N36-N38</f>
        <v>2825.0139916584899</v>
      </c>
      <c r="O39" s="436">
        <f t="shared" ref="O39:S39" si="18">O36-O38</f>
        <v>3186.2791948677495</v>
      </c>
      <c r="P39" s="436">
        <f t="shared" si="18"/>
        <v>3574.6680743322158</v>
      </c>
      <c r="Q39" s="436">
        <f t="shared" si="18"/>
        <v>4003.1393878736144</v>
      </c>
      <c r="R39" s="436">
        <f t="shared" si="18"/>
        <v>4485.2611396482507</v>
      </c>
      <c r="S39" s="436">
        <f t="shared" si="18"/>
        <v>5030.5037847388176</v>
      </c>
      <c r="U39" s="35">
        <f>_xlfn.RRI(5,I39,N39)</f>
        <v>0.11246720073083094</v>
      </c>
      <c r="V39" s="35">
        <f>_xlfn.RRI(3,K39,N39)</f>
        <v>0.17822374944892028</v>
      </c>
    </row>
    <row r="40" spans="2:22" ht="14.4" customHeight="1">
      <c r="D40" s="46"/>
      <c r="E40" s="46"/>
      <c r="F40" s="46"/>
      <c r="G40" s="46"/>
      <c r="H40" s="46"/>
      <c r="I40" s="46"/>
      <c r="J40" s="46"/>
      <c r="K40" s="46"/>
      <c r="L40" s="46"/>
      <c r="M40" s="46"/>
      <c r="N40" s="46"/>
      <c r="O40" s="46"/>
      <c r="P40" s="46"/>
      <c r="Q40" s="46"/>
      <c r="R40" s="46"/>
      <c r="S40" s="46"/>
    </row>
    <row r="41" spans="2:22" ht="14.4" customHeight="1">
      <c r="B41" s="16" t="s">
        <v>65</v>
      </c>
      <c r="C41" s="16"/>
      <c r="D41" s="183" t="s">
        <v>776</v>
      </c>
      <c r="E41" s="48">
        <f>E13/D13-1</f>
        <v>0.10020505809979485</v>
      </c>
      <c r="F41" s="48">
        <f t="shared" ref="F41:M41" si="19">F13/E13-1</f>
        <v>0.18190854870775341</v>
      </c>
      <c r="G41" s="48">
        <f t="shared" si="19"/>
        <v>2.6492851135407891E-2</v>
      </c>
      <c r="H41" s="48">
        <f t="shared" si="19"/>
        <v>-1.1368291683736209E-2</v>
      </c>
      <c r="I41" s="48">
        <f t="shared" si="19"/>
        <v>0.12203460064228744</v>
      </c>
      <c r="J41" s="48">
        <f t="shared" si="19"/>
        <v>0.14000000000000012</v>
      </c>
      <c r="K41" s="48">
        <f t="shared" si="19"/>
        <v>0.13500000000000001</v>
      </c>
      <c r="L41" s="48">
        <f t="shared" si="19"/>
        <v>0.12999999999999989</v>
      </c>
      <c r="M41" s="48">
        <f t="shared" si="19"/>
        <v>0.125</v>
      </c>
      <c r="N41" s="48">
        <f>N13/M13-1</f>
        <v>0.12000000000000011</v>
      </c>
      <c r="O41" s="48">
        <f t="shared" ref="O41:S41" si="20">O13/N13-1</f>
        <v>0.12000000000000011</v>
      </c>
      <c r="P41" s="48">
        <f t="shared" si="20"/>
        <v>0.12000000000000011</v>
      </c>
      <c r="Q41" s="48">
        <f t="shared" si="20"/>
        <v>0.12000000000000011</v>
      </c>
      <c r="R41" s="48">
        <f t="shared" si="20"/>
        <v>0.12000000000000011</v>
      </c>
      <c r="S41" s="48">
        <f t="shared" si="20"/>
        <v>0.12000000000000011</v>
      </c>
    </row>
    <row r="42" spans="2:22" ht="14.4" customHeight="1">
      <c r="B42" s="16" t="s">
        <v>66</v>
      </c>
      <c r="C42" s="16"/>
      <c r="D42" s="48">
        <f>D15/D13</f>
        <v>0.48803827751196172</v>
      </c>
      <c r="E42" s="48">
        <f t="shared" ref="E42:N42" si="21">E15/E13</f>
        <v>0.46943339960238567</v>
      </c>
      <c r="F42" s="48">
        <f t="shared" si="21"/>
        <v>0.42851135407905805</v>
      </c>
      <c r="G42" s="48">
        <f t="shared" si="21"/>
        <v>0.45196640721015979</v>
      </c>
      <c r="H42" s="48">
        <f t="shared" si="21"/>
        <v>0.50813218688490625</v>
      </c>
      <c r="I42" s="48">
        <f t="shared" si="21"/>
        <v>0.50253900840180965</v>
      </c>
      <c r="J42" s="48">
        <f t="shared" si="21"/>
        <v>0.47999999999999993</v>
      </c>
      <c r="K42" s="48">
        <f t="shared" si="21"/>
        <v>0.48</v>
      </c>
      <c r="L42" s="48">
        <f t="shared" si="21"/>
        <v>0.48</v>
      </c>
      <c r="M42" s="48">
        <f t="shared" si="21"/>
        <v>0.5</v>
      </c>
      <c r="N42" s="48">
        <f t="shared" si="21"/>
        <v>0.5</v>
      </c>
      <c r="O42" s="48">
        <f t="shared" ref="O42:S42" si="22">O15/O13</f>
        <v>0.5</v>
      </c>
      <c r="P42" s="48">
        <f t="shared" si="22"/>
        <v>0.5</v>
      </c>
      <c r="Q42" s="48">
        <f t="shared" si="22"/>
        <v>0.5</v>
      </c>
      <c r="R42" s="48">
        <f t="shared" si="22"/>
        <v>0.5</v>
      </c>
      <c r="S42" s="48">
        <f t="shared" si="22"/>
        <v>0.5</v>
      </c>
    </row>
    <row r="43" spans="2:22" ht="14.4" customHeight="1">
      <c r="B43" s="16" t="s">
        <v>67</v>
      </c>
      <c r="C43" s="16"/>
      <c r="D43" s="48">
        <f>D25/D13</f>
        <v>0.19685577580314434</v>
      </c>
      <c r="E43" s="48">
        <f t="shared" ref="E43:N43" si="23">E25/E13</f>
        <v>0.19905566600397614</v>
      </c>
      <c r="F43" s="48">
        <f t="shared" si="23"/>
        <v>0.17672413793103448</v>
      </c>
      <c r="G43" s="48">
        <f t="shared" si="23"/>
        <v>0.18537484637443671</v>
      </c>
      <c r="H43" s="48">
        <f t="shared" si="23"/>
        <v>0.20988293794675231</v>
      </c>
      <c r="I43" s="48">
        <f t="shared" si="23"/>
        <v>0.19748868987166468</v>
      </c>
      <c r="J43" s="48">
        <f t="shared" si="23"/>
        <v>0.16899999999999993</v>
      </c>
      <c r="K43" s="48">
        <f t="shared" si="23"/>
        <v>0.1689999999999999</v>
      </c>
      <c r="L43" s="48">
        <f t="shared" si="23"/>
        <v>0.16899999999999996</v>
      </c>
      <c r="M43" s="48">
        <f t="shared" si="23"/>
        <v>0.18899999999999997</v>
      </c>
      <c r="N43" s="48">
        <f t="shared" si="23"/>
        <v>0.18899999999999997</v>
      </c>
      <c r="O43" s="48">
        <f t="shared" ref="O43:S43" si="24">O25/O13</f>
        <v>0.18900000000000003</v>
      </c>
      <c r="P43" s="48">
        <f t="shared" si="24"/>
        <v>0.18900000000000003</v>
      </c>
      <c r="Q43" s="48">
        <f t="shared" si="24"/>
        <v>0.189</v>
      </c>
      <c r="R43" s="48">
        <f t="shared" si="24"/>
        <v>0.18899999999999995</v>
      </c>
      <c r="S43" s="48">
        <f t="shared" si="24"/>
        <v>0.189</v>
      </c>
    </row>
    <row r="44" spans="2:22" ht="14.4" customHeight="1">
      <c r="B44" s="16" t="s">
        <v>68</v>
      </c>
      <c r="C44" s="16"/>
      <c r="D44" s="48">
        <f>D30/D13</f>
        <v>0.17771701982228311</v>
      </c>
      <c r="E44" s="48">
        <f t="shared" ref="E44:N44" si="25">E30/E13</f>
        <v>0.18178429423459244</v>
      </c>
      <c r="F44" s="48">
        <f t="shared" si="25"/>
        <v>0.16211101766190075</v>
      </c>
      <c r="G44" s="48">
        <f t="shared" si="25"/>
        <v>0.1695002048340844</v>
      </c>
      <c r="H44" s="48">
        <f t="shared" si="25"/>
        <v>0.19351496943955246</v>
      </c>
      <c r="I44" s="48">
        <f t="shared" si="25"/>
        <v>0.18105438094358786</v>
      </c>
      <c r="J44" s="48">
        <f t="shared" si="25"/>
        <v>0.153517272870108</v>
      </c>
      <c r="K44" s="48">
        <f t="shared" si="25"/>
        <v>0.15429216405589538</v>
      </c>
      <c r="L44" s="48">
        <f t="shared" si="25"/>
        <v>0.15491754931200188</v>
      </c>
      <c r="M44" s="48">
        <f t="shared" si="25"/>
        <v>0.17541559938844611</v>
      </c>
      <c r="N44" s="48">
        <f t="shared" si="25"/>
        <v>0.17762515245887098</v>
      </c>
      <c r="O44" s="48">
        <f t="shared" ref="O44:S44" si="26">O30/O13</f>
        <v>0.1786493317457761</v>
      </c>
      <c r="P44" s="48">
        <f t="shared" si="26"/>
        <v>0.17869166524920485</v>
      </c>
      <c r="Q44" s="48">
        <f t="shared" si="26"/>
        <v>0.17866279635345672</v>
      </c>
      <c r="R44" s="48">
        <f t="shared" si="26"/>
        <v>0.17873702055368151</v>
      </c>
      <c r="S44" s="48">
        <f t="shared" si="26"/>
        <v>0.17900329216102523</v>
      </c>
    </row>
    <row r="45" spans="2:22" ht="14.4" customHeight="1">
      <c r="B45" s="16" t="s">
        <v>69</v>
      </c>
      <c r="C45" s="16"/>
      <c r="D45" s="48">
        <f>D38/D36</f>
        <v>0.24090247452692851</v>
      </c>
      <c r="E45" s="48">
        <f t="shared" ref="E45:N45" si="27">E38/E36</f>
        <v>0.21273801707156928</v>
      </c>
      <c r="F45" s="48">
        <f t="shared" si="27"/>
        <v>0.21611492816989381</v>
      </c>
      <c r="G45" s="48">
        <f t="shared" si="27"/>
        <v>0.24153757888697647</v>
      </c>
      <c r="H45" s="48">
        <f t="shared" si="27"/>
        <v>0.22457408363448633</v>
      </c>
      <c r="I45" s="48">
        <f t="shared" si="27"/>
        <v>0.21644612476370512</v>
      </c>
      <c r="J45" s="48">
        <f t="shared" si="27"/>
        <v>0.25119999999999998</v>
      </c>
      <c r="K45" s="48">
        <f t="shared" si="27"/>
        <v>0.25119999999999998</v>
      </c>
      <c r="L45" s="48">
        <f t="shared" si="27"/>
        <v>0.25119999999999998</v>
      </c>
      <c r="M45" s="48">
        <f t="shared" si="27"/>
        <v>0.25119999999999998</v>
      </c>
      <c r="N45" s="48">
        <f t="shared" si="27"/>
        <v>0.25119999999999998</v>
      </c>
      <c r="O45" s="48">
        <f t="shared" ref="O45:S45" si="28">O38/O36</f>
        <v>0.25119999999999998</v>
      </c>
      <c r="P45" s="48">
        <f t="shared" si="28"/>
        <v>0.25119999999999998</v>
      </c>
      <c r="Q45" s="48">
        <f t="shared" si="28"/>
        <v>0.25119999999999998</v>
      </c>
      <c r="R45" s="48">
        <f t="shared" si="28"/>
        <v>0.25119999999999998</v>
      </c>
      <c r="S45" s="48">
        <f t="shared" si="28"/>
        <v>0.25119999999999998</v>
      </c>
    </row>
    <row r="46" spans="2:22" ht="14.4" customHeight="1">
      <c r="B46" s="16" t="s">
        <v>70</v>
      </c>
      <c r="C46" s="16"/>
      <c r="D46" s="48">
        <f>D39/D13</f>
        <v>0.1425837320574164</v>
      </c>
      <c r="E46" s="48">
        <f t="shared" ref="E46:N46" si="29">E39/E13</f>
        <v>0.14898111332007952</v>
      </c>
      <c r="F46" s="48">
        <f t="shared" si="29"/>
        <v>0.1319386038687973</v>
      </c>
      <c r="G46" s="48">
        <f t="shared" si="29"/>
        <v>0.13539532978287588</v>
      </c>
      <c r="H46" s="48">
        <f t="shared" si="29"/>
        <v>0.15559929555578578</v>
      </c>
      <c r="I46" s="48">
        <f t="shared" si="29"/>
        <v>0.1530791247345582</v>
      </c>
      <c r="J46" s="48">
        <f t="shared" si="29"/>
        <v>0.12287721399452833</v>
      </c>
      <c r="K46" s="48">
        <f t="shared" si="29"/>
        <v>0.12324463323800602</v>
      </c>
      <c r="L46" s="48">
        <f t="shared" si="29"/>
        <v>0.12417362375668545</v>
      </c>
      <c r="M46" s="48">
        <f t="shared" si="29"/>
        <v>0.13993120082206845</v>
      </c>
      <c r="N46" s="48">
        <f t="shared" si="29"/>
        <v>0.14158014273263117</v>
      </c>
      <c r="O46" s="48">
        <f t="shared" ref="O46:S46" si="30">O39/O13</f>
        <v>0.14257636818266575</v>
      </c>
      <c r="P46" s="48">
        <f t="shared" si="30"/>
        <v>0.14281749751003317</v>
      </c>
      <c r="Q46" s="48">
        <f t="shared" si="30"/>
        <v>0.14280005905232551</v>
      </c>
      <c r="R46" s="48">
        <f t="shared" si="30"/>
        <v>0.14285563813345387</v>
      </c>
      <c r="S46" s="48">
        <f t="shared" si="30"/>
        <v>0.14305502231303283</v>
      </c>
    </row>
    <row r="47" spans="2:22" ht="14.4" customHeight="1">
      <c r="B47" s="16" t="s">
        <v>971</v>
      </c>
      <c r="C47" s="16"/>
      <c r="D47" s="518">
        <f>D30/D34</f>
        <v>26.000000000000018</v>
      </c>
      <c r="E47" s="518">
        <f t="shared" ref="E47:N47" si="31">E30/E34</f>
        <v>43.029411764705884</v>
      </c>
      <c r="F47" s="518">
        <f t="shared" si="31"/>
        <v>39.53846153846154</v>
      </c>
      <c r="G47" s="518">
        <f t="shared" si="31"/>
        <v>29.553571428571427</v>
      </c>
      <c r="H47" s="518">
        <f t="shared" si="31"/>
        <v>25.589041095890412</v>
      </c>
      <c r="I47" s="518">
        <f t="shared" si="31"/>
        <v>37</v>
      </c>
      <c r="J47" s="518">
        <f t="shared" si="31"/>
        <v>34.744760900984943</v>
      </c>
      <c r="K47" s="518">
        <f t="shared" si="31"/>
        <v>32.809668609544033</v>
      </c>
      <c r="L47" s="518">
        <f t="shared" si="31"/>
        <v>37.901343593518185</v>
      </c>
      <c r="M47" s="518">
        <f t="shared" si="31"/>
        <v>49.529110415561256</v>
      </c>
      <c r="N47" s="518">
        <f t="shared" si="31"/>
        <v>50.047841699103273</v>
      </c>
      <c r="O47" s="518">
        <f t="shared" ref="O47:S47" si="32">O30/O34</f>
        <v>55.090102300459598</v>
      </c>
      <c r="P47" s="518">
        <f t="shared" si="32"/>
        <v>60.304230532311692</v>
      </c>
      <c r="Q47" s="518">
        <f t="shared" si="32"/>
        <v>60.408251144414038</v>
      </c>
      <c r="R47" s="518">
        <f t="shared" si="32"/>
        <v>60.433347326829676</v>
      </c>
      <c r="S47" s="518">
        <f t="shared" si="32"/>
        <v>60.523377274067393</v>
      </c>
    </row>
    <row r="48" spans="2:22" ht="14.4" customHeight="1">
      <c r="D48" s="46"/>
      <c r="E48" s="46"/>
      <c r="F48" s="46"/>
      <c r="G48" s="46"/>
      <c r="H48" s="46"/>
      <c r="I48" s="46"/>
      <c r="J48" s="46"/>
      <c r="K48" s="46"/>
      <c r="L48" s="46"/>
      <c r="M48" s="46"/>
      <c r="N48" s="46"/>
      <c r="O48" s="46"/>
      <c r="P48" s="46"/>
      <c r="Q48" s="46"/>
      <c r="R48" s="46"/>
      <c r="S48" s="46"/>
    </row>
    <row r="49" spans="1:23" s="7" customFormat="1" ht="18" customHeight="1">
      <c r="A49" s="7" t="s">
        <v>21</v>
      </c>
      <c r="B49" s="25" t="s">
        <v>72</v>
      </c>
      <c r="C49" s="67"/>
      <c r="D49" s="184"/>
      <c r="E49" s="184"/>
      <c r="F49" s="184"/>
      <c r="G49" s="184"/>
      <c r="H49" s="184"/>
      <c r="I49" s="184"/>
      <c r="J49" s="184"/>
      <c r="K49" s="184"/>
      <c r="L49" s="184"/>
      <c r="M49" s="184"/>
      <c r="N49" s="184"/>
      <c r="O49" s="184"/>
      <c r="P49" s="184"/>
      <c r="Q49" s="184"/>
      <c r="R49" s="184"/>
      <c r="S49" s="184"/>
      <c r="T49"/>
      <c r="U49"/>
      <c r="V49"/>
      <c r="W49"/>
    </row>
    <row r="50" spans="1:23" ht="14.4" customHeight="1">
      <c r="D50" s="46"/>
      <c r="E50" s="46"/>
      <c r="F50" s="46"/>
      <c r="G50" s="46"/>
      <c r="H50" s="194"/>
      <c r="I50" s="46"/>
      <c r="J50" s="46"/>
      <c r="K50" s="46"/>
      <c r="L50" s="46"/>
      <c r="M50" s="46"/>
      <c r="N50" s="46"/>
      <c r="O50" s="46"/>
      <c r="P50" s="46"/>
      <c r="Q50" s="46"/>
      <c r="R50" s="46"/>
      <c r="S50" s="46"/>
    </row>
    <row r="51" spans="1:23" ht="14.4" customHeight="1">
      <c r="B51" s="495" t="s">
        <v>4</v>
      </c>
      <c r="C51" s="2"/>
      <c r="D51" s="185"/>
      <c r="E51" s="185"/>
      <c r="F51" s="185"/>
      <c r="G51" s="185"/>
      <c r="H51" s="185"/>
      <c r="I51" s="185"/>
      <c r="J51" s="185"/>
      <c r="K51" s="185"/>
      <c r="L51" s="185"/>
      <c r="M51" s="185"/>
      <c r="N51" s="185"/>
      <c r="O51" s="185"/>
      <c r="P51" s="185"/>
      <c r="Q51" s="185"/>
      <c r="R51" s="185"/>
      <c r="S51" s="185"/>
    </row>
    <row r="52" spans="1:23" ht="14.4" customHeight="1">
      <c r="B52" s="61"/>
      <c r="C52" s="2"/>
      <c r="D52" s="185"/>
      <c r="E52" s="185"/>
      <c r="F52" s="185"/>
      <c r="G52" s="185"/>
      <c r="H52" s="185"/>
      <c r="I52" s="185"/>
      <c r="J52" s="185"/>
      <c r="K52" s="185"/>
      <c r="L52" s="185"/>
      <c r="M52" s="185"/>
      <c r="N52" s="185"/>
      <c r="O52" s="185"/>
      <c r="P52" s="185"/>
      <c r="Q52" s="185"/>
      <c r="R52" s="185"/>
      <c r="S52" s="185"/>
    </row>
    <row r="53" spans="1:23" ht="14.4" customHeight="1">
      <c r="B53" s="61" t="s">
        <v>669</v>
      </c>
      <c r="C53" s="2"/>
      <c r="D53" s="185"/>
      <c r="E53" s="185"/>
      <c r="F53" s="185"/>
      <c r="G53" s="185"/>
      <c r="H53" s="185"/>
      <c r="I53" s="185"/>
      <c r="J53" s="185"/>
      <c r="K53" s="185"/>
      <c r="L53" s="185"/>
      <c r="M53" s="185"/>
      <c r="N53" s="185"/>
      <c r="O53" s="185"/>
      <c r="P53" s="185"/>
      <c r="Q53" s="185"/>
      <c r="R53" s="185"/>
      <c r="S53" s="185"/>
    </row>
    <row r="54" spans="1:23" ht="14.4" customHeight="1">
      <c r="B54" s="58" t="s">
        <v>653</v>
      </c>
      <c r="C54" s="2"/>
      <c r="D54" s="186">
        <f>'Balance Sheet'!D8</f>
        <v>654</v>
      </c>
      <c r="E54" s="186">
        <f>'Balance Sheet'!E8</f>
        <v>572</v>
      </c>
      <c r="F54" s="186">
        <f>'Balance Sheet'!F8</f>
        <v>600</v>
      </c>
      <c r="G54" s="186">
        <f>'Balance Sheet'!G8</f>
        <v>633</v>
      </c>
      <c r="H54" s="186">
        <f>'Balance Sheet'!H8</f>
        <v>700</v>
      </c>
      <c r="I54" s="186">
        <f>'Balance Sheet'!I8</f>
        <v>710</v>
      </c>
      <c r="J54" s="186">
        <f>Schedules!J56</f>
        <v>780.38694400000008</v>
      </c>
      <c r="K54" s="186">
        <f>Schedules!K56</f>
        <v>862.49562944000013</v>
      </c>
      <c r="L54" s="186">
        <f>Schedules!L56</f>
        <v>956.86209550720014</v>
      </c>
      <c r="M54" s="186">
        <f>Schedules!M56</f>
        <v>1063.8974263080001</v>
      </c>
      <c r="N54" s="186">
        <f>Schedules!N56</f>
        <v>1165.2317679786802</v>
      </c>
      <c r="O54" s="186">
        <f>Schedules!O56</f>
        <v>1280.134463779046</v>
      </c>
      <c r="P54" s="186">
        <f>Schedules!P56</f>
        <v>1433.5946973697464</v>
      </c>
      <c r="Q54" s="186">
        <f>Schedules!Q56</f>
        <v>1631.3740495136406</v>
      </c>
      <c r="R54" s="186">
        <f>Schedules!R56</f>
        <v>1806.8016148787794</v>
      </c>
      <c r="S54" s="186">
        <f>Schedules!S56</f>
        <v>1905.8294274416182</v>
      </c>
      <c r="T54" s="185"/>
    </row>
    <row r="55" spans="1:23" ht="14.4" customHeight="1">
      <c r="B55" s="58" t="s">
        <v>179</v>
      </c>
      <c r="C55" s="2"/>
      <c r="D55" s="186">
        <f>'Balance Sheet'!D9</f>
        <v>58</v>
      </c>
      <c r="E55" s="186">
        <f>'Balance Sheet'!E9</f>
        <v>24</v>
      </c>
      <c r="F55" s="186">
        <f>'Balance Sheet'!F9</f>
        <v>39</v>
      </c>
      <c r="G55" s="47">
        <f>'Balance Sheet'!G9</f>
        <v>67</v>
      </c>
      <c r="H55" s="47">
        <f>'Balance Sheet'!H9</f>
        <v>44</v>
      </c>
      <c r="I55" s="47">
        <f>'Balance Sheet'!I9</f>
        <v>40</v>
      </c>
      <c r="J55" s="47">
        <f>Schedules!J69</f>
        <v>40</v>
      </c>
      <c r="K55" s="47">
        <f>Schedules!K69</f>
        <v>40</v>
      </c>
      <c r="L55" s="47">
        <f>Schedules!L69</f>
        <v>40</v>
      </c>
      <c r="M55" s="47">
        <f>Schedules!M69</f>
        <v>40</v>
      </c>
      <c r="N55" s="47">
        <f>Schedules!N69</f>
        <v>40</v>
      </c>
      <c r="O55" s="47">
        <f>Schedules!O69</f>
        <v>40</v>
      </c>
      <c r="P55" s="47">
        <f>Schedules!P69</f>
        <v>40</v>
      </c>
      <c r="Q55" s="47">
        <f>Schedules!Q69</f>
        <v>40</v>
      </c>
      <c r="R55" s="47">
        <f>Schedules!R69</f>
        <v>40</v>
      </c>
      <c r="S55" s="47">
        <f>Schedules!S69</f>
        <v>40</v>
      </c>
    </row>
    <row r="56" spans="1:23" ht="14.4" customHeight="1">
      <c r="B56" s="58" t="s">
        <v>180</v>
      </c>
      <c r="C56" s="2"/>
      <c r="D56" s="186">
        <f>'Balance Sheet'!D10</f>
        <v>146</v>
      </c>
      <c r="E56" s="186">
        <f>'Balance Sheet'!E10</f>
        <v>180</v>
      </c>
      <c r="F56" s="186">
        <f>'Balance Sheet'!F10</f>
        <v>178</v>
      </c>
      <c r="G56" s="47">
        <f>'Balance Sheet'!G10</f>
        <v>175</v>
      </c>
      <c r="H56" s="47">
        <f>'Balance Sheet'!H10</f>
        <v>209</v>
      </c>
      <c r="I56" s="47">
        <f>'Balance Sheet'!I10</f>
        <v>230</v>
      </c>
      <c r="J56" s="47">
        <f>Schedules!J63</f>
        <v>177</v>
      </c>
      <c r="K56" s="47">
        <f>Schedules!K63</f>
        <v>124</v>
      </c>
      <c r="L56" s="47">
        <f>Schedules!L63</f>
        <v>71</v>
      </c>
      <c r="M56" s="47">
        <f>Schedules!M63</f>
        <v>18</v>
      </c>
      <c r="N56" s="47">
        <f>Schedules!N63</f>
        <v>0</v>
      </c>
      <c r="O56" s="47">
        <f>Schedules!O63</f>
        <v>0</v>
      </c>
      <c r="P56" s="47">
        <f>Schedules!P63</f>
        <v>0</v>
      </c>
      <c r="Q56" s="47">
        <f>Schedules!Q63</f>
        <v>0</v>
      </c>
      <c r="R56" s="47">
        <f>Schedules!R63</f>
        <v>0</v>
      </c>
      <c r="S56" s="47">
        <f>Schedules!S63</f>
        <v>0</v>
      </c>
    </row>
    <row r="57" spans="1:23" ht="14.4" customHeight="1">
      <c r="B57" s="58" t="s">
        <v>654</v>
      </c>
      <c r="C57" s="2"/>
      <c r="D57" s="186">
        <f>'Balance Sheet'!D11</f>
        <v>17</v>
      </c>
      <c r="E57" s="186">
        <f>'Balance Sheet'!E11</f>
        <v>17</v>
      </c>
      <c r="F57" s="186">
        <f>'Balance Sheet'!F11</f>
        <v>22</v>
      </c>
      <c r="G57" s="47">
        <f>'Balance Sheet'!G11</f>
        <v>16</v>
      </c>
      <c r="H57" s="47">
        <f>'Balance Sheet'!H11</f>
        <v>15</v>
      </c>
      <c r="I57" s="47">
        <f>'Balance Sheet'!I11</f>
        <v>15</v>
      </c>
      <c r="J57" s="47">
        <f>Schedules!J82</f>
        <v>15</v>
      </c>
      <c r="K57" s="47">
        <f>Schedules!K82</f>
        <v>15</v>
      </c>
      <c r="L57" s="47">
        <f>Schedules!L82</f>
        <v>15</v>
      </c>
      <c r="M57" s="47">
        <f>Schedules!M82</f>
        <v>15</v>
      </c>
      <c r="N57" s="47">
        <f>Schedules!N82</f>
        <v>15</v>
      </c>
      <c r="O57" s="47">
        <f>Schedules!O82</f>
        <v>15</v>
      </c>
      <c r="P57" s="47">
        <f>Schedules!P82</f>
        <v>15</v>
      </c>
      <c r="Q57" s="47">
        <f>Schedules!Q82</f>
        <v>15</v>
      </c>
      <c r="R57" s="47">
        <f>Schedules!R82</f>
        <v>15</v>
      </c>
      <c r="S57" s="47">
        <f>Schedules!S82</f>
        <v>15</v>
      </c>
    </row>
    <row r="58" spans="1:23" ht="14.4" customHeight="1">
      <c r="B58" s="58" t="s">
        <v>11</v>
      </c>
      <c r="C58" s="2"/>
      <c r="D58" s="186">
        <f>'Balance Sheet'!D12</f>
        <v>538</v>
      </c>
      <c r="E58" s="186">
        <f>'Balance Sheet'!E12</f>
        <v>613</v>
      </c>
      <c r="F58" s="186">
        <f>'Balance Sheet'!F12</f>
        <v>654</v>
      </c>
      <c r="G58" s="47">
        <f>'Balance Sheet'!G12</f>
        <v>862</v>
      </c>
      <c r="H58" s="47">
        <f>'Balance Sheet'!H12</f>
        <v>863</v>
      </c>
      <c r="I58" s="47">
        <f>'Balance Sheet'!I12</f>
        <v>857</v>
      </c>
      <c r="J58" s="47">
        <f>Schedules!J88</f>
        <v>857</v>
      </c>
      <c r="K58" s="47">
        <f>Schedules!K88</f>
        <v>857</v>
      </c>
      <c r="L58" s="47">
        <f>Schedules!L88</f>
        <v>857</v>
      </c>
      <c r="M58" s="47">
        <f>Schedules!M88</f>
        <v>857</v>
      </c>
      <c r="N58" s="47">
        <f>Schedules!N88</f>
        <v>857</v>
      </c>
      <c r="O58" s="47">
        <f>Schedules!O88</f>
        <v>857</v>
      </c>
      <c r="P58" s="47">
        <f>Schedules!P88</f>
        <v>857</v>
      </c>
      <c r="Q58" s="47">
        <f>Schedules!Q88</f>
        <v>857</v>
      </c>
      <c r="R58" s="47">
        <f>Schedules!R88</f>
        <v>857</v>
      </c>
      <c r="S58" s="47">
        <f>Schedules!S88</f>
        <v>857</v>
      </c>
    </row>
    <row r="59" spans="1:23" ht="14.4" customHeight="1">
      <c r="B59" s="58" t="s">
        <v>551</v>
      </c>
      <c r="C59" s="2"/>
      <c r="D59" s="186">
        <f>'Balance Sheet'!D13</f>
        <v>70</v>
      </c>
      <c r="E59" s="186">
        <f>'Balance Sheet'!E13</f>
        <v>230</v>
      </c>
      <c r="F59" s="186">
        <f>'Balance Sheet'!F13</f>
        <v>306</v>
      </c>
      <c r="G59" s="47">
        <f>'Balance Sheet'!G13</f>
        <v>560</v>
      </c>
      <c r="H59" s="47">
        <f>'Balance Sheet'!H13</f>
        <v>937</v>
      </c>
      <c r="I59" s="47">
        <f>'Balance Sheet'!I13</f>
        <v>946</v>
      </c>
      <c r="J59" s="47">
        <f>Schedules!J76</f>
        <v>935</v>
      </c>
      <c r="K59" s="47">
        <f>Schedules!K76</f>
        <v>924</v>
      </c>
      <c r="L59" s="47">
        <f>Schedules!L76</f>
        <v>913</v>
      </c>
      <c r="M59" s="47">
        <f>Schedules!M76</f>
        <v>902</v>
      </c>
      <c r="N59" s="47">
        <f>Schedules!N76</f>
        <v>891</v>
      </c>
      <c r="O59" s="47">
        <f>Schedules!O76</f>
        <v>880</v>
      </c>
      <c r="P59" s="47">
        <f>Schedules!P76</f>
        <v>869</v>
      </c>
      <c r="Q59" s="47">
        <f>Schedules!Q76</f>
        <v>858</v>
      </c>
      <c r="R59" s="47">
        <f>Schedules!R76</f>
        <v>847</v>
      </c>
      <c r="S59" s="47">
        <f>Schedules!S76</f>
        <v>836</v>
      </c>
    </row>
    <row r="60" spans="1:23" ht="14.4" customHeight="1">
      <c r="B60" s="58" t="s">
        <v>661</v>
      </c>
      <c r="C60" s="2"/>
      <c r="D60" s="186">
        <f>'Balance Sheet'!D15</f>
        <v>107</v>
      </c>
      <c r="E60" s="186">
        <f>'Balance Sheet'!E15</f>
        <v>271</v>
      </c>
      <c r="F60" s="186">
        <f>'Balance Sheet'!F15</f>
        <v>208</v>
      </c>
      <c r="G60" s="47">
        <f>'Balance Sheet'!G15</f>
        <v>554</v>
      </c>
      <c r="H60" s="47">
        <f>'Balance Sheet'!H15</f>
        <v>447</v>
      </c>
      <c r="I60" s="47">
        <f>'Balance Sheet'!I15</f>
        <v>243</v>
      </c>
      <c r="J60" s="47">
        <f>Schedules!J92</f>
        <v>243</v>
      </c>
      <c r="K60" s="47">
        <f>Schedules!K92</f>
        <v>243</v>
      </c>
      <c r="L60" s="47">
        <f>Schedules!L92</f>
        <v>243</v>
      </c>
      <c r="M60" s="47">
        <f>Schedules!M92</f>
        <v>243</v>
      </c>
      <c r="N60" s="47">
        <f>Schedules!N92</f>
        <v>243</v>
      </c>
      <c r="O60" s="47">
        <f>Schedules!O92</f>
        <v>243</v>
      </c>
      <c r="P60" s="47">
        <f>Schedules!P92</f>
        <v>243</v>
      </c>
      <c r="Q60" s="47">
        <f>Schedules!Q92</f>
        <v>243</v>
      </c>
      <c r="R60" s="47">
        <f>Schedules!R92</f>
        <v>243</v>
      </c>
      <c r="S60" s="47">
        <f>Schedules!S92</f>
        <v>243</v>
      </c>
      <c r="T60" s="185"/>
    </row>
    <row r="61" spans="1:23" ht="14.4" customHeight="1">
      <c r="B61" s="58" t="s">
        <v>1147</v>
      </c>
      <c r="C61" s="2"/>
      <c r="D61" s="186">
        <f>'Balance Sheet'!D22</f>
        <v>26</v>
      </c>
      <c r="E61" s="186">
        <f>'Balance Sheet'!E22</f>
        <v>26</v>
      </c>
      <c r="F61" s="186">
        <f>'Balance Sheet'!F22</f>
        <v>30</v>
      </c>
      <c r="G61" s="47">
        <f>'Balance Sheet'!G22</f>
        <v>46</v>
      </c>
      <c r="H61" s="47">
        <f>'Balance Sheet'!H22</f>
        <v>40</v>
      </c>
      <c r="I61" s="47">
        <f>'Balance Sheet'!I22</f>
        <v>49</v>
      </c>
      <c r="J61" s="47">
        <f>Schedules!J96</f>
        <v>49</v>
      </c>
      <c r="K61" s="47">
        <f>Schedules!J96</f>
        <v>49</v>
      </c>
      <c r="L61" s="47">
        <f>Schedules!K96</f>
        <v>49</v>
      </c>
      <c r="M61" s="47">
        <f>Schedules!L96</f>
        <v>49</v>
      </c>
      <c r="N61" s="47">
        <f>Schedules!M96</f>
        <v>49</v>
      </c>
      <c r="O61" s="47">
        <f>Schedules!N96</f>
        <v>49</v>
      </c>
      <c r="P61" s="47">
        <f>Schedules!O96</f>
        <v>49</v>
      </c>
      <c r="Q61" s="47">
        <f>Schedules!P96</f>
        <v>49</v>
      </c>
      <c r="R61" s="47">
        <f>Schedules!Q96</f>
        <v>49</v>
      </c>
      <c r="S61" s="47">
        <f>Schedules!R96</f>
        <v>49</v>
      </c>
      <c r="T61" s="185"/>
    </row>
    <row r="62" spans="1:23" ht="14.4" customHeight="1">
      <c r="B62" s="58" t="s">
        <v>188</v>
      </c>
      <c r="C62" s="2"/>
      <c r="D62" s="186">
        <f>'Balance Sheet'!D21</f>
        <v>45</v>
      </c>
      <c r="E62" s="186">
        <f>'Balance Sheet'!E21</f>
        <v>55</v>
      </c>
      <c r="F62" s="186">
        <f>'Balance Sheet'!F21</f>
        <v>57</v>
      </c>
      <c r="G62" s="47">
        <f>'Balance Sheet'!G21</f>
        <v>67</v>
      </c>
      <c r="H62" s="47">
        <f>'Balance Sheet'!H21</f>
        <v>95</v>
      </c>
      <c r="I62" s="47">
        <f>'Balance Sheet'!I21</f>
        <v>108</v>
      </c>
      <c r="J62" s="47">
        <f>Schedules!J100</f>
        <v>108</v>
      </c>
      <c r="K62" s="47">
        <f>Schedules!K100</f>
        <v>108</v>
      </c>
      <c r="L62" s="47">
        <f>Schedules!L100</f>
        <v>108</v>
      </c>
      <c r="M62" s="47">
        <f>Schedules!M100</f>
        <v>108</v>
      </c>
      <c r="N62" s="47">
        <f>Schedules!N100</f>
        <v>108</v>
      </c>
      <c r="O62" s="47">
        <f>Schedules!O100</f>
        <v>108</v>
      </c>
      <c r="P62" s="47">
        <f>Schedules!P100</f>
        <v>108</v>
      </c>
      <c r="Q62" s="47">
        <f>Schedules!Q100</f>
        <v>108</v>
      </c>
      <c r="R62" s="47">
        <f>Schedules!R100</f>
        <v>108</v>
      </c>
      <c r="S62" s="47">
        <f>Schedules!S100</f>
        <v>108</v>
      </c>
      <c r="T62" s="185"/>
    </row>
    <row r="63" spans="1:23" ht="14.4" customHeight="1">
      <c r="B63" s="58" t="s">
        <v>1145</v>
      </c>
      <c r="C63" s="2"/>
      <c r="D63" s="186">
        <f>'Balance Sheet'!D20</f>
        <v>159</v>
      </c>
      <c r="E63" s="186">
        <f>'Balance Sheet'!E20</f>
        <v>186</v>
      </c>
      <c r="F63" s="186">
        <f>'Balance Sheet'!F20</f>
        <v>187</v>
      </c>
      <c r="G63" s="47">
        <f>'Balance Sheet'!G20</f>
        <v>146</v>
      </c>
      <c r="H63" s="47">
        <f>'Balance Sheet'!H20</f>
        <v>68</v>
      </c>
      <c r="I63" s="47">
        <f>'Balance Sheet'!I20</f>
        <v>57</v>
      </c>
      <c r="J63" s="47">
        <f>Schedules!J104</f>
        <v>57</v>
      </c>
      <c r="K63" s="47">
        <f>Schedules!K104</f>
        <v>57</v>
      </c>
      <c r="L63" s="47">
        <f>Schedules!L104</f>
        <v>57</v>
      </c>
      <c r="M63" s="47">
        <f>Schedules!M104</f>
        <v>57</v>
      </c>
      <c r="N63" s="47">
        <f>Schedules!N104</f>
        <v>57</v>
      </c>
      <c r="O63" s="47">
        <f>Schedules!O104</f>
        <v>57</v>
      </c>
      <c r="P63" s="47">
        <f>Schedules!P104</f>
        <v>57</v>
      </c>
      <c r="Q63" s="47">
        <f>Schedules!Q104</f>
        <v>57</v>
      </c>
      <c r="R63" s="47">
        <f>Schedules!R104</f>
        <v>57</v>
      </c>
      <c r="S63" s="47">
        <f>Schedules!S104</f>
        <v>57</v>
      </c>
      <c r="T63" s="185"/>
    </row>
    <row r="64" spans="1:23" ht="14.4" customHeight="1">
      <c r="B64" s="421" t="s">
        <v>667</v>
      </c>
      <c r="C64" s="359"/>
      <c r="D64" s="188">
        <f>SUM(D54:D63)</f>
        <v>1820</v>
      </c>
      <c r="E64" s="188">
        <f>SUM(E54:E63)</f>
        <v>2174</v>
      </c>
      <c r="F64" s="188">
        <f t="shared" ref="F64:M64" si="33">SUM(F54:F63)</f>
        <v>2281</v>
      </c>
      <c r="G64" s="188">
        <f t="shared" si="33"/>
        <v>3126</v>
      </c>
      <c r="H64" s="188">
        <f t="shared" si="33"/>
        <v>3418</v>
      </c>
      <c r="I64" s="188">
        <f t="shared" si="33"/>
        <v>3255</v>
      </c>
      <c r="J64" s="188">
        <f t="shared" si="33"/>
        <v>3261.3869439999999</v>
      </c>
      <c r="K64" s="188">
        <f t="shared" si="33"/>
        <v>3279.4956294399999</v>
      </c>
      <c r="L64" s="188">
        <f t="shared" si="33"/>
        <v>3309.8620955072001</v>
      </c>
      <c r="M64" s="188">
        <f t="shared" si="33"/>
        <v>3352.8974263079999</v>
      </c>
      <c r="N64" s="188">
        <f>SUM(N54:N63)</f>
        <v>3425.2317679786802</v>
      </c>
      <c r="O64" s="188">
        <f t="shared" ref="O64:S64" si="34">SUM(O54:O63)</f>
        <v>3529.1344637790462</v>
      </c>
      <c r="P64" s="188">
        <f t="shared" si="34"/>
        <v>3671.5946973697464</v>
      </c>
      <c r="Q64" s="188">
        <f t="shared" si="34"/>
        <v>3858.3740495136408</v>
      </c>
      <c r="R64" s="188">
        <f t="shared" si="34"/>
        <v>4022.8016148787792</v>
      </c>
      <c r="S64" s="188">
        <f t="shared" si="34"/>
        <v>4110.8294274416185</v>
      </c>
    </row>
    <row r="65" spans="2:23" ht="14.4" customHeight="1">
      <c r="B65" s="363"/>
      <c r="C65" s="4"/>
      <c r="D65" s="187"/>
      <c r="E65" s="187"/>
      <c r="F65" s="187"/>
      <c r="G65" s="187"/>
      <c r="H65" s="187"/>
      <c r="I65" s="187"/>
      <c r="J65" s="187"/>
      <c r="K65" s="187"/>
      <c r="L65" s="187"/>
      <c r="M65" s="187"/>
      <c r="N65" s="187"/>
      <c r="O65" s="187"/>
      <c r="P65" s="187"/>
      <c r="Q65" s="187"/>
      <c r="R65" s="187"/>
      <c r="S65" s="187"/>
    </row>
    <row r="66" spans="2:23" ht="14.4" customHeight="1">
      <c r="B66" s="61" t="s">
        <v>668</v>
      </c>
      <c r="C66" s="2"/>
      <c r="D66" s="185"/>
      <c r="E66" s="185"/>
      <c r="F66" s="185"/>
      <c r="G66" s="185"/>
      <c r="H66" s="185"/>
      <c r="I66" s="185"/>
      <c r="J66" s="185"/>
      <c r="K66" s="185"/>
      <c r="L66" s="185"/>
      <c r="M66" s="185"/>
      <c r="N66" s="185"/>
      <c r="O66" s="185"/>
      <c r="P66" s="185"/>
      <c r="Q66" s="185"/>
      <c r="R66" s="185"/>
      <c r="S66" s="185"/>
    </row>
    <row r="67" spans="2:23" ht="14.4" customHeight="1">
      <c r="B67" s="58" t="s">
        <v>5</v>
      </c>
      <c r="C67" s="2"/>
      <c r="D67" s="437">
        <f>D148</f>
        <v>93.000000000000909</v>
      </c>
      <c r="E67" s="437">
        <f t="shared" ref="E67:I67" si="35">E148</f>
        <v>109.00000000000091</v>
      </c>
      <c r="F67" s="437">
        <f t="shared" si="35"/>
        <v>276.00000000000091</v>
      </c>
      <c r="G67" s="437">
        <f t="shared" si="35"/>
        <v>207.00000000000091</v>
      </c>
      <c r="H67" s="437">
        <f t="shared" si="35"/>
        <v>228.00000000000091</v>
      </c>
      <c r="I67" s="437">
        <f t="shared" si="35"/>
        <v>321.00000000000091</v>
      </c>
      <c r="J67" s="437">
        <f>J148</f>
        <v>385.08676005302368</v>
      </c>
      <c r="K67" s="437">
        <f t="shared" ref="K67:N67" si="36">K148</f>
        <v>422.63103874720446</v>
      </c>
      <c r="L67" s="437">
        <f t="shared" si="36"/>
        <v>567.052953594972</v>
      </c>
      <c r="M67" s="437">
        <f t="shared" si="36"/>
        <v>730.40799835647363</v>
      </c>
      <c r="N67" s="437">
        <f t="shared" si="36"/>
        <v>761.60067535744861</v>
      </c>
      <c r="O67" s="437">
        <f t="shared" ref="O67:S67" si="37">O148</f>
        <v>800.92276021370822</v>
      </c>
      <c r="P67" s="437">
        <f t="shared" si="37"/>
        <v>870.94214436963034</v>
      </c>
      <c r="Q67" s="437">
        <f t="shared" si="37"/>
        <v>965.91010988143375</v>
      </c>
      <c r="R67" s="437">
        <f t="shared" si="37"/>
        <v>1024.5229973712833</v>
      </c>
      <c r="S67" s="437">
        <f t="shared" si="37"/>
        <v>1088.2575942665528</v>
      </c>
    </row>
    <row r="68" spans="2:23" ht="14.4" customHeight="1">
      <c r="B68" s="58" t="s">
        <v>689</v>
      </c>
      <c r="C68" s="2"/>
      <c r="D68" s="186">
        <f>'Balance Sheet'!D38</f>
        <v>186</v>
      </c>
      <c r="E68" s="186">
        <f>'Balance Sheet'!E38</f>
        <v>835</v>
      </c>
      <c r="F68" s="186">
        <f>'Balance Sheet'!F38</f>
        <v>303</v>
      </c>
      <c r="G68" s="186">
        <f>'Balance Sheet'!G38</f>
        <v>549</v>
      </c>
      <c r="H68" s="186">
        <f>'Balance Sheet'!H38</f>
        <v>715</v>
      </c>
      <c r="I68" s="186">
        <f>'Balance Sheet'!I38</f>
        <v>456</v>
      </c>
      <c r="J68" s="186">
        <f>Schedules!J205</f>
        <v>456</v>
      </c>
      <c r="K68" s="186">
        <f>Schedules!K205</f>
        <v>456</v>
      </c>
      <c r="L68" s="186">
        <f>Schedules!L205</f>
        <v>456</v>
      </c>
      <c r="M68" s="186">
        <f>Schedules!M205</f>
        <v>456</v>
      </c>
      <c r="N68" s="186">
        <f>Schedules!N205</f>
        <v>456</v>
      </c>
      <c r="O68" s="186">
        <f>Schedules!O205</f>
        <v>456</v>
      </c>
      <c r="P68" s="186">
        <f>Schedules!P205</f>
        <v>456</v>
      </c>
      <c r="Q68" s="186">
        <f>Schedules!Q205</f>
        <v>456</v>
      </c>
      <c r="R68" s="186">
        <f>Schedules!R205</f>
        <v>456</v>
      </c>
      <c r="S68" s="186">
        <f>Schedules!S205</f>
        <v>456</v>
      </c>
    </row>
    <row r="69" spans="2:23" ht="14.4" customHeight="1">
      <c r="B69" s="58" t="s">
        <v>6</v>
      </c>
      <c r="C69" s="2"/>
      <c r="D69" s="47">
        <f>'Balance Sheet'!D26</f>
        <v>1380</v>
      </c>
      <c r="E69" s="47">
        <f>'Balance Sheet'!E26</f>
        <v>1126</v>
      </c>
      <c r="F69" s="47">
        <f>'Balance Sheet'!F26</f>
        <v>1412</v>
      </c>
      <c r="G69" s="47">
        <f>'Balance Sheet'!G26</f>
        <v>1225</v>
      </c>
      <c r="H69" s="47">
        <f>'Balance Sheet'!H26</f>
        <v>1336</v>
      </c>
      <c r="I69" s="47">
        <f>'Balance Sheet'!I26</f>
        <v>1235</v>
      </c>
      <c r="J69" s="47">
        <f>Schedules!J161</f>
        <v>1589.9314520547948</v>
      </c>
      <c r="K69" s="47">
        <f>Schedules!K161</f>
        <v>1804.5721980821922</v>
      </c>
      <c r="L69" s="47">
        <f>Schedules!L161</f>
        <v>1995.7800607726028</v>
      </c>
      <c r="M69" s="47">
        <f>Schedules!M161</f>
        <v>2245.2525683691783</v>
      </c>
      <c r="N69" s="47">
        <f>Schedules!N161</f>
        <v>2514.6828765734799</v>
      </c>
      <c r="O69" s="47">
        <f>Schedules!O161</f>
        <v>2693.9906990769805</v>
      </c>
      <c r="P69" s="47">
        <f>Schedules!P161</f>
        <v>3017.2695829662184</v>
      </c>
      <c r="Q69" s="47">
        <f>Schedules!Q161</f>
        <v>3225.7354814257028</v>
      </c>
      <c r="R69" s="47">
        <f>Schedules!R161</f>
        <v>3440.7845135207504</v>
      </c>
      <c r="S69" s="47">
        <f>Schedules!S161</f>
        <v>3853.6786551432401</v>
      </c>
      <c r="V69" s="46"/>
    </row>
    <row r="70" spans="2:23" ht="14.4" customHeight="1">
      <c r="B70" s="58" t="s">
        <v>7</v>
      </c>
      <c r="C70" s="2"/>
      <c r="D70" s="186">
        <f>'Balance Sheet'!D27</f>
        <v>539</v>
      </c>
      <c r="E70" s="186">
        <f>'Balance Sheet'!E27</f>
        <v>388</v>
      </c>
      <c r="F70" s="186">
        <f>'Balance Sheet'!F27</f>
        <v>652</v>
      </c>
      <c r="G70" s="186">
        <f>'Balance Sheet'!G27</f>
        <v>1015</v>
      </c>
      <c r="H70" s="186">
        <f>'Balance Sheet'!H27</f>
        <v>1069</v>
      </c>
      <c r="I70" s="186">
        <f>'Balance Sheet'!I27</f>
        <v>1271</v>
      </c>
      <c r="J70" s="186">
        <f>Schedules!J155</f>
        <v>1522.2747945205483</v>
      </c>
      <c r="K70" s="186">
        <f>Schedules!K155</f>
        <v>1727.7818917808224</v>
      </c>
      <c r="L70" s="186">
        <f>Schedules!L155</f>
        <v>1822.2339685315069</v>
      </c>
      <c r="M70" s="186">
        <f>Schedules!M155</f>
        <v>2050.0132145979451</v>
      </c>
      <c r="N70" s="186">
        <f>Schedules!N155</f>
        <v>2296.0148003496993</v>
      </c>
      <c r="O70" s="186">
        <f>Schedules!O155</f>
        <v>2449.0824537063459</v>
      </c>
      <c r="P70" s="186">
        <f>Schedules!P155</f>
        <v>2742.9723481511073</v>
      </c>
      <c r="Q70" s="186">
        <f>Schedules!Q155</f>
        <v>2995.3258041810095</v>
      </c>
      <c r="R70" s="186">
        <f>Schedules!R155</f>
        <v>3389.1727458179389</v>
      </c>
      <c r="S70" s="186">
        <f>Schedules!S155</f>
        <v>3757.3366887646594</v>
      </c>
      <c r="V70" s="46"/>
    </row>
    <row r="71" spans="2:23" ht="14.4" customHeight="1">
      <c r="B71" s="58" t="s">
        <v>9</v>
      </c>
      <c r="C71" s="2"/>
      <c r="D71" s="47">
        <f>'Balance Sheet'!D29</f>
        <v>984</v>
      </c>
      <c r="E71" s="47">
        <f>'Balance Sheet'!E29</f>
        <v>878</v>
      </c>
      <c r="F71" s="47">
        <f>'Balance Sheet'!F29</f>
        <v>862</v>
      </c>
      <c r="G71" s="47">
        <f>'Balance Sheet'!G29</f>
        <v>824</v>
      </c>
      <c r="H71" s="47">
        <f>'Balance Sheet'!H29</f>
        <v>655</v>
      </c>
      <c r="I71" s="47">
        <f>'Balance Sheet'!I29</f>
        <v>1800</v>
      </c>
      <c r="J71" s="47">
        <f>Schedules!J167</f>
        <v>1728.6276000000005</v>
      </c>
      <c r="K71" s="47">
        <f>Schedules!K167</f>
        <v>1961.9923260000005</v>
      </c>
      <c r="L71" s="47">
        <f>Schedules!L167</f>
        <v>2058.6905192100003</v>
      </c>
      <c r="M71" s="47">
        <f>Schedules!M167</f>
        <v>2137.8709237950002</v>
      </c>
      <c r="N71" s="47">
        <f>Schedules!N167</f>
        <v>2194.8808150962004</v>
      </c>
      <c r="O71" s="47">
        <f>Schedules!O167</f>
        <v>2458.266512907745</v>
      </c>
      <c r="P71" s="47">
        <f>Schedules!P167</f>
        <v>2502.9622676878862</v>
      </c>
      <c r="Q71" s="47">
        <f>Schedules!Q167</f>
        <v>2803.3177398104326</v>
      </c>
      <c r="R71" s="47">
        <f>Schedules!R167</f>
        <v>3139.7158685876848</v>
      </c>
      <c r="S71" s="47">
        <f>Schedules!S167</f>
        <v>3516.481772818207</v>
      </c>
      <c r="V71" s="46"/>
    </row>
    <row r="72" spans="2:23" ht="14.4" customHeight="1">
      <c r="B72" s="59" t="s">
        <v>10</v>
      </c>
      <c r="C72" s="359"/>
      <c r="D72" s="188">
        <f>SUM(D67:D71)</f>
        <v>3182.0000000000009</v>
      </c>
      <c r="E72" s="188">
        <f t="shared" ref="E72:I72" si="38">SUM(E67:E71)</f>
        <v>3336.0000000000009</v>
      </c>
      <c r="F72" s="188">
        <f t="shared" si="38"/>
        <v>3505.0000000000009</v>
      </c>
      <c r="G72" s="188">
        <f t="shared" si="38"/>
        <v>3820.0000000000009</v>
      </c>
      <c r="H72" s="188">
        <f t="shared" si="38"/>
        <v>4003.0000000000009</v>
      </c>
      <c r="I72" s="188">
        <f t="shared" si="38"/>
        <v>5083.0000000000009</v>
      </c>
      <c r="J72" s="188">
        <f t="shared" ref="J72:N72" si="39">SUM(J67:J71)</f>
        <v>5681.9206066283678</v>
      </c>
      <c r="K72" s="188">
        <f t="shared" si="39"/>
        <v>6372.9774546102199</v>
      </c>
      <c r="L72" s="188">
        <f t="shared" si="39"/>
        <v>6899.7575021090815</v>
      </c>
      <c r="M72" s="188">
        <f t="shared" si="39"/>
        <v>7619.5447051185965</v>
      </c>
      <c r="N72" s="188">
        <f t="shared" si="39"/>
        <v>8223.1791673768275</v>
      </c>
      <c r="O72" s="188">
        <f t="shared" ref="O72:S72" si="40">SUM(O67:O71)</f>
        <v>8858.2624259047789</v>
      </c>
      <c r="P72" s="188">
        <f t="shared" si="40"/>
        <v>9590.1463431748416</v>
      </c>
      <c r="Q72" s="188">
        <f t="shared" si="40"/>
        <v>10446.289135298579</v>
      </c>
      <c r="R72" s="188">
        <f t="shared" si="40"/>
        <v>11450.196125297658</v>
      </c>
      <c r="S72" s="188">
        <f t="shared" si="40"/>
        <v>12671.75471099266</v>
      </c>
    </row>
    <row r="73" spans="2:23" ht="14.4" customHeight="1">
      <c r="B73" s="58"/>
      <c r="C73" s="2"/>
      <c r="D73" s="185"/>
      <c r="E73" s="185"/>
      <c r="F73" s="185"/>
      <c r="G73" s="185"/>
      <c r="H73" s="185"/>
      <c r="I73" s="185"/>
      <c r="J73" s="5"/>
      <c r="K73" s="5"/>
      <c r="L73" s="5"/>
      <c r="M73" s="5"/>
      <c r="N73" s="5"/>
      <c r="O73" s="5"/>
      <c r="P73" s="5"/>
      <c r="Q73" s="5"/>
      <c r="R73" s="5"/>
      <c r="S73" s="5"/>
    </row>
    <row r="74" spans="2:23" ht="14.4" customHeight="1" thickBot="1">
      <c r="B74" s="69" t="s">
        <v>12</v>
      </c>
      <c r="C74" s="6"/>
      <c r="D74" s="189">
        <f>D72+D64</f>
        <v>5002.0000000000009</v>
      </c>
      <c r="E74" s="189">
        <f t="shared" ref="E74:N74" si="41">E72+E64</f>
        <v>5510.0000000000009</v>
      </c>
      <c r="F74" s="189">
        <f t="shared" si="41"/>
        <v>5786.0000000000009</v>
      </c>
      <c r="G74" s="189">
        <f t="shared" si="41"/>
        <v>6946.0000000000009</v>
      </c>
      <c r="H74" s="189">
        <f t="shared" si="41"/>
        <v>7421.0000000000009</v>
      </c>
      <c r="I74" s="189">
        <f t="shared" si="41"/>
        <v>8338</v>
      </c>
      <c r="J74" s="189">
        <f>J72+J64</f>
        <v>8943.3075506283676</v>
      </c>
      <c r="K74" s="189">
        <f t="shared" si="41"/>
        <v>9652.4730840502198</v>
      </c>
      <c r="L74" s="189">
        <f t="shared" si="41"/>
        <v>10209.619597616282</v>
      </c>
      <c r="M74" s="189">
        <f t="shared" si="41"/>
        <v>10972.442131426596</v>
      </c>
      <c r="N74" s="189">
        <f t="shared" si="41"/>
        <v>11648.410935355507</v>
      </c>
      <c r="O74" s="189">
        <f t="shared" ref="O74:S74" si="42">O72+O64</f>
        <v>12387.396889683825</v>
      </c>
      <c r="P74" s="189">
        <f t="shared" si="42"/>
        <v>13261.741040544588</v>
      </c>
      <c r="Q74" s="189">
        <f t="shared" si="42"/>
        <v>14304.66318481222</v>
      </c>
      <c r="R74" s="189">
        <f t="shared" si="42"/>
        <v>15472.997740176437</v>
      </c>
      <c r="S74" s="189">
        <f t="shared" si="42"/>
        <v>16782.584138434278</v>
      </c>
    </row>
    <row r="75" spans="2:23" ht="14.4" customHeight="1">
      <c r="B75" s="3"/>
      <c r="C75" s="2"/>
      <c r="D75" s="185"/>
      <c r="E75" s="185"/>
      <c r="F75" s="185"/>
      <c r="G75" s="185"/>
      <c r="H75" s="185"/>
      <c r="I75" s="185"/>
      <c r="J75" s="185"/>
      <c r="K75" s="185"/>
      <c r="L75" s="185"/>
      <c r="M75" s="185"/>
      <c r="N75" s="185"/>
      <c r="O75" s="185"/>
      <c r="P75" s="185"/>
      <c r="Q75" s="185"/>
      <c r="R75" s="185"/>
      <c r="S75" s="185"/>
      <c r="T75" s="284"/>
    </row>
    <row r="76" spans="2:23" ht="14.4" customHeight="1">
      <c r="B76" s="3"/>
      <c r="C76" s="2"/>
      <c r="D76" s="185"/>
      <c r="E76" s="185"/>
      <c r="F76" s="185"/>
      <c r="G76" s="185"/>
      <c r="H76" s="185"/>
      <c r="I76" s="185"/>
      <c r="J76" s="5"/>
      <c r="K76" s="5"/>
      <c r="L76" s="5"/>
      <c r="M76" s="5"/>
      <c r="N76" s="5"/>
      <c r="O76" s="5"/>
      <c r="P76" s="5"/>
      <c r="Q76" s="5"/>
      <c r="R76" s="5"/>
      <c r="S76" s="5"/>
    </row>
    <row r="77" spans="2:23" ht="14.4" customHeight="1">
      <c r="B77" s="495" t="s">
        <v>204</v>
      </c>
      <c r="C77" s="2"/>
      <c r="D77" s="185"/>
      <c r="E77" s="185"/>
      <c r="F77" s="185"/>
      <c r="G77" s="185"/>
      <c r="H77" s="185"/>
      <c r="I77" s="185"/>
      <c r="J77" s="5"/>
      <c r="K77" s="5"/>
      <c r="L77" s="5"/>
      <c r="M77" s="5"/>
      <c r="N77" s="5"/>
      <c r="O77" s="5"/>
      <c r="P77" s="5"/>
      <c r="Q77" s="5"/>
      <c r="R77" s="5"/>
      <c r="S77" s="5"/>
      <c r="W77" s="46"/>
    </row>
    <row r="78" spans="2:23" ht="14.4" customHeight="1">
      <c r="B78" s="90"/>
      <c r="C78" s="2"/>
      <c r="D78" s="185"/>
      <c r="E78" s="185"/>
      <c r="F78" s="185"/>
      <c r="G78" s="185"/>
      <c r="H78" s="185"/>
      <c r="I78" s="185"/>
      <c r="J78" s="5"/>
      <c r="K78" s="5"/>
      <c r="L78" s="5"/>
      <c r="M78" s="5"/>
      <c r="N78" s="5"/>
      <c r="O78" s="5"/>
      <c r="P78" s="5"/>
      <c r="Q78" s="5"/>
      <c r="R78" s="5"/>
      <c r="S78" s="5"/>
    </row>
    <row r="79" spans="2:23" ht="14.4" customHeight="1">
      <c r="B79" s="61" t="s">
        <v>205</v>
      </c>
      <c r="C79" s="2"/>
      <c r="D79" s="185"/>
      <c r="E79" s="185"/>
      <c r="F79" s="185"/>
      <c r="G79" s="185"/>
      <c r="H79" s="185"/>
      <c r="I79" s="185"/>
      <c r="J79" s="5"/>
      <c r="K79" s="5"/>
      <c r="L79" s="5"/>
      <c r="M79" s="5"/>
      <c r="N79" s="5"/>
      <c r="O79" s="5"/>
      <c r="P79" s="5"/>
      <c r="Q79" s="5"/>
      <c r="R79" s="5"/>
      <c r="S79" s="5"/>
    </row>
    <row r="80" spans="2:23" ht="14.4" customHeight="1">
      <c r="B80" s="84" t="s">
        <v>206</v>
      </c>
      <c r="C80" s="2"/>
      <c r="D80" s="186">
        <f>'Balance Sheet'!D46</f>
        <v>129</v>
      </c>
      <c r="E80" s="186">
        <f>'Balance Sheet'!E46</f>
        <v>129</v>
      </c>
      <c r="F80" s="186">
        <f>'Balance Sheet'!F46</f>
        <v>129</v>
      </c>
      <c r="G80" s="186">
        <f>'Balance Sheet'!G46</f>
        <v>129</v>
      </c>
      <c r="H80" s="186">
        <f>'Balance Sheet'!H46</f>
        <v>129</v>
      </c>
      <c r="I80" s="186">
        <f>'Balance Sheet'!I46</f>
        <v>129</v>
      </c>
      <c r="J80" s="437">
        <f>I80</f>
        <v>129</v>
      </c>
      <c r="K80" s="437">
        <f>J80</f>
        <v>129</v>
      </c>
      <c r="L80" s="437">
        <f t="shared" ref="L80:M80" si="43">K80</f>
        <v>129</v>
      </c>
      <c r="M80" s="437">
        <f t="shared" si="43"/>
        <v>129</v>
      </c>
      <c r="N80" s="437">
        <f>M80</f>
        <v>129</v>
      </c>
      <c r="O80" s="437">
        <f t="shared" ref="O80:S80" si="44">N80</f>
        <v>129</v>
      </c>
      <c r="P80" s="437">
        <f t="shared" si="44"/>
        <v>129</v>
      </c>
      <c r="Q80" s="437">
        <f t="shared" si="44"/>
        <v>129</v>
      </c>
      <c r="R80" s="437">
        <f t="shared" si="44"/>
        <v>129</v>
      </c>
      <c r="S80" s="437">
        <f t="shared" si="44"/>
        <v>129</v>
      </c>
      <c r="U80" s="35"/>
      <c r="V80" s="35"/>
    </row>
    <row r="81" spans="2:22" ht="14.4" customHeight="1">
      <c r="B81" s="84" t="s">
        <v>207</v>
      </c>
      <c r="C81" s="2"/>
      <c r="D81" s="186">
        <f>SUM('Balance Sheet'!D48:D50)</f>
        <v>2894</v>
      </c>
      <c r="E81" s="186">
        <f>SUM('Balance Sheet'!E48:E50)</f>
        <v>3111</v>
      </c>
      <c r="F81" s="186">
        <f>SUM('Balance Sheet'!F48:F50)</f>
        <v>3219</v>
      </c>
      <c r="G81" s="186">
        <f>SUM('Balance Sheet'!G48:G50)</f>
        <v>3670</v>
      </c>
      <c r="H81" s="186">
        <f>SUM('Balance Sheet'!H48:H50)</f>
        <v>3703</v>
      </c>
      <c r="I81" s="186">
        <f>SUM('Balance Sheet'!I48:I50)</f>
        <v>3846</v>
      </c>
      <c r="J81" s="438">
        <f>Schedules!J146</f>
        <v>4149.4413478886399</v>
      </c>
      <c r="K81" s="438">
        <f>Schedules!K146</f>
        <v>4494.8770973652863</v>
      </c>
      <c r="L81" s="438">
        <f>Schedules!L146</f>
        <v>4888.161808078883</v>
      </c>
      <c r="M81" s="438">
        <f>Schedules!M146</f>
        <v>5386.7532173609152</v>
      </c>
      <c r="N81" s="438">
        <f>Schedules!N146</f>
        <v>5810.5053161096885</v>
      </c>
      <c r="O81" s="438">
        <f>Schedules!O146</f>
        <v>6288.4471953398515</v>
      </c>
      <c r="P81" s="438">
        <f>Schedules!P146</f>
        <v>6824.6474064896838</v>
      </c>
      <c r="Q81" s="438">
        <f>Schedules!Q146</f>
        <v>7425.1183146707272</v>
      </c>
      <c r="R81" s="438">
        <f>Schedules!R146</f>
        <v>8097.907485617965</v>
      </c>
      <c r="S81" s="438">
        <f>Schedules!S146</f>
        <v>8852.4830533287877</v>
      </c>
      <c r="T81" s="5"/>
      <c r="U81" s="35"/>
      <c r="V81" s="35"/>
    </row>
    <row r="82" spans="2:22" ht="14.4" customHeight="1">
      <c r="B82" s="422" t="s">
        <v>211</v>
      </c>
      <c r="C82" s="423"/>
      <c r="D82" s="188">
        <f>SUM(D80:D81)</f>
        <v>3023</v>
      </c>
      <c r="E82" s="188">
        <f t="shared" ref="E82:I82" si="45">SUM(E80:E81)</f>
        <v>3240</v>
      </c>
      <c r="F82" s="188">
        <f t="shared" si="45"/>
        <v>3348</v>
      </c>
      <c r="G82" s="188">
        <f t="shared" si="45"/>
        <v>3799</v>
      </c>
      <c r="H82" s="188">
        <f t="shared" si="45"/>
        <v>3832</v>
      </c>
      <c r="I82" s="188">
        <f t="shared" si="45"/>
        <v>3975</v>
      </c>
      <c r="J82" s="429">
        <f>SUM(J80:J81)</f>
        <v>4278.4413478886399</v>
      </c>
      <c r="K82" s="429">
        <f t="shared" ref="K82:N82" si="46">SUM(K80:K81)</f>
        <v>4623.8770973652863</v>
      </c>
      <c r="L82" s="429">
        <f t="shared" si="46"/>
        <v>5017.161808078883</v>
      </c>
      <c r="M82" s="429">
        <f t="shared" si="46"/>
        <v>5515.7532173609152</v>
      </c>
      <c r="N82" s="429">
        <f t="shared" si="46"/>
        <v>5939.5053161096885</v>
      </c>
      <c r="O82" s="429">
        <f t="shared" ref="O82:S82" si="47">SUM(O80:O81)</f>
        <v>6417.4471953398515</v>
      </c>
      <c r="P82" s="429">
        <f t="shared" si="47"/>
        <v>6953.6474064896838</v>
      </c>
      <c r="Q82" s="429">
        <f t="shared" si="47"/>
        <v>7554.1183146707272</v>
      </c>
      <c r="R82" s="429">
        <f t="shared" si="47"/>
        <v>8226.907485617965</v>
      </c>
      <c r="S82" s="429">
        <f t="shared" si="47"/>
        <v>8981.4830533287877</v>
      </c>
      <c r="U82" s="35"/>
      <c r="V82" s="35"/>
    </row>
    <row r="83" spans="2:22" ht="14.4" customHeight="1">
      <c r="B83" s="101" t="s">
        <v>690</v>
      </c>
      <c r="C83" s="100"/>
      <c r="D83" s="427">
        <f>'Balance Sheet'!D53</f>
        <v>13</v>
      </c>
      <c r="E83" s="427">
        <f>'Balance Sheet'!E53</f>
        <v>18</v>
      </c>
      <c r="F83" s="427">
        <f>'Balance Sheet'!F53</f>
        <v>57</v>
      </c>
      <c r="G83" s="427">
        <f>'Balance Sheet'!G53</f>
        <v>157</v>
      </c>
      <c r="H83" s="427">
        <f>'Balance Sheet'!H53</f>
        <v>337</v>
      </c>
      <c r="I83" s="427">
        <f>'Balance Sheet'!I53</f>
        <v>291</v>
      </c>
      <c r="J83" s="424">
        <f>I83</f>
        <v>291</v>
      </c>
      <c r="K83" s="424">
        <f>J83</f>
        <v>291</v>
      </c>
      <c r="L83" s="424">
        <f t="shared" ref="L83" si="48">K83</f>
        <v>291</v>
      </c>
      <c r="M83" s="424">
        <f>L83</f>
        <v>291</v>
      </c>
      <c r="N83" s="424">
        <f>M83</f>
        <v>291</v>
      </c>
      <c r="O83" s="424">
        <f t="shared" ref="O83:S83" si="49">N83</f>
        <v>291</v>
      </c>
      <c r="P83" s="424">
        <f t="shared" si="49"/>
        <v>291</v>
      </c>
      <c r="Q83" s="424">
        <f t="shared" si="49"/>
        <v>291</v>
      </c>
      <c r="R83" s="424">
        <f t="shared" si="49"/>
        <v>291</v>
      </c>
      <c r="S83" s="424">
        <f t="shared" si="49"/>
        <v>291</v>
      </c>
    </row>
    <row r="84" spans="2:22" ht="14.4" customHeight="1">
      <c r="B84" s="425" t="s">
        <v>213</v>
      </c>
      <c r="C84" s="426"/>
      <c r="D84" s="426">
        <f>SUM(D82:D83)</f>
        <v>3036</v>
      </c>
      <c r="E84" s="426">
        <f t="shared" ref="E84:I84" si="50">SUM(E82:E83)</f>
        <v>3258</v>
      </c>
      <c r="F84" s="426">
        <f t="shared" si="50"/>
        <v>3405</v>
      </c>
      <c r="G84" s="426">
        <f t="shared" si="50"/>
        <v>3956</v>
      </c>
      <c r="H84" s="426">
        <f t="shared" si="50"/>
        <v>4169</v>
      </c>
      <c r="I84" s="426">
        <f t="shared" si="50"/>
        <v>4266</v>
      </c>
      <c r="J84" s="429">
        <f>SUM(J82:J83)</f>
        <v>4569.4413478886399</v>
      </c>
      <c r="K84" s="429">
        <f t="shared" ref="K84:N84" si="51">SUM(K82:K83)</f>
        <v>4914.8770973652863</v>
      </c>
      <c r="L84" s="429">
        <f t="shared" si="51"/>
        <v>5308.161808078883</v>
      </c>
      <c r="M84" s="429">
        <f t="shared" si="51"/>
        <v>5806.7532173609152</v>
      </c>
      <c r="N84" s="429">
        <f t="shared" si="51"/>
        <v>6230.5053161096885</v>
      </c>
      <c r="O84" s="429">
        <f t="shared" ref="O84:S84" si="52">SUM(O82:O83)</f>
        <v>6708.4471953398515</v>
      </c>
      <c r="P84" s="429">
        <f t="shared" si="52"/>
        <v>7244.6474064896838</v>
      </c>
      <c r="Q84" s="429">
        <f t="shared" si="52"/>
        <v>7845.1183146707272</v>
      </c>
      <c r="R84" s="429">
        <f t="shared" si="52"/>
        <v>8517.907485617965</v>
      </c>
      <c r="S84" s="429">
        <f t="shared" si="52"/>
        <v>9272.4830533287877</v>
      </c>
    </row>
    <row r="85" spans="2:22" ht="14.4" customHeight="1">
      <c r="B85" s="3"/>
      <c r="C85" s="2"/>
      <c r="D85" s="185"/>
      <c r="E85" s="185"/>
      <c r="F85" s="185"/>
      <c r="G85" s="185"/>
      <c r="H85" s="185"/>
      <c r="I85" s="185"/>
      <c r="J85" s="424"/>
      <c r="K85" s="5"/>
      <c r="L85" s="5"/>
      <c r="M85" s="5"/>
      <c r="N85" s="5"/>
      <c r="O85" s="5"/>
      <c r="P85" s="5"/>
      <c r="Q85" s="5"/>
      <c r="R85" s="5"/>
      <c r="S85" s="5"/>
    </row>
    <row r="86" spans="2:22" ht="14.4" customHeight="1">
      <c r="B86" s="61" t="s">
        <v>215</v>
      </c>
      <c r="C86" s="2"/>
      <c r="D86" s="185"/>
      <c r="E86" s="185"/>
      <c r="F86" s="185"/>
      <c r="G86" s="185"/>
      <c r="H86" s="185"/>
      <c r="I86" s="185"/>
      <c r="J86" s="5"/>
      <c r="K86" s="5"/>
      <c r="L86" s="5"/>
      <c r="M86" s="5"/>
      <c r="N86" s="5"/>
      <c r="O86" s="5"/>
      <c r="P86" s="5"/>
      <c r="Q86" s="5"/>
      <c r="R86" s="5"/>
      <c r="S86" s="5"/>
    </row>
    <row r="87" spans="2:22" ht="14.4" customHeight="1">
      <c r="B87" s="90"/>
      <c r="C87" s="2"/>
      <c r="D87" s="185"/>
      <c r="E87" s="185"/>
      <c r="F87" s="185"/>
      <c r="G87" s="185"/>
      <c r="H87" s="185"/>
      <c r="I87" s="185"/>
      <c r="J87" s="5"/>
      <c r="K87" s="5"/>
      <c r="L87" s="5"/>
      <c r="M87" s="5"/>
      <c r="N87" s="5"/>
      <c r="O87" s="5"/>
      <c r="P87" s="5"/>
      <c r="Q87" s="5"/>
      <c r="R87" s="5"/>
      <c r="S87" s="5"/>
    </row>
    <row r="88" spans="2:22" ht="14.4" customHeight="1">
      <c r="B88" t="s">
        <v>691</v>
      </c>
      <c r="C88" s="2"/>
      <c r="D88" s="186">
        <f>'Balance Sheet'!D60</f>
        <v>10</v>
      </c>
      <c r="E88" s="186">
        <f>'Balance Sheet'!E60</f>
        <v>8</v>
      </c>
      <c r="F88" s="186">
        <f>'Balance Sheet'!F60</f>
        <v>0</v>
      </c>
      <c r="G88" s="186">
        <f>'Balance Sheet'!G60</f>
        <v>2</v>
      </c>
      <c r="H88" s="186">
        <f>'Balance Sheet'!H60</f>
        <v>0</v>
      </c>
      <c r="I88" s="186">
        <f>'Balance Sheet'!I60</f>
        <v>0</v>
      </c>
      <c r="J88" s="438">
        <f>Schedules!J230</f>
        <v>0</v>
      </c>
      <c r="K88" s="438">
        <f>Schedules!K230</f>
        <v>0</v>
      </c>
      <c r="L88" s="438">
        <f>Schedules!L230</f>
        <v>0</v>
      </c>
      <c r="M88" s="438">
        <f>Schedules!M230</f>
        <v>0</v>
      </c>
      <c r="N88" s="438">
        <f>Schedules!N230</f>
        <v>0</v>
      </c>
      <c r="O88" s="438">
        <f>Schedules!O230</f>
        <v>0</v>
      </c>
      <c r="P88" s="438">
        <f>Schedules!P230</f>
        <v>0</v>
      </c>
      <c r="Q88" s="438">
        <f>Schedules!Q230</f>
        <v>0</v>
      </c>
      <c r="R88" s="438">
        <f>Schedules!R230</f>
        <v>0</v>
      </c>
      <c r="S88" s="438">
        <f>Schedules!S230</f>
        <v>0</v>
      </c>
      <c r="U88" s="35"/>
      <c r="V88" s="35"/>
    </row>
    <row r="89" spans="2:22" ht="14.4" customHeight="1">
      <c r="B89" t="s">
        <v>692</v>
      </c>
      <c r="C89" s="2"/>
      <c r="D89" s="186">
        <f>'Balance Sheet'!D61</f>
        <v>0</v>
      </c>
      <c r="E89" s="186">
        <f>'Balance Sheet'!E61</f>
        <v>0</v>
      </c>
      <c r="F89" s="186">
        <f>'Balance Sheet'!F61</f>
        <v>91</v>
      </c>
      <c r="G89" s="186">
        <f>'Balance Sheet'!G61</f>
        <v>91</v>
      </c>
      <c r="H89" s="186">
        <f>'Balance Sheet'!H61</f>
        <v>104</v>
      </c>
      <c r="I89" s="186">
        <f>'Balance Sheet'!I61</f>
        <v>124</v>
      </c>
      <c r="J89" s="5">
        <f>I89</f>
        <v>124</v>
      </c>
      <c r="K89" s="5">
        <f>J89</f>
        <v>124</v>
      </c>
      <c r="L89" s="5">
        <f t="shared" ref="L89:M89" si="53">K89</f>
        <v>124</v>
      </c>
      <c r="M89" s="5">
        <f t="shared" si="53"/>
        <v>124</v>
      </c>
      <c r="N89" s="5">
        <f>M89</f>
        <v>124</v>
      </c>
      <c r="O89" s="5">
        <f t="shared" ref="O89:S89" si="54">N89</f>
        <v>124</v>
      </c>
      <c r="P89" s="5">
        <f t="shared" si="54"/>
        <v>124</v>
      </c>
      <c r="Q89" s="5">
        <f t="shared" si="54"/>
        <v>124</v>
      </c>
      <c r="R89" s="5">
        <f t="shared" si="54"/>
        <v>124</v>
      </c>
      <c r="S89" s="5">
        <f t="shared" si="54"/>
        <v>124</v>
      </c>
    </row>
    <row r="90" spans="2:22" ht="14.4" customHeight="1">
      <c r="B90" t="s">
        <v>693</v>
      </c>
      <c r="C90" s="2"/>
      <c r="D90" s="186">
        <f>'Balance Sheet'!D62</f>
        <v>144</v>
      </c>
      <c r="E90" s="186">
        <f>'Balance Sheet'!E62</f>
        <v>122</v>
      </c>
      <c r="F90" s="186">
        <f>'Balance Sheet'!F62</f>
        <v>1</v>
      </c>
      <c r="G90" s="186">
        <f>'Balance Sheet'!G62</f>
        <v>266</v>
      </c>
      <c r="H90" s="186">
        <f>'Balance Sheet'!H62</f>
        <v>405</v>
      </c>
      <c r="I90" s="186">
        <f>'Balance Sheet'!I62</f>
        <v>1211</v>
      </c>
      <c r="J90" s="5">
        <f>I90</f>
        <v>1211</v>
      </c>
      <c r="K90" s="5">
        <f>J90</f>
        <v>1211</v>
      </c>
      <c r="L90" s="5">
        <f t="shared" ref="L90:M90" si="55">K90</f>
        <v>1211</v>
      </c>
      <c r="M90" s="5">
        <f t="shared" si="55"/>
        <v>1211</v>
      </c>
      <c r="N90" s="5">
        <f>M90</f>
        <v>1211</v>
      </c>
      <c r="O90" s="5">
        <f t="shared" ref="O90:S90" si="56">N90</f>
        <v>1211</v>
      </c>
      <c r="P90" s="5">
        <f t="shared" si="56"/>
        <v>1211</v>
      </c>
      <c r="Q90" s="5">
        <f t="shared" si="56"/>
        <v>1211</v>
      </c>
      <c r="R90" s="5">
        <f t="shared" si="56"/>
        <v>1211</v>
      </c>
      <c r="S90" s="5">
        <f t="shared" si="56"/>
        <v>1211</v>
      </c>
    </row>
    <row r="91" spans="2:22" ht="14.4" customHeight="1">
      <c r="B91" t="s">
        <v>694</v>
      </c>
      <c r="C91" s="2"/>
      <c r="D91" s="186">
        <f>'Balance Sheet'!D63</f>
        <v>0</v>
      </c>
      <c r="E91" s="186">
        <f>'Balance Sheet'!E63</f>
        <v>1</v>
      </c>
      <c r="F91" s="186">
        <f>'Balance Sheet'!F63</f>
        <v>0</v>
      </c>
      <c r="G91" s="186">
        <f>'Balance Sheet'!G63</f>
        <v>4</v>
      </c>
      <c r="H91" s="186">
        <f>'Balance Sheet'!H63</f>
        <v>1</v>
      </c>
      <c r="I91" s="186">
        <f>'Balance Sheet'!I63</f>
        <v>1</v>
      </c>
      <c r="J91" s="5">
        <f t="shared" ref="J91:M93" si="57">I91</f>
        <v>1</v>
      </c>
      <c r="K91" s="5">
        <f>J91</f>
        <v>1</v>
      </c>
      <c r="L91" s="5">
        <f t="shared" si="57"/>
        <v>1</v>
      </c>
      <c r="M91" s="5">
        <f t="shared" si="57"/>
        <v>1</v>
      </c>
      <c r="N91" s="5">
        <f>M91</f>
        <v>1</v>
      </c>
      <c r="O91" s="5">
        <f t="shared" ref="O91:S91" si="58">N91</f>
        <v>1</v>
      </c>
      <c r="P91" s="5">
        <f t="shared" si="58"/>
        <v>1</v>
      </c>
      <c r="Q91" s="5">
        <f t="shared" si="58"/>
        <v>1</v>
      </c>
      <c r="R91" s="5">
        <f t="shared" si="58"/>
        <v>1</v>
      </c>
      <c r="S91" s="5">
        <f t="shared" si="58"/>
        <v>1</v>
      </c>
    </row>
    <row r="92" spans="2:22" ht="14.4" customHeight="1">
      <c r="B92" s="84" t="s">
        <v>221</v>
      </c>
      <c r="C92" s="2"/>
      <c r="D92" s="186">
        <f>'Balance Sheet'!D64</f>
        <v>21</v>
      </c>
      <c r="E92" s="186">
        <f>'Balance Sheet'!E64</f>
        <v>24</v>
      </c>
      <c r="F92" s="186">
        <f>'Balance Sheet'!F64</f>
        <v>27</v>
      </c>
      <c r="G92" s="186">
        <f>'Balance Sheet'!G64</f>
        <v>20</v>
      </c>
      <c r="H92" s="186">
        <f>'Balance Sheet'!H64</f>
        <v>19</v>
      </c>
      <c r="I92" s="186">
        <f>'Balance Sheet'!I64</f>
        <v>27</v>
      </c>
      <c r="J92" s="5">
        <f t="shared" si="57"/>
        <v>27</v>
      </c>
      <c r="K92" s="5">
        <f>J92</f>
        <v>27</v>
      </c>
      <c r="L92" s="5">
        <f t="shared" si="57"/>
        <v>27</v>
      </c>
      <c r="M92" s="5">
        <f t="shared" si="57"/>
        <v>27</v>
      </c>
      <c r="N92" s="5">
        <f>M92</f>
        <v>27</v>
      </c>
      <c r="O92" s="5">
        <f t="shared" ref="O92:S92" si="59">N92</f>
        <v>27</v>
      </c>
      <c r="P92" s="5">
        <f t="shared" si="59"/>
        <v>27</v>
      </c>
      <c r="Q92" s="5">
        <f t="shared" si="59"/>
        <v>27</v>
      </c>
      <c r="R92" s="5">
        <f t="shared" si="59"/>
        <v>27</v>
      </c>
      <c r="S92" s="5">
        <f t="shared" si="59"/>
        <v>27</v>
      </c>
    </row>
    <row r="93" spans="2:22" ht="14.4" customHeight="1">
      <c r="B93" t="s">
        <v>695</v>
      </c>
      <c r="C93" s="2"/>
      <c r="D93" s="186">
        <f>'Balance Sheet'!D65</f>
        <v>6</v>
      </c>
      <c r="E93" s="186">
        <f>'Balance Sheet'!E65</f>
        <v>84</v>
      </c>
      <c r="F93" s="186">
        <f>'Balance Sheet'!F65</f>
        <v>109</v>
      </c>
      <c r="G93" s="186">
        <f>'Balance Sheet'!G65</f>
        <v>178</v>
      </c>
      <c r="H93" s="186">
        <f>'Balance Sheet'!H65</f>
        <v>279</v>
      </c>
      <c r="I93" s="186">
        <f>'Balance Sheet'!I65</f>
        <v>248</v>
      </c>
      <c r="J93" s="5">
        <f t="shared" si="57"/>
        <v>248</v>
      </c>
      <c r="K93" s="5">
        <f>J93</f>
        <v>248</v>
      </c>
      <c r="L93" s="5">
        <f t="shared" si="57"/>
        <v>248</v>
      </c>
      <c r="M93" s="5">
        <f t="shared" si="57"/>
        <v>248</v>
      </c>
      <c r="N93" s="5">
        <f>M93</f>
        <v>248</v>
      </c>
      <c r="O93" s="5">
        <f t="shared" ref="O93:S93" si="60">N93</f>
        <v>248</v>
      </c>
      <c r="P93" s="5">
        <f t="shared" si="60"/>
        <v>248</v>
      </c>
      <c r="Q93" s="5">
        <f t="shared" si="60"/>
        <v>248</v>
      </c>
      <c r="R93" s="5">
        <f t="shared" si="60"/>
        <v>248</v>
      </c>
      <c r="S93" s="5">
        <f t="shared" si="60"/>
        <v>248</v>
      </c>
    </row>
    <row r="94" spans="2:22" ht="14.4" customHeight="1">
      <c r="B94" s="428" t="s">
        <v>223</v>
      </c>
      <c r="C94" s="359"/>
      <c r="D94" s="188">
        <f>SUM(D88:D93)</f>
        <v>181</v>
      </c>
      <c r="E94" s="188">
        <f t="shared" ref="E94:I94" si="61">SUM(E88:E93)</f>
        <v>239</v>
      </c>
      <c r="F94" s="188">
        <f t="shared" si="61"/>
        <v>228</v>
      </c>
      <c r="G94" s="188">
        <f t="shared" si="61"/>
        <v>561</v>
      </c>
      <c r="H94" s="188">
        <f t="shared" si="61"/>
        <v>808</v>
      </c>
      <c r="I94" s="188">
        <f t="shared" si="61"/>
        <v>1611</v>
      </c>
      <c r="J94" s="429">
        <f>SUM(J88:J93)</f>
        <v>1611</v>
      </c>
      <c r="K94" s="429">
        <f t="shared" ref="K94:N94" si="62">SUM(K88:K93)</f>
        <v>1611</v>
      </c>
      <c r="L94" s="429">
        <f t="shared" si="62"/>
        <v>1611</v>
      </c>
      <c r="M94" s="429">
        <f t="shared" si="62"/>
        <v>1611</v>
      </c>
      <c r="N94" s="429">
        <f t="shared" si="62"/>
        <v>1611</v>
      </c>
      <c r="O94" s="429">
        <f t="shared" ref="O94:S94" si="63">SUM(O88:O93)</f>
        <v>1611</v>
      </c>
      <c r="P94" s="429">
        <f t="shared" si="63"/>
        <v>1611</v>
      </c>
      <c r="Q94" s="429">
        <f t="shared" si="63"/>
        <v>1611</v>
      </c>
      <c r="R94" s="429">
        <f t="shared" si="63"/>
        <v>1611</v>
      </c>
      <c r="S94" s="429">
        <f t="shared" si="63"/>
        <v>1611</v>
      </c>
      <c r="T94" s="20"/>
    </row>
    <row r="95" spans="2:22" ht="14.4" customHeight="1">
      <c r="J95" s="5"/>
      <c r="K95" s="5"/>
      <c r="L95" s="5"/>
      <c r="M95" s="5"/>
      <c r="N95" s="5"/>
      <c r="O95" s="5"/>
      <c r="P95" s="5"/>
      <c r="Q95" s="5"/>
      <c r="R95" s="5"/>
      <c r="S95" s="5"/>
    </row>
    <row r="96" spans="2:22" ht="14.4" customHeight="1">
      <c r="B96" s="61" t="s">
        <v>590</v>
      </c>
      <c r="E96" s="185"/>
      <c r="F96" s="185"/>
      <c r="G96" s="185"/>
      <c r="H96" s="185"/>
      <c r="I96" s="185"/>
      <c r="J96" s="5"/>
      <c r="K96" s="5"/>
      <c r="L96" s="5"/>
      <c r="M96" s="5"/>
      <c r="N96" s="5"/>
      <c r="O96" s="5"/>
      <c r="P96" s="5"/>
      <c r="Q96" s="5"/>
      <c r="R96" s="5"/>
      <c r="S96" s="5"/>
    </row>
    <row r="97" spans="2:21" ht="14.4" customHeight="1">
      <c r="C97" s="2"/>
      <c r="D97" s="185"/>
      <c r="E97" s="185"/>
      <c r="F97" s="185"/>
      <c r="G97" s="185"/>
      <c r="H97" s="185"/>
      <c r="I97" s="185"/>
      <c r="J97" s="5"/>
      <c r="K97" s="5"/>
      <c r="L97" s="5"/>
      <c r="M97" s="5"/>
      <c r="N97" s="5"/>
      <c r="O97" s="5"/>
      <c r="P97" s="5"/>
      <c r="Q97" s="5"/>
      <c r="R97" s="5"/>
      <c r="S97" s="5"/>
    </row>
    <row r="98" spans="2:21" ht="14.4" customHeight="1">
      <c r="B98" t="s">
        <v>587</v>
      </c>
      <c r="C98" s="2"/>
      <c r="D98" s="186">
        <f>'Balance Sheet'!D69</f>
        <v>978</v>
      </c>
      <c r="E98" s="186">
        <f>'Balance Sheet'!E69</f>
        <v>1134</v>
      </c>
      <c r="F98" s="186">
        <f>'Balance Sheet'!F69</f>
        <v>1344</v>
      </c>
      <c r="G98" s="186">
        <f>'Balance Sheet'!G69</f>
        <v>1452</v>
      </c>
      <c r="H98" s="186">
        <f>'Balance Sheet'!H69</f>
        <v>1581</v>
      </c>
      <c r="I98" s="186">
        <f>'Balance Sheet'!I69</f>
        <v>1363</v>
      </c>
      <c r="J98" s="438">
        <f>Schedules!J172</f>
        <v>1549.972602739726</v>
      </c>
      <c r="K98" s="438">
        <f>Schedules!K172</f>
        <v>1847.026750684932</v>
      </c>
      <c r="L98" s="438">
        <f>Schedules!L172</f>
        <v>2096.3753620273978</v>
      </c>
      <c r="M98" s="438">
        <f>Schedules!M172</f>
        <v>2301.221183116932</v>
      </c>
      <c r="N98" s="438">
        <f>Schedules!N172</f>
        <v>2489.3017605832192</v>
      </c>
      <c r="O98" s="438">
        <f>Schedules!O172</f>
        <v>2788.0179718532063</v>
      </c>
      <c r="P98" s="438">
        <f>Schedules!P172</f>
        <v>3061.3530671329327</v>
      </c>
      <c r="Q98" s="438">
        <f>Schedules!Q172</f>
        <v>3428.7154351888844</v>
      </c>
      <c r="R98" s="438">
        <f>Schedules!R172</f>
        <v>3840.1612874115508</v>
      </c>
      <c r="S98" s="438">
        <f>Schedules!S172</f>
        <v>4300.9806419009383</v>
      </c>
    </row>
    <row r="99" spans="2:21" ht="14.4" customHeight="1">
      <c r="B99" t="s">
        <v>696</v>
      </c>
      <c r="C99" s="2"/>
      <c r="D99" s="186">
        <f>'Balance Sheet'!D71</f>
        <v>325</v>
      </c>
      <c r="E99" s="186">
        <f>'Balance Sheet'!E71</f>
        <v>340</v>
      </c>
      <c r="F99" s="186">
        <f>'Balance Sheet'!F71</f>
        <v>345</v>
      </c>
      <c r="G99" s="186">
        <f>'Balance Sheet'!G71</f>
        <v>473</v>
      </c>
      <c r="H99" s="186">
        <f>'Balance Sheet'!H71</f>
        <v>383</v>
      </c>
      <c r="I99" s="186">
        <f>'Balance Sheet'!I71</f>
        <v>379</v>
      </c>
      <c r="J99" s="438">
        <f>Schedules!J233</f>
        <v>493.89360000000011</v>
      </c>
      <c r="K99" s="438">
        <f>Schedules!K233</f>
        <v>560.56923600000016</v>
      </c>
      <c r="L99" s="438">
        <f>Schedules!L233</f>
        <v>475.08242751</v>
      </c>
      <c r="M99" s="438">
        <f>Schedules!M233</f>
        <v>534.46773094875005</v>
      </c>
      <c r="N99" s="438">
        <f>Schedules!N233</f>
        <v>598.60385866260003</v>
      </c>
      <c r="O99" s="438">
        <f>Schedules!O233</f>
        <v>560.93172249076724</v>
      </c>
      <c r="P99" s="438">
        <f>Schedules!P233</f>
        <v>625.74056692197155</v>
      </c>
      <c r="Q99" s="438">
        <f>Schedules!Q233</f>
        <v>700.82943495260815</v>
      </c>
      <c r="R99" s="438">
        <f>Schedules!R233</f>
        <v>784.9289671469212</v>
      </c>
      <c r="S99" s="438">
        <f>Schedules!S233</f>
        <v>879.12044320455175</v>
      </c>
      <c r="T99" s="5"/>
    </row>
    <row r="100" spans="2:21" ht="14.4" customHeight="1">
      <c r="B100" t="s">
        <v>692</v>
      </c>
      <c r="C100" s="2"/>
      <c r="D100" s="186">
        <f>'Balance Sheet'!D72</f>
        <v>0</v>
      </c>
      <c r="E100" s="186">
        <f>'Balance Sheet'!E72</f>
        <v>0</v>
      </c>
      <c r="F100" s="186">
        <f>'Balance Sheet'!F72</f>
        <v>43</v>
      </c>
      <c r="G100" s="186">
        <f>'Balance Sheet'!G72</f>
        <v>42</v>
      </c>
      <c r="H100" s="186">
        <f>'Balance Sheet'!H72</f>
        <v>41</v>
      </c>
      <c r="I100" s="186">
        <f>'Balance Sheet'!I72</f>
        <v>51</v>
      </c>
      <c r="J100" s="438">
        <f>Schedules!J181</f>
        <v>51</v>
      </c>
      <c r="K100" s="438">
        <f>Schedules!K181</f>
        <v>51</v>
      </c>
      <c r="L100" s="438">
        <f>Schedules!L181</f>
        <v>51</v>
      </c>
      <c r="M100" s="438">
        <f>Schedules!M181</f>
        <v>51</v>
      </c>
      <c r="N100" s="438">
        <f>Schedules!N181</f>
        <v>51</v>
      </c>
      <c r="O100" s="438">
        <f>Schedules!O181</f>
        <v>51</v>
      </c>
      <c r="P100" s="438">
        <f>Schedules!P181</f>
        <v>51</v>
      </c>
      <c r="Q100" s="438">
        <f>Schedules!Q181</f>
        <v>51</v>
      </c>
      <c r="R100" s="438">
        <f>Schedules!R181</f>
        <v>51</v>
      </c>
      <c r="S100" s="438">
        <f>Schedules!S181</f>
        <v>51</v>
      </c>
      <c r="T100" s="5"/>
      <c r="U100" s="5"/>
    </row>
    <row r="101" spans="2:21" ht="14.4" customHeight="1">
      <c r="B101" t="s">
        <v>697</v>
      </c>
      <c r="C101" s="2"/>
      <c r="D101" s="186">
        <f>'Balance Sheet'!D73</f>
        <v>79</v>
      </c>
      <c r="E101" s="186">
        <f>'Balance Sheet'!E73</f>
        <v>82</v>
      </c>
      <c r="F101" s="186">
        <f>'Balance Sheet'!F73</f>
        <v>45</v>
      </c>
      <c r="G101" s="186">
        <f>'Balance Sheet'!G73</f>
        <v>40</v>
      </c>
      <c r="H101" s="186">
        <f>'Balance Sheet'!H73</f>
        <v>59</v>
      </c>
      <c r="I101" s="186">
        <f>'Balance Sheet'!I73</f>
        <v>231</v>
      </c>
      <c r="J101" s="438">
        <f>Schedules!J185</f>
        <v>231</v>
      </c>
      <c r="K101" s="438">
        <f>Schedules!K185</f>
        <v>231</v>
      </c>
      <c r="L101" s="438">
        <f>Schedules!L185</f>
        <v>231</v>
      </c>
      <c r="M101" s="438">
        <f>Schedules!M185</f>
        <v>231</v>
      </c>
      <c r="N101" s="438">
        <f>Schedules!N185</f>
        <v>231</v>
      </c>
      <c r="O101" s="438">
        <f>Schedules!O185</f>
        <v>231</v>
      </c>
      <c r="P101" s="438">
        <f>Schedules!P185</f>
        <v>231</v>
      </c>
      <c r="Q101" s="438">
        <f>Schedules!Q185</f>
        <v>231</v>
      </c>
      <c r="R101" s="438">
        <f>Schedules!R185</f>
        <v>231</v>
      </c>
      <c r="S101" s="438">
        <f>Schedules!S185</f>
        <v>231</v>
      </c>
      <c r="T101" s="5"/>
      <c r="U101" s="5"/>
    </row>
    <row r="102" spans="2:21" ht="14.4" customHeight="1">
      <c r="B102" t="s">
        <v>14</v>
      </c>
      <c r="C102" s="2"/>
      <c r="D102" s="186">
        <f>'Balance Sheet'!D74</f>
        <v>217</v>
      </c>
      <c r="E102" s="186">
        <f>'Balance Sheet'!E74</f>
        <v>287</v>
      </c>
      <c r="F102" s="186">
        <f>'Balance Sheet'!F74</f>
        <v>224</v>
      </c>
      <c r="G102" s="186">
        <f>'Balance Sheet'!G74</f>
        <v>217</v>
      </c>
      <c r="H102" s="186">
        <f>'Balance Sheet'!H74</f>
        <v>211</v>
      </c>
      <c r="I102" s="186">
        <f>'Balance Sheet'!I74</f>
        <v>232</v>
      </c>
      <c r="J102" s="438">
        <f>Schedules!J189</f>
        <v>232</v>
      </c>
      <c r="K102" s="438">
        <f>Schedules!K189</f>
        <v>232</v>
      </c>
      <c r="L102" s="438">
        <f>Schedules!L189</f>
        <v>232</v>
      </c>
      <c r="M102" s="438">
        <f>Schedules!M189</f>
        <v>232</v>
      </c>
      <c r="N102" s="438">
        <f>Schedules!N189</f>
        <v>232</v>
      </c>
      <c r="O102" s="438">
        <f>Schedules!O189</f>
        <v>232</v>
      </c>
      <c r="P102" s="438">
        <f>Schedules!P189</f>
        <v>232</v>
      </c>
      <c r="Q102" s="438">
        <f>Schedules!Q189</f>
        <v>232</v>
      </c>
      <c r="R102" s="438">
        <f>Schedules!R189</f>
        <v>232</v>
      </c>
      <c r="S102" s="438">
        <f>Schedules!S189</f>
        <v>232</v>
      </c>
      <c r="T102" s="5"/>
      <c r="U102" s="5"/>
    </row>
    <row r="103" spans="2:21" ht="14.4" customHeight="1">
      <c r="B103" t="s">
        <v>220</v>
      </c>
      <c r="C103" s="2"/>
      <c r="D103" s="186">
        <f>'Balance Sheet'!D75</f>
        <v>58</v>
      </c>
      <c r="E103" s="186">
        <f>'Balance Sheet'!E75</f>
        <v>20</v>
      </c>
      <c r="F103" s="186">
        <f>'Balance Sheet'!F75</f>
        <v>21</v>
      </c>
      <c r="G103" s="186">
        <f>'Balance Sheet'!G75</f>
        <v>44</v>
      </c>
      <c r="H103" s="186">
        <f>'Balance Sheet'!H75</f>
        <v>7</v>
      </c>
      <c r="I103" s="186">
        <f>'Balance Sheet'!I75</f>
        <v>21</v>
      </c>
      <c r="J103" s="438">
        <f>Schedules!J193</f>
        <v>21</v>
      </c>
      <c r="K103" s="438">
        <f>Schedules!K193</f>
        <v>21</v>
      </c>
      <c r="L103" s="438">
        <f>Schedules!L193</f>
        <v>21</v>
      </c>
      <c r="M103" s="438">
        <f>Schedules!M193</f>
        <v>21</v>
      </c>
      <c r="N103" s="438">
        <f>Schedules!N193</f>
        <v>21</v>
      </c>
      <c r="O103" s="438">
        <f>Schedules!O193</f>
        <v>21</v>
      </c>
      <c r="P103" s="438">
        <f>Schedules!P193</f>
        <v>21</v>
      </c>
      <c r="Q103" s="438">
        <f>Schedules!Q193</f>
        <v>21</v>
      </c>
      <c r="R103" s="438">
        <f>Schedules!R193</f>
        <v>21</v>
      </c>
      <c r="S103" s="438">
        <f>Schedules!S193</f>
        <v>21</v>
      </c>
      <c r="T103" s="5"/>
      <c r="U103" s="5"/>
    </row>
    <row r="104" spans="2:21" ht="14.4" customHeight="1">
      <c r="B104" s="215" t="s">
        <v>221</v>
      </c>
      <c r="C104" s="2"/>
      <c r="D104" s="186">
        <f>'Balance Sheet'!D76</f>
        <v>54</v>
      </c>
      <c r="E104" s="186">
        <f>'Balance Sheet'!E76</f>
        <v>78</v>
      </c>
      <c r="F104" s="186">
        <f>'Balance Sheet'!F76</f>
        <v>64</v>
      </c>
      <c r="G104" s="186">
        <f>'Balance Sheet'!G76</f>
        <v>74</v>
      </c>
      <c r="H104" s="186">
        <f>'Balance Sheet'!H76</f>
        <v>79</v>
      </c>
      <c r="I104" s="186">
        <f>'Balance Sheet'!I76</f>
        <v>92</v>
      </c>
      <c r="J104" s="438">
        <f>Schedules!J197</f>
        <v>92</v>
      </c>
      <c r="K104" s="438">
        <f>Schedules!K197</f>
        <v>92</v>
      </c>
      <c r="L104" s="438">
        <f>Schedules!L197</f>
        <v>92</v>
      </c>
      <c r="M104" s="438">
        <f>Schedules!M197</f>
        <v>92</v>
      </c>
      <c r="N104" s="438">
        <f>Schedules!N197</f>
        <v>92</v>
      </c>
      <c r="O104" s="438">
        <f>Schedules!O197</f>
        <v>92</v>
      </c>
      <c r="P104" s="438">
        <f>Schedules!P197</f>
        <v>92</v>
      </c>
      <c r="Q104" s="438">
        <f>Schedules!Q197</f>
        <v>92</v>
      </c>
      <c r="R104" s="438">
        <f>Schedules!R197</f>
        <v>92</v>
      </c>
      <c r="S104" s="438">
        <f>Schedules!S197</f>
        <v>92</v>
      </c>
      <c r="T104" s="5"/>
      <c r="U104" s="5"/>
    </row>
    <row r="105" spans="2:21" ht="14.4" customHeight="1">
      <c r="B105" t="s">
        <v>698</v>
      </c>
      <c r="C105" s="2"/>
      <c r="D105" s="186">
        <f>'Balance Sheet'!D77</f>
        <v>74</v>
      </c>
      <c r="E105" s="186">
        <f>'Balance Sheet'!E77</f>
        <v>72</v>
      </c>
      <c r="F105" s="186">
        <f>'Balance Sheet'!F77</f>
        <v>67</v>
      </c>
      <c r="G105" s="186">
        <f>'Balance Sheet'!G77</f>
        <v>87</v>
      </c>
      <c r="H105" s="186">
        <f>'Balance Sheet'!H77</f>
        <v>83</v>
      </c>
      <c r="I105" s="186">
        <f>'Balance Sheet'!I77</f>
        <v>92</v>
      </c>
      <c r="J105" s="438">
        <f>Schedules!J201</f>
        <v>92</v>
      </c>
      <c r="K105" s="438">
        <f>Schedules!K201</f>
        <v>92</v>
      </c>
      <c r="L105" s="438">
        <f>Schedules!L201</f>
        <v>92</v>
      </c>
      <c r="M105" s="438">
        <f>Schedules!M201</f>
        <v>92</v>
      </c>
      <c r="N105" s="438">
        <f>Schedules!N201</f>
        <v>92</v>
      </c>
      <c r="O105" s="438">
        <f>Schedules!O201</f>
        <v>92</v>
      </c>
      <c r="P105" s="438">
        <f>Schedules!P201</f>
        <v>92</v>
      </c>
      <c r="Q105" s="438">
        <f>Schedules!Q201</f>
        <v>92</v>
      </c>
      <c r="R105" s="438">
        <f>Schedules!R201</f>
        <v>92</v>
      </c>
      <c r="S105" s="438">
        <f>Schedules!S201</f>
        <v>92</v>
      </c>
      <c r="T105" s="5"/>
      <c r="U105" s="5"/>
    </row>
    <row r="106" spans="2:21" ht="14.4" customHeight="1">
      <c r="B106" s="428" t="s">
        <v>699</v>
      </c>
      <c r="C106" s="359"/>
      <c r="D106" s="188">
        <f>SUM(D98:D105)</f>
        <v>1785</v>
      </c>
      <c r="E106" s="188">
        <f t="shared" ref="E106:I106" si="64">SUM(E98:E105)</f>
        <v>2013</v>
      </c>
      <c r="F106" s="188">
        <f t="shared" si="64"/>
        <v>2153</v>
      </c>
      <c r="G106" s="188">
        <f t="shared" si="64"/>
        <v>2429</v>
      </c>
      <c r="H106" s="188">
        <f t="shared" si="64"/>
        <v>2444</v>
      </c>
      <c r="I106" s="188">
        <f t="shared" si="64"/>
        <v>2461</v>
      </c>
      <c r="J106" s="429">
        <f>SUM(J98:J105)</f>
        <v>2762.8662027397258</v>
      </c>
      <c r="K106" s="429">
        <f t="shared" ref="K106:N106" si="65">SUM(K98:K105)</f>
        <v>3126.5959866849321</v>
      </c>
      <c r="L106" s="429">
        <f t="shared" si="65"/>
        <v>3290.4577895373977</v>
      </c>
      <c r="M106" s="429">
        <f t="shared" si="65"/>
        <v>3554.6889140656822</v>
      </c>
      <c r="N106" s="429">
        <f t="shared" si="65"/>
        <v>3806.9056192458193</v>
      </c>
      <c r="O106" s="429">
        <f t="shared" ref="O106:S106" si="66">SUM(O98:O105)</f>
        <v>4067.9496943439735</v>
      </c>
      <c r="P106" s="429">
        <f t="shared" si="66"/>
        <v>4406.0936340549042</v>
      </c>
      <c r="Q106" s="429">
        <f t="shared" si="66"/>
        <v>4848.5448701414925</v>
      </c>
      <c r="R106" s="429">
        <f t="shared" si="66"/>
        <v>5344.0902545584722</v>
      </c>
      <c r="S106" s="429">
        <f t="shared" si="66"/>
        <v>5899.1010851054898</v>
      </c>
      <c r="T106" s="20"/>
    </row>
    <row r="107" spans="2:21" ht="14.4" customHeight="1">
      <c r="B107" s="3"/>
      <c r="C107" s="2"/>
      <c r="D107" s="185"/>
      <c r="E107" s="185"/>
      <c r="F107" s="185"/>
      <c r="G107" s="185"/>
      <c r="H107" s="185"/>
      <c r="I107" s="185"/>
      <c r="J107" s="5"/>
      <c r="K107" s="5"/>
      <c r="L107" s="5"/>
      <c r="M107" s="5"/>
      <c r="N107" s="5"/>
      <c r="O107" s="5"/>
      <c r="P107" s="5"/>
      <c r="Q107" s="5"/>
      <c r="R107" s="5"/>
      <c r="S107" s="5"/>
    </row>
    <row r="108" spans="2:21" ht="14.4" customHeight="1" thickBot="1">
      <c r="B108" s="69" t="s">
        <v>700</v>
      </c>
      <c r="C108" s="6"/>
      <c r="D108" s="189">
        <f t="shared" ref="D108:S108" si="67">D106+D94+D84</f>
        <v>5002</v>
      </c>
      <c r="E108" s="189">
        <f t="shared" si="67"/>
        <v>5510</v>
      </c>
      <c r="F108" s="189">
        <f t="shared" si="67"/>
        <v>5786</v>
      </c>
      <c r="G108" s="189">
        <f t="shared" si="67"/>
        <v>6946</v>
      </c>
      <c r="H108" s="189">
        <f t="shared" si="67"/>
        <v>7421</v>
      </c>
      <c r="I108" s="189">
        <f t="shared" si="67"/>
        <v>8338</v>
      </c>
      <c r="J108" s="189">
        <f t="shared" si="67"/>
        <v>8943.3075506283658</v>
      </c>
      <c r="K108" s="189">
        <f t="shared" si="67"/>
        <v>9652.4730840502179</v>
      </c>
      <c r="L108" s="189">
        <f t="shared" si="67"/>
        <v>10209.619597616282</v>
      </c>
      <c r="M108" s="189">
        <f t="shared" si="67"/>
        <v>10972.442131426596</v>
      </c>
      <c r="N108" s="189">
        <f t="shared" si="67"/>
        <v>11648.410935355507</v>
      </c>
      <c r="O108" s="189">
        <f t="shared" si="67"/>
        <v>12387.396889683825</v>
      </c>
      <c r="P108" s="189">
        <f t="shared" si="67"/>
        <v>13261.741040544588</v>
      </c>
      <c r="Q108" s="189">
        <f t="shared" si="67"/>
        <v>14304.66318481222</v>
      </c>
      <c r="R108" s="189">
        <f t="shared" si="67"/>
        <v>15472.997740176437</v>
      </c>
      <c r="S108" s="189">
        <f t="shared" si="67"/>
        <v>16782.584138434278</v>
      </c>
    </row>
    <row r="109" spans="2:21" ht="14.4" customHeight="1">
      <c r="B109" s="3"/>
      <c r="C109" s="2"/>
      <c r="D109" s="185"/>
      <c r="E109" s="185"/>
      <c r="F109" s="185"/>
      <c r="G109" s="185"/>
      <c r="H109" s="185"/>
      <c r="I109" s="185"/>
      <c r="J109" s="185"/>
      <c r="K109" s="185"/>
      <c r="L109" s="185"/>
      <c r="M109" s="185"/>
      <c r="N109" s="185"/>
      <c r="O109" s="185"/>
      <c r="P109" s="185"/>
      <c r="Q109" s="185"/>
      <c r="R109" s="185"/>
      <c r="S109" s="185"/>
    </row>
    <row r="110" spans="2:21" ht="14.4" customHeight="1">
      <c r="B110" s="16" t="s">
        <v>73</v>
      </c>
      <c r="C110" s="16"/>
      <c r="D110" s="182">
        <f t="shared" ref="D110:S110" si="68">D72-D106</f>
        <v>1397.0000000000009</v>
      </c>
      <c r="E110" s="182">
        <f t="shared" si="68"/>
        <v>1323.0000000000009</v>
      </c>
      <c r="F110" s="182">
        <f t="shared" si="68"/>
        <v>1352.0000000000009</v>
      </c>
      <c r="G110" s="182">
        <f t="shared" si="68"/>
        <v>1391.0000000000009</v>
      </c>
      <c r="H110" s="182">
        <f t="shared" si="68"/>
        <v>1559.0000000000009</v>
      </c>
      <c r="I110" s="182">
        <f t="shared" si="68"/>
        <v>2622.0000000000009</v>
      </c>
      <c r="J110" s="182">
        <f t="shared" si="68"/>
        <v>2919.0544038886419</v>
      </c>
      <c r="K110" s="182">
        <f t="shared" si="68"/>
        <v>3246.3814679252878</v>
      </c>
      <c r="L110" s="182">
        <f t="shared" si="68"/>
        <v>3609.2997125716838</v>
      </c>
      <c r="M110" s="182">
        <f t="shared" si="68"/>
        <v>4064.8557910529144</v>
      </c>
      <c r="N110" s="182">
        <f t="shared" si="68"/>
        <v>4416.2735481310083</v>
      </c>
      <c r="O110" s="182">
        <f t="shared" si="68"/>
        <v>4790.3127315608053</v>
      </c>
      <c r="P110" s="182">
        <f t="shared" si="68"/>
        <v>5184.0527091199374</v>
      </c>
      <c r="Q110" s="182">
        <f t="shared" si="68"/>
        <v>5597.7442651570864</v>
      </c>
      <c r="R110" s="182">
        <f t="shared" si="68"/>
        <v>6106.1058707391858</v>
      </c>
      <c r="S110" s="182">
        <f t="shared" si="68"/>
        <v>6772.6536258871702</v>
      </c>
    </row>
    <row r="111" spans="2:21" ht="14.4" customHeight="1">
      <c r="B111" s="16" t="s">
        <v>74</v>
      </c>
      <c r="C111" s="16"/>
      <c r="D111" s="494">
        <f>Schedules!D156</f>
        <v>0</v>
      </c>
      <c r="E111" s="494">
        <f>Schedules!E156</f>
        <v>21.021061133200796</v>
      </c>
      <c r="F111" s="494">
        <f>Schedules!F156</f>
        <v>19.953742640874683</v>
      </c>
      <c r="G111" s="494">
        <f>Schedules!G156</f>
        <v>31.158080704629253</v>
      </c>
      <c r="H111" s="494">
        <f>Schedules!H156</f>
        <v>39.400186470527295</v>
      </c>
      <c r="I111" s="494">
        <f>Schedules!I156</f>
        <v>39.42849229064722</v>
      </c>
      <c r="J111" s="494">
        <f>Schedules!J156</f>
        <v>45</v>
      </c>
      <c r="K111" s="494">
        <f>Schedules!K156</f>
        <v>45</v>
      </c>
      <c r="L111" s="494">
        <f>Schedules!L156</f>
        <v>42</v>
      </c>
      <c r="M111" s="494">
        <f>Schedules!M156</f>
        <v>42</v>
      </c>
      <c r="N111" s="494">
        <f>Schedules!N156</f>
        <v>42</v>
      </c>
      <c r="O111" s="494">
        <f>Schedules!O156</f>
        <v>40</v>
      </c>
      <c r="P111" s="494">
        <f>Schedules!P156</f>
        <v>40</v>
      </c>
      <c r="Q111" s="494">
        <f>Schedules!Q156</f>
        <v>39</v>
      </c>
      <c r="R111" s="494">
        <f>Schedules!R156</f>
        <v>39.4</v>
      </c>
      <c r="S111" s="494">
        <f>Schedules!S156</f>
        <v>39</v>
      </c>
    </row>
    <row r="112" spans="2:21" ht="14.4" customHeight="1">
      <c r="B112" s="16" t="s">
        <v>75</v>
      </c>
      <c r="C112" s="16"/>
      <c r="D112" s="494">
        <f>Schedules!D162</f>
        <v>0</v>
      </c>
      <c r="E112" s="494">
        <f>Schedules!E162</f>
        <v>56.827162027833005</v>
      </c>
      <c r="F112" s="494">
        <f>Schedules!F162</f>
        <v>48.694806560134566</v>
      </c>
      <c r="G112" s="494">
        <f>Schedules!G162</f>
        <v>49.288457599344532</v>
      </c>
      <c r="H112" s="494">
        <f>Schedules!H162</f>
        <v>48.41836734693878</v>
      </c>
      <c r="I112" s="494">
        <f>Schedules!I162</f>
        <v>43.32079217062136</v>
      </c>
      <c r="J112" s="494">
        <f>Schedules!J162</f>
        <v>47</v>
      </c>
      <c r="K112" s="494">
        <f>Schedules!K162</f>
        <v>47</v>
      </c>
      <c r="L112" s="494">
        <f>Schedules!L162</f>
        <v>46</v>
      </c>
      <c r="M112" s="494">
        <f>Schedules!M162</f>
        <v>46</v>
      </c>
      <c r="N112" s="494">
        <f>Schedules!N162</f>
        <v>46</v>
      </c>
      <c r="O112" s="494">
        <f>Schedules!O162</f>
        <v>44</v>
      </c>
      <c r="P112" s="494">
        <f>Schedules!P162</f>
        <v>44</v>
      </c>
      <c r="Q112" s="494">
        <f>Schedules!Q162</f>
        <v>42</v>
      </c>
      <c r="R112" s="494">
        <f>Schedules!R162</f>
        <v>40</v>
      </c>
      <c r="S112" s="494">
        <f>Schedules!S162</f>
        <v>40</v>
      </c>
    </row>
    <row r="113" spans="1:24" ht="14.4" customHeight="1">
      <c r="B113" s="16" t="s">
        <v>777</v>
      </c>
      <c r="C113" s="16"/>
      <c r="D113" s="494">
        <f>Schedules!D173</f>
        <v>0</v>
      </c>
      <c r="E113" s="494">
        <f>Schedules!E173</f>
        <v>90.266978922716632</v>
      </c>
      <c r="F113" s="494">
        <f>Schedules!F173</f>
        <v>83.192604856512148</v>
      </c>
      <c r="G113" s="494">
        <f>Schedules!G173</f>
        <v>95.359745841898715</v>
      </c>
      <c r="H113" s="494">
        <f>Schedules!H173</f>
        <v>116.58013900589721</v>
      </c>
      <c r="I113" s="494">
        <f>Schedules!I173</f>
        <v>99.71789161098738</v>
      </c>
      <c r="J113" s="494">
        <f>Schedules!J173</f>
        <v>105</v>
      </c>
      <c r="K113" s="494">
        <f>Schedules!K173</f>
        <v>105</v>
      </c>
      <c r="L113" s="494">
        <f>Schedules!L173</f>
        <v>105</v>
      </c>
      <c r="M113" s="494">
        <f>Schedules!M173</f>
        <v>102</v>
      </c>
      <c r="N113" s="494">
        <f>Schedules!N173</f>
        <v>102</v>
      </c>
      <c r="O113" s="494">
        <f>Schedules!O173</f>
        <v>102</v>
      </c>
      <c r="P113" s="494">
        <f>Schedules!P173</f>
        <v>100</v>
      </c>
      <c r="Q113" s="494">
        <f>Schedules!Q173</f>
        <v>100</v>
      </c>
      <c r="R113" s="494">
        <f>Schedules!R173</f>
        <v>100</v>
      </c>
      <c r="S113" s="494">
        <f>Schedules!S173</f>
        <v>100</v>
      </c>
    </row>
    <row r="114" spans="1:24" ht="14.4" customHeight="1">
      <c r="D114" s="46"/>
      <c r="E114" s="46"/>
      <c r="F114" s="46"/>
      <c r="G114" s="46"/>
      <c r="H114" s="46"/>
      <c r="I114" s="46"/>
      <c r="J114" s="46"/>
      <c r="K114" s="46"/>
      <c r="L114" s="46"/>
      <c r="M114" s="46"/>
      <c r="N114" s="46"/>
      <c r="O114" s="46"/>
      <c r="P114" s="46"/>
      <c r="Q114" s="46"/>
      <c r="R114" s="46"/>
      <c r="S114" s="46"/>
    </row>
    <row r="115" spans="1:24" ht="14.4" customHeight="1">
      <c r="B115" s="139" t="s">
        <v>76</v>
      </c>
      <c r="C115" s="67"/>
      <c r="D115" s="184"/>
      <c r="E115" s="184"/>
      <c r="F115" s="184"/>
      <c r="G115" s="184"/>
      <c r="H115" s="184"/>
      <c r="I115" s="184"/>
      <c r="J115" s="184"/>
      <c r="K115" s="184"/>
      <c r="L115" s="184"/>
      <c r="M115" s="184"/>
      <c r="N115" s="184"/>
      <c r="O115" s="184"/>
      <c r="P115" s="184"/>
      <c r="Q115" s="184"/>
      <c r="R115" s="184"/>
      <c r="S115" s="184"/>
      <c r="T115" s="67"/>
    </row>
    <row r="116" spans="1:24" ht="14.4" customHeight="1">
      <c r="D116" s="46"/>
      <c r="E116" s="46"/>
      <c r="F116" s="46"/>
      <c r="G116" s="46"/>
      <c r="H116" s="46"/>
      <c r="I116" s="46"/>
      <c r="J116" s="46"/>
      <c r="K116" s="46"/>
      <c r="L116" s="46"/>
      <c r="M116" s="46"/>
      <c r="N116" s="46"/>
      <c r="O116" s="46"/>
      <c r="P116" s="46"/>
      <c r="Q116" s="46"/>
      <c r="R116" s="46"/>
      <c r="S116" s="46"/>
    </row>
    <row r="117" spans="1:24" ht="14.4" customHeight="1">
      <c r="B117" t="s">
        <v>172</v>
      </c>
      <c r="D117" s="46">
        <f t="shared" ref="D117:S117" si="69">D36</f>
        <v>1374.0000000000009</v>
      </c>
      <c r="E117" s="46">
        <f t="shared" si="69"/>
        <v>1523</v>
      </c>
      <c r="F117" s="46">
        <f t="shared" si="69"/>
        <v>1601</v>
      </c>
      <c r="G117" s="46">
        <f t="shared" si="69"/>
        <v>1743</v>
      </c>
      <c r="H117" s="46">
        <f t="shared" si="69"/>
        <v>1937</v>
      </c>
      <c r="I117" s="46">
        <f t="shared" si="69"/>
        <v>2116</v>
      </c>
      <c r="J117" s="46">
        <f t="shared" si="69"/>
        <v>2026.1842139999997</v>
      </c>
      <c r="K117" s="46">
        <f t="shared" si="69"/>
        <v>2306.5955493899992</v>
      </c>
      <c r="L117" s="46">
        <f t="shared" si="69"/>
        <v>2626.0998311538251</v>
      </c>
      <c r="M117" s="46">
        <f t="shared" si="69"/>
        <v>3329.2695598426276</v>
      </c>
      <c r="N117" s="46">
        <f t="shared" si="69"/>
        <v>3772.7216768943508</v>
      </c>
      <c r="O117" s="46">
        <f t="shared" si="69"/>
        <v>4255.1805487015881</v>
      </c>
      <c r="P117" s="46">
        <f t="shared" si="69"/>
        <v>4773.8622787556296</v>
      </c>
      <c r="Q117" s="46">
        <f t="shared" si="69"/>
        <v>5346.0729004722416</v>
      </c>
      <c r="R117" s="46">
        <f t="shared" si="69"/>
        <v>5989.932077521702</v>
      </c>
      <c r="S117" s="46">
        <f t="shared" si="69"/>
        <v>6718.0873193627376</v>
      </c>
      <c r="T117" s="46"/>
      <c r="U117" s="84"/>
      <c r="W117" s="46"/>
      <c r="X117" s="46"/>
    </row>
    <row r="118" spans="1:24" ht="14.4" customHeight="1">
      <c r="B118" s="40" t="s">
        <v>77</v>
      </c>
      <c r="D118" s="46">
        <f t="shared" ref="D118:S118" si="70">D29</f>
        <v>140</v>
      </c>
      <c r="E118" s="46">
        <f t="shared" si="70"/>
        <v>139</v>
      </c>
      <c r="F118" s="46">
        <f t="shared" si="70"/>
        <v>139</v>
      </c>
      <c r="G118" s="46">
        <f t="shared" si="70"/>
        <v>155</v>
      </c>
      <c r="H118" s="46">
        <f t="shared" si="70"/>
        <v>158</v>
      </c>
      <c r="I118" s="46">
        <f t="shared" si="70"/>
        <v>178</v>
      </c>
      <c r="J118" s="46">
        <f t="shared" si="70"/>
        <v>191.17049600000001</v>
      </c>
      <c r="K118" s="46">
        <f t="shared" si="70"/>
        <v>206.11900896</v>
      </c>
      <c r="L118" s="46">
        <f t="shared" si="70"/>
        <v>223.0108286048</v>
      </c>
      <c r="M118" s="46">
        <f t="shared" si="70"/>
        <v>242.0141257052</v>
      </c>
      <c r="N118" s="46">
        <f t="shared" si="70"/>
        <v>226.96758766062001</v>
      </c>
      <c r="O118" s="46">
        <f t="shared" si="70"/>
        <v>231.31546505069042</v>
      </c>
      <c r="P118" s="46">
        <f t="shared" si="70"/>
        <v>258.01372923936117</v>
      </c>
      <c r="Q118" s="46">
        <f t="shared" si="70"/>
        <v>289.78466362387945</v>
      </c>
      <c r="R118" s="46">
        <f t="shared" si="70"/>
        <v>322.2283942659522</v>
      </c>
      <c r="S118" s="46">
        <f t="shared" si="70"/>
        <v>351.53240903943725</v>
      </c>
      <c r="U118" s="84"/>
    </row>
    <row r="119" spans="1:24" ht="18" customHeight="1">
      <c r="A119" s="7"/>
      <c r="B119" s="40" t="s">
        <v>86</v>
      </c>
      <c r="D119" s="46">
        <f t="shared" ref="D119:S119" si="71">D34</f>
        <v>50</v>
      </c>
      <c r="E119" s="46">
        <f t="shared" si="71"/>
        <v>34</v>
      </c>
      <c r="F119" s="46">
        <f t="shared" si="71"/>
        <v>39</v>
      </c>
      <c r="G119" s="46">
        <f t="shared" si="71"/>
        <v>56</v>
      </c>
      <c r="H119" s="46">
        <f t="shared" si="71"/>
        <v>73</v>
      </c>
      <c r="I119" s="46">
        <f t="shared" si="71"/>
        <v>53</v>
      </c>
      <c r="J119" s="46">
        <f t="shared" si="71"/>
        <v>54.555850000000007</v>
      </c>
      <c r="K119" s="46">
        <f t="shared" si="71"/>
        <v>65.90392725000001</v>
      </c>
      <c r="L119" s="46">
        <f t="shared" si="71"/>
        <v>64.72822896937501</v>
      </c>
      <c r="M119" s="46">
        <f t="shared" si="71"/>
        <v>63.096884903671878</v>
      </c>
      <c r="N119" s="46">
        <f t="shared" si="71"/>
        <v>70.816974350709387</v>
      </c>
      <c r="O119" s="46">
        <f t="shared" si="71"/>
        <v>72.470973822085455</v>
      </c>
      <c r="P119" s="46">
        <f t="shared" si="71"/>
        <v>74.167018088296174</v>
      </c>
      <c r="Q119" s="46">
        <f t="shared" si="71"/>
        <v>82.910625117161231</v>
      </c>
      <c r="R119" s="46">
        <f t="shared" si="71"/>
        <v>92.859900131220584</v>
      </c>
      <c r="S119" s="46">
        <f t="shared" si="71"/>
        <v>104.00308814696706</v>
      </c>
      <c r="T119" s="46"/>
      <c r="U119" s="84"/>
      <c r="X119" s="46"/>
    </row>
    <row r="120" spans="1:24" ht="14.4" customHeight="1">
      <c r="B120" s="40" t="s">
        <v>701</v>
      </c>
      <c r="D120" s="47">
        <f>SUM('Cash Flow'!D9,'Cash Flow'!D11:D18)</f>
        <v>-89</v>
      </c>
      <c r="E120" s="47">
        <f>SUM('Cash Flow'!E9,'Cash Flow'!E11:E18)</f>
        <v>-73</v>
      </c>
      <c r="F120" s="47">
        <f>SUM('Cash Flow'!F9,'Cash Flow'!F11:F18)</f>
        <v>-70</v>
      </c>
      <c r="G120" s="47">
        <f>SUM('Cash Flow'!G9,'Cash Flow'!G11:G18)</f>
        <v>-107</v>
      </c>
      <c r="H120" s="47">
        <f>SUM('Cash Flow'!H9,'Cash Flow'!H11:H18)</f>
        <v>-128</v>
      </c>
      <c r="I120" s="47">
        <f>SUM('Cash Flow'!I9,'Cash Flow'!I11:I18)</f>
        <v>-128</v>
      </c>
      <c r="J120" s="478">
        <v>0</v>
      </c>
      <c r="K120" s="478">
        <v>0</v>
      </c>
      <c r="L120" s="478">
        <v>0</v>
      </c>
      <c r="M120" s="478">
        <v>0</v>
      </c>
      <c r="N120" s="478">
        <v>0</v>
      </c>
      <c r="O120" s="478">
        <v>0</v>
      </c>
      <c r="P120" s="478">
        <v>0</v>
      </c>
      <c r="Q120" s="478">
        <v>0</v>
      </c>
      <c r="R120" s="478">
        <v>0</v>
      </c>
      <c r="S120" s="478">
        <v>0</v>
      </c>
      <c r="U120" s="84"/>
    </row>
    <row r="121" spans="1:24" ht="14.4" customHeight="1">
      <c r="B121" s="40" t="s">
        <v>78</v>
      </c>
      <c r="D121" s="47">
        <f>'Cash Flow'!D35</f>
        <v>33</v>
      </c>
      <c r="E121" s="47">
        <f>'Cash Flow'!E35</f>
        <v>730</v>
      </c>
      <c r="F121" s="47">
        <f>'Cash Flow'!F35</f>
        <v>-342</v>
      </c>
      <c r="G121" s="47">
        <f>'Cash Flow'!G35</f>
        <v>-59</v>
      </c>
      <c r="H121" s="47">
        <f>'Cash Flow'!H35</f>
        <v>-226</v>
      </c>
      <c r="I121" s="47">
        <f>'Cash Flow'!I35</f>
        <v>-293</v>
      </c>
      <c r="J121" s="47">
        <f>Schedules!J225*-1</f>
        <v>-347.86124383561764</v>
      </c>
      <c r="K121" s="47">
        <f>Schedules!K225*-1</f>
        <v>-356.4584213424655</v>
      </c>
      <c r="L121" s="47">
        <f>Schedules!L225*-1</f>
        <v>-133.00952130862902</v>
      </c>
      <c r="M121" s="47">
        <f>Schedules!M225*-1</f>
        <v>-351.58633715847941</v>
      </c>
      <c r="N121" s="47">
        <f>Schedules!N225*-1</f>
        <v>-384.36120779096882</v>
      </c>
      <c r="O121" s="47">
        <f>Schedules!O225*-1</f>
        <v>-297.04496240170465</v>
      </c>
      <c r="P121" s="47">
        <f>Schedules!P225*-1</f>
        <v>-388.52943783441424</v>
      </c>
      <c r="Q121" s="47">
        <f>Schedules!Q225*-1</f>
        <v>-393.81245855598127</v>
      </c>
      <c r="R121" s="47">
        <f>Schedules!R225*-1</f>
        <v>-533.84825028656269</v>
      </c>
      <c r="S121" s="47">
        <f>Schedules!S225*-1</f>
        <v>-697.00463431034495</v>
      </c>
      <c r="T121" s="46"/>
      <c r="U121" s="46"/>
    </row>
    <row r="122" spans="1:24" ht="14.4" customHeight="1">
      <c r="B122" s="40" t="s">
        <v>702</v>
      </c>
      <c r="D122" s="47">
        <f>'Cash Flow'!D39</f>
        <v>-290</v>
      </c>
      <c r="E122" s="47">
        <f>'Cash Flow'!E39</f>
        <v>-285</v>
      </c>
      <c r="F122" s="47">
        <f>'Cash Flow'!F39</f>
        <v>-351</v>
      </c>
      <c r="G122" s="47">
        <f>'Cash Flow'!G39</f>
        <v>-369</v>
      </c>
      <c r="H122" s="47">
        <f>'Cash Flow'!H39</f>
        <v>-378</v>
      </c>
      <c r="I122" s="47">
        <f>'Cash Flow'!I39</f>
        <v>-484</v>
      </c>
      <c r="J122" s="47">
        <f t="shared" ref="J122:S122" si="72">J38*-1</f>
        <v>-508.97747455679985</v>
      </c>
      <c r="K122" s="47">
        <f t="shared" si="72"/>
        <v>-579.41680200676774</v>
      </c>
      <c r="L122" s="47">
        <f t="shared" si="72"/>
        <v>-659.67627758584081</v>
      </c>
      <c r="M122" s="47">
        <f t="shared" si="72"/>
        <v>-836.31251343246799</v>
      </c>
      <c r="N122" s="47">
        <f t="shared" si="72"/>
        <v>-947.70768523586082</v>
      </c>
      <c r="O122" s="47">
        <f t="shared" si="72"/>
        <v>-1068.9013538338388</v>
      </c>
      <c r="P122" s="47">
        <f t="shared" si="72"/>
        <v>-1199.194204423414</v>
      </c>
      <c r="Q122" s="47">
        <f t="shared" si="72"/>
        <v>-1342.933512598627</v>
      </c>
      <c r="R122" s="47">
        <f t="shared" si="72"/>
        <v>-1504.6709378734515</v>
      </c>
      <c r="S122" s="47">
        <f t="shared" si="72"/>
        <v>-1687.5835346239196</v>
      </c>
      <c r="T122" s="46"/>
      <c r="U122" s="46"/>
    </row>
    <row r="123" spans="1:24" ht="14.4" customHeight="1">
      <c r="B123" s="245" t="s">
        <v>713</v>
      </c>
      <c r="C123" s="245"/>
      <c r="D123" s="433">
        <f>SUM(D117:D122)</f>
        <v>1218.0000000000009</v>
      </c>
      <c r="E123" s="433">
        <f t="shared" ref="E123:I123" si="73">SUM(E117:E122)</f>
        <v>2068</v>
      </c>
      <c r="F123" s="433">
        <f t="shared" si="73"/>
        <v>1016</v>
      </c>
      <c r="G123" s="433">
        <f t="shared" si="73"/>
        <v>1419</v>
      </c>
      <c r="H123" s="433">
        <f t="shared" si="73"/>
        <v>1436</v>
      </c>
      <c r="I123" s="433">
        <f t="shared" si="73"/>
        <v>1442</v>
      </c>
      <c r="J123" s="433">
        <f>SUM(J117:J122)</f>
        <v>1415.0718416075824</v>
      </c>
      <c r="K123" s="433">
        <f t="shared" ref="K123:N123" si="74">SUM(K117:K122)</f>
        <v>1642.7432622507658</v>
      </c>
      <c r="L123" s="433">
        <f t="shared" si="74"/>
        <v>2121.1530898335304</v>
      </c>
      <c r="M123" s="433">
        <f t="shared" si="74"/>
        <v>2446.4817198605515</v>
      </c>
      <c r="N123" s="433">
        <f t="shared" si="74"/>
        <v>2738.4373458788505</v>
      </c>
      <c r="O123" s="433">
        <f t="shared" ref="O123:S123" si="75">SUM(O117:O122)</f>
        <v>3193.0206713388206</v>
      </c>
      <c r="P123" s="433">
        <f t="shared" si="75"/>
        <v>3518.3193838254592</v>
      </c>
      <c r="Q123" s="433">
        <f t="shared" si="75"/>
        <v>3982.0222180586734</v>
      </c>
      <c r="R123" s="433">
        <f t="shared" si="75"/>
        <v>4366.5011837588609</v>
      </c>
      <c r="S123" s="433">
        <f t="shared" si="75"/>
        <v>4789.034647614877</v>
      </c>
    </row>
    <row r="124" spans="1:24" ht="14.4" customHeight="1">
      <c r="B124" s="18"/>
      <c r="C124" s="18"/>
      <c r="D124" s="367"/>
      <c r="E124" s="367"/>
      <c r="F124" s="367"/>
      <c r="G124" s="367"/>
      <c r="H124" s="367"/>
      <c r="I124" s="367"/>
      <c r="J124" s="367"/>
      <c r="K124" s="367"/>
      <c r="L124" s="367"/>
      <c r="M124" s="367"/>
      <c r="N124" s="367"/>
      <c r="O124" s="367"/>
      <c r="P124" s="367"/>
      <c r="Q124" s="367"/>
      <c r="R124" s="367"/>
      <c r="S124" s="367"/>
    </row>
    <row r="125" spans="1:24" ht="14.4" customHeight="1">
      <c r="B125" t="s">
        <v>705</v>
      </c>
      <c r="C125" s="18"/>
      <c r="D125" s="47">
        <f>SUM('Cash Flow'!D44,'Cash Flow'!D46)</f>
        <v>-186</v>
      </c>
      <c r="E125" s="47">
        <f>SUM('Cash Flow'!E44,'Cash Flow'!E46)</f>
        <v>-137</v>
      </c>
      <c r="F125" s="47">
        <f>SUM('Cash Flow'!F44,'Cash Flow'!F46)</f>
        <v>-129</v>
      </c>
      <c r="G125" s="47">
        <f>SUM('Cash Flow'!G44,'Cash Flow'!G46)</f>
        <v>-157</v>
      </c>
      <c r="H125" s="47">
        <f>SUM('Cash Flow'!H44,'Cash Flow'!H46)</f>
        <v>-135</v>
      </c>
      <c r="I125" s="47">
        <f>SUM('Cash Flow'!I44,'Cash Flow'!I46)</f>
        <v>-122</v>
      </c>
      <c r="J125" s="47">
        <f>Schedules!J54*-1</f>
        <v>-197.55744000000004</v>
      </c>
      <c r="K125" s="47">
        <f>Schedules!K54*-1</f>
        <v>-224.22769440000005</v>
      </c>
      <c r="L125" s="47">
        <f>Schedules!L54*-1</f>
        <v>-253.37729467200003</v>
      </c>
      <c r="M125" s="47">
        <f>Schedules!M54*-1</f>
        <v>-285.04945650600001</v>
      </c>
      <c r="N125" s="47">
        <f>Schedules!N54*-1</f>
        <v>-299.30192933130002</v>
      </c>
      <c r="O125" s="47">
        <f>Schedules!O54*-1</f>
        <v>-335.2181608510561</v>
      </c>
      <c r="P125" s="47">
        <f>Schedules!P54*-1</f>
        <v>-400.47396283006174</v>
      </c>
      <c r="Q125" s="47">
        <f>Schedules!Q54*-1</f>
        <v>-476.56401576777353</v>
      </c>
      <c r="R125" s="47">
        <f>Schedules!R54*-1</f>
        <v>-486.65595963109109</v>
      </c>
      <c r="S125" s="47">
        <f>Schedules!S54*-1</f>
        <v>-439.56022160227587</v>
      </c>
    </row>
    <row r="126" spans="1:24" ht="14.4" customHeight="1">
      <c r="B126" t="s">
        <v>706</v>
      </c>
      <c r="C126" s="18"/>
      <c r="D126" s="47">
        <f>SUM('Cash Flow'!D47:D49)</f>
        <v>-189</v>
      </c>
      <c r="E126" s="47">
        <f>SUM('Cash Flow'!E47:E49)</f>
        <v>165</v>
      </c>
      <c r="F126" s="47">
        <f>SUM('Cash Flow'!F47:F49)</f>
        <v>-146</v>
      </c>
      <c r="G126" s="47">
        <f>SUM('Cash Flow'!G47:G49)</f>
        <v>-130</v>
      </c>
      <c r="H126" s="47">
        <f>SUM('Cash Flow'!H47:H49)</f>
        <v>380</v>
      </c>
      <c r="I126" s="47">
        <f>SUM('Cash Flow'!I47:I49)</f>
        <v>-912</v>
      </c>
      <c r="J126" s="478">
        <v>0</v>
      </c>
      <c r="K126" s="478">
        <v>0</v>
      </c>
      <c r="L126" s="478">
        <v>0</v>
      </c>
      <c r="M126" s="478">
        <v>0</v>
      </c>
      <c r="N126" s="478">
        <v>0</v>
      </c>
      <c r="O126" s="478">
        <v>0</v>
      </c>
      <c r="P126" s="478">
        <v>0</v>
      </c>
      <c r="Q126" s="478">
        <v>0</v>
      </c>
      <c r="R126" s="478">
        <v>0</v>
      </c>
      <c r="S126" s="478">
        <v>0</v>
      </c>
    </row>
    <row r="127" spans="1:24" ht="14.4" customHeight="1">
      <c r="B127" t="s">
        <v>703</v>
      </c>
      <c r="C127" s="18"/>
      <c r="D127" s="47">
        <f>'Cash Flow'!D52</f>
        <v>72</v>
      </c>
      <c r="E127" s="47">
        <f>'Cash Flow'!E52</f>
        <v>52</v>
      </c>
      <c r="F127" s="47">
        <f>'Cash Flow'!F52</f>
        <v>57</v>
      </c>
      <c r="G127" s="47">
        <f>'Cash Flow'!G52</f>
        <v>48</v>
      </c>
      <c r="H127" s="47">
        <f>'Cash Flow'!H52</f>
        <v>66</v>
      </c>
      <c r="I127" s="47">
        <f>'Cash Flow'!I52</f>
        <v>70</v>
      </c>
      <c r="J127" s="478">
        <v>0</v>
      </c>
      <c r="K127" s="478">
        <v>0</v>
      </c>
      <c r="L127" s="478">
        <v>0</v>
      </c>
      <c r="M127" s="478">
        <v>0</v>
      </c>
      <c r="N127" s="478">
        <v>0</v>
      </c>
      <c r="O127" s="478">
        <v>0</v>
      </c>
      <c r="P127" s="478">
        <v>0</v>
      </c>
      <c r="Q127" s="478">
        <v>0</v>
      </c>
      <c r="R127" s="478">
        <v>0</v>
      </c>
      <c r="S127" s="478">
        <v>0</v>
      </c>
    </row>
    <row r="128" spans="1:24" ht="14.4" customHeight="1">
      <c r="B128" t="s">
        <v>704</v>
      </c>
      <c r="D128" s="47">
        <f>'Cash Flow'!D45</f>
        <v>-3</v>
      </c>
      <c r="E128" s="47">
        <f>'Cash Flow'!E45</f>
        <v>-132</v>
      </c>
      <c r="F128" s="47">
        <f>'Cash Flow'!F45</f>
        <v>-41</v>
      </c>
      <c r="G128" s="47">
        <f>'Cash Flow'!G45</f>
        <v>-277</v>
      </c>
      <c r="H128" s="47">
        <f>'Cash Flow'!H45</f>
        <v>-103</v>
      </c>
      <c r="I128" s="47">
        <f>'Cash Flow'!I45</f>
        <v>0</v>
      </c>
      <c r="J128" s="478">
        <v>0</v>
      </c>
      <c r="K128" s="478">
        <v>0</v>
      </c>
      <c r="L128" s="478">
        <v>0</v>
      </c>
      <c r="M128" s="478">
        <v>0</v>
      </c>
      <c r="N128" s="478">
        <v>0</v>
      </c>
      <c r="O128" s="478">
        <v>0</v>
      </c>
      <c r="P128" s="478">
        <v>0</v>
      </c>
      <c r="Q128" s="478">
        <v>0</v>
      </c>
      <c r="R128" s="478">
        <v>0</v>
      </c>
      <c r="S128" s="478">
        <v>0</v>
      </c>
    </row>
    <row r="129" spans="2:20" ht="14.4" customHeight="1">
      <c r="B129" t="s">
        <v>380</v>
      </c>
      <c r="D129" s="47">
        <f>SUM('Cash Flow'!D50:D51)</f>
        <v>262</v>
      </c>
      <c r="E129" s="47">
        <f>SUM('Cash Flow'!E50:E51)</f>
        <v>-886</v>
      </c>
      <c r="F129" s="47">
        <f>SUM('Cash Flow'!F50:F51)</f>
        <v>698</v>
      </c>
      <c r="G129" s="47">
        <f>SUM('Cash Flow'!G50:G51)</f>
        <v>-349</v>
      </c>
      <c r="H129" s="47">
        <f>SUM('Cash Flow'!H50:H51)</f>
        <v>-32</v>
      </c>
      <c r="I129" s="47">
        <f>SUM('Cash Flow'!I50:I51)</f>
        <v>343</v>
      </c>
      <c r="J129" s="478">
        <v>0</v>
      </c>
      <c r="K129" s="478">
        <v>0</v>
      </c>
      <c r="L129" s="478">
        <v>0</v>
      </c>
      <c r="M129" s="478">
        <v>0</v>
      </c>
      <c r="N129" s="478">
        <v>0</v>
      </c>
      <c r="O129" s="478">
        <v>0</v>
      </c>
      <c r="P129" s="478">
        <v>0</v>
      </c>
      <c r="Q129" s="478">
        <v>0</v>
      </c>
      <c r="R129" s="478">
        <v>0</v>
      </c>
      <c r="S129" s="478">
        <v>0</v>
      </c>
    </row>
    <row r="130" spans="2:20" ht="14.4" customHeight="1">
      <c r="B130" s="245" t="s">
        <v>79</v>
      </c>
      <c r="C130" s="245"/>
      <c r="D130" s="433">
        <f t="shared" ref="D130:N130" si="76">SUM(D125:D129)</f>
        <v>-44</v>
      </c>
      <c r="E130" s="433">
        <f t="shared" si="76"/>
        <v>-938</v>
      </c>
      <c r="F130" s="433">
        <f t="shared" si="76"/>
        <v>439</v>
      </c>
      <c r="G130" s="433">
        <f t="shared" si="76"/>
        <v>-865</v>
      </c>
      <c r="H130" s="433">
        <f t="shared" si="76"/>
        <v>176</v>
      </c>
      <c r="I130" s="433">
        <f t="shared" si="76"/>
        <v>-621</v>
      </c>
      <c r="J130" s="433">
        <f t="shared" si="76"/>
        <v>-197.55744000000004</v>
      </c>
      <c r="K130" s="433">
        <f t="shared" si="76"/>
        <v>-224.22769440000005</v>
      </c>
      <c r="L130" s="433">
        <f t="shared" si="76"/>
        <v>-253.37729467200003</v>
      </c>
      <c r="M130" s="433">
        <f t="shared" si="76"/>
        <v>-285.04945650600001</v>
      </c>
      <c r="N130" s="433">
        <f t="shared" si="76"/>
        <v>-299.30192933130002</v>
      </c>
      <c r="O130" s="433">
        <f t="shared" ref="O130:S130" si="77">SUM(O125:O129)</f>
        <v>-335.2181608510561</v>
      </c>
      <c r="P130" s="433">
        <f t="shared" si="77"/>
        <v>-400.47396283006174</v>
      </c>
      <c r="Q130" s="433">
        <f t="shared" si="77"/>
        <v>-476.56401576777353</v>
      </c>
      <c r="R130" s="433">
        <f t="shared" si="77"/>
        <v>-486.65595963109109</v>
      </c>
      <c r="S130" s="433">
        <f t="shared" si="77"/>
        <v>-439.56022160227587</v>
      </c>
    </row>
    <row r="131" spans="2:20" ht="14.4" customHeight="1">
      <c r="D131" s="46"/>
      <c r="E131" s="46"/>
      <c r="F131" s="46"/>
      <c r="G131" s="46"/>
      <c r="H131" s="46"/>
      <c r="I131" s="46"/>
      <c r="J131" s="46"/>
      <c r="K131" s="46"/>
      <c r="L131" s="46"/>
      <c r="M131" s="46"/>
      <c r="N131" s="46"/>
      <c r="O131" s="46"/>
      <c r="P131" s="46"/>
      <c r="Q131" s="46"/>
      <c r="R131" s="46"/>
      <c r="S131" s="46"/>
    </row>
    <row r="132" spans="2:20" ht="14.4" customHeight="1">
      <c r="B132" t="s">
        <v>707</v>
      </c>
      <c r="D132" s="47">
        <f>'Cash Flow'!D56</f>
        <v>0</v>
      </c>
      <c r="E132" s="47">
        <f>'Cash Flow'!E56</f>
        <v>0</v>
      </c>
      <c r="F132" s="47">
        <f>'Cash Flow'!F56</f>
        <v>0</v>
      </c>
      <c r="G132" s="47">
        <f>'Cash Flow'!G56</f>
        <v>0</v>
      </c>
      <c r="H132" s="47">
        <f>'Cash Flow'!H56</f>
        <v>0</v>
      </c>
      <c r="I132" s="47">
        <f>'Cash Flow'!I56</f>
        <v>0</v>
      </c>
      <c r="J132" s="46">
        <f t="shared" ref="J132:S132" si="78">J88-I88</f>
        <v>0</v>
      </c>
      <c r="K132" s="46">
        <f t="shared" si="78"/>
        <v>0</v>
      </c>
      <c r="L132" s="46">
        <f t="shared" si="78"/>
        <v>0</v>
      </c>
      <c r="M132" s="46">
        <f t="shared" si="78"/>
        <v>0</v>
      </c>
      <c r="N132" s="46">
        <f t="shared" si="78"/>
        <v>0</v>
      </c>
      <c r="O132" s="46">
        <f t="shared" si="78"/>
        <v>0</v>
      </c>
      <c r="P132" s="46">
        <f t="shared" si="78"/>
        <v>0</v>
      </c>
      <c r="Q132" s="46">
        <f t="shared" si="78"/>
        <v>0</v>
      </c>
      <c r="R132" s="46">
        <f t="shared" si="78"/>
        <v>0</v>
      </c>
      <c r="S132" s="46">
        <f t="shared" si="78"/>
        <v>0</v>
      </c>
      <c r="T132" s="230"/>
    </row>
    <row r="133" spans="2:20" ht="14.4" customHeight="1">
      <c r="B133" t="s">
        <v>708</v>
      </c>
      <c r="D133" s="47">
        <f>'Cash Flow'!D59</f>
        <v>-15</v>
      </c>
      <c r="E133" s="47">
        <f>'Cash Flow'!E59</f>
        <v>13</v>
      </c>
      <c r="F133" s="47">
        <f>'Cash Flow'!F59</f>
        <v>-3</v>
      </c>
      <c r="G133" s="47">
        <f>'Cash Flow'!G59</f>
        <v>128</v>
      </c>
      <c r="H133" s="47">
        <f>'Cash Flow'!H59</f>
        <v>-91</v>
      </c>
      <c r="I133" s="47">
        <f>'Cash Flow'!I59</f>
        <v>-5</v>
      </c>
      <c r="J133" s="46">
        <f t="shared" ref="J133:S133" si="79">J99-I99</f>
        <v>114.89360000000011</v>
      </c>
      <c r="K133" s="46">
        <f t="shared" si="79"/>
        <v>66.675636000000054</v>
      </c>
      <c r="L133" s="46">
        <f t="shared" si="79"/>
        <v>-85.486808490000158</v>
      </c>
      <c r="M133" s="46">
        <f t="shared" si="79"/>
        <v>59.385303438750043</v>
      </c>
      <c r="N133" s="46">
        <f t="shared" si="79"/>
        <v>64.136127713849987</v>
      </c>
      <c r="O133" s="46">
        <f t="shared" si="79"/>
        <v>-37.67213617183279</v>
      </c>
      <c r="P133" s="46">
        <f t="shared" si="79"/>
        <v>64.808844431204307</v>
      </c>
      <c r="Q133" s="46">
        <f t="shared" si="79"/>
        <v>75.088868030636604</v>
      </c>
      <c r="R133" s="46">
        <f t="shared" si="79"/>
        <v>84.099532194313042</v>
      </c>
      <c r="S133" s="46">
        <f t="shared" si="79"/>
        <v>94.191476057630553</v>
      </c>
    </row>
    <row r="134" spans="2:20" ht="14.4" customHeight="1">
      <c r="B134" t="s">
        <v>727</v>
      </c>
      <c r="D134" s="47">
        <f>'Cash Flow'!D63</f>
        <v>-38</v>
      </c>
      <c r="E134" s="47">
        <f>'Cash Flow'!E63</f>
        <v>-13</v>
      </c>
      <c r="F134" s="47">
        <f>'Cash Flow'!F63</f>
        <v>-64</v>
      </c>
      <c r="G134" s="47">
        <f>'Cash Flow'!G63</f>
        <v>-41</v>
      </c>
      <c r="H134" s="47">
        <f>'Cash Flow'!H63</f>
        <v>-52</v>
      </c>
      <c r="I134" s="47">
        <f>'Cash Flow'!I63</f>
        <v>-43</v>
      </c>
      <c r="J134" s="47">
        <f>Schedules!J230</f>
        <v>0</v>
      </c>
      <c r="K134" s="47">
        <f>Schedules!K230</f>
        <v>0</v>
      </c>
      <c r="L134" s="47">
        <f>Schedules!L230</f>
        <v>0</v>
      </c>
      <c r="M134" s="47">
        <f>Schedules!M230</f>
        <v>0</v>
      </c>
      <c r="N134" s="47">
        <f>Schedules!N230</f>
        <v>0</v>
      </c>
      <c r="O134" s="47">
        <f>Schedules!O230</f>
        <v>0</v>
      </c>
      <c r="P134" s="47">
        <f>Schedules!P230</f>
        <v>0</v>
      </c>
      <c r="Q134" s="47">
        <f>Schedules!Q230</f>
        <v>0</v>
      </c>
      <c r="R134" s="47">
        <f>Schedules!R230</f>
        <v>0</v>
      </c>
      <c r="S134" s="47">
        <f>Schedules!S230</f>
        <v>0</v>
      </c>
    </row>
    <row r="135" spans="2:20" ht="14.4" customHeight="1">
      <c r="B135" t="s">
        <v>709</v>
      </c>
      <c r="D135" s="47">
        <f>SUM('Cash Flow'!D60,'Cash Flow'!D65)</f>
        <v>-1046</v>
      </c>
      <c r="E135" s="47">
        <f>SUM('Cash Flow'!E60,'Cash Flow'!E65)</f>
        <v>-990</v>
      </c>
      <c r="F135" s="47">
        <f>SUM('Cash Flow'!F60,'Cash Flow'!F65)</f>
        <v>-1217</v>
      </c>
      <c r="G135" s="47">
        <f>SUM('Cash Flow'!G60,'Cash Flow'!G65)</f>
        <v>-607</v>
      </c>
      <c r="H135" s="47">
        <f>SUM('Cash Flow'!H60,'Cash Flow'!H65)</f>
        <v>-1229</v>
      </c>
      <c r="I135" s="47">
        <f>SUM('Cash Flow'!I60,'Cash Flow'!I65)</f>
        <v>-500</v>
      </c>
      <c r="J135" s="47">
        <f>Schedules!J145</f>
        <v>-1213.7653915545598</v>
      </c>
      <c r="K135" s="47">
        <f>Schedules!K145</f>
        <v>-1381.7429979065853</v>
      </c>
      <c r="L135" s="47">
        <f>Schedules!L145</f>
        <v>-1573.1388428543876</v>
      </c>
      <c r="M135" s="47">
        <f>Schedules!M145</f>
        <v>-1994.3656371281279</v>
      </c>
      <c r="N135" s="47">
        <f>Schedules!N145</f>
        <v>-2401.2618929097162</v>
      </c>
      <c r="O135" s="47">
        <f>Schedules!O145</f>
        <v>-2708.3373156375869</v>
      </c>
      <c r="P135" s="47">
        <f>Schedules!P145</f>
        <v>-3038.4678631823836</v>
      </c>
      <c r="Q135" s="47">
        <f>Schedules!Q145</f>
        <v>-3402.668479692572</v>
      </c>
      <c r="R135" s="47">
        <f>Schedules!R145</f>
        <v>-3812.4719687010129</v>
      </c>
      <c r="S135" s="47">
        <f>Schedules!S145</f>
        <v>-4275.9282170279948</v>
      </c>
    </row>
    <row r="136" spans="2:20" ht="14.4" customHeight="1">
      <c r="B136" t="s">
        <v>281</v>
      </c>
      <c r="D136" s="47">
        <f>'Cash Flow'!D61</f>
        <v>0</v>
      </c>
      <c r="E136" s="47">
        <f>'Cash Flow'!E61</f>
        <v>-21</v>
      </c>
      <c r="F136" s="47">
        <f>'Cash Flow'!F61</f>
        <v>0</v>
      </c>
      <c r="G136" s="47">
        <f>'Cash Flow'!G61</f>
        <v>0</v>
      </c>
      <c r="H136" s="47">
        <f>'Cash Flow'!H61</f>
        <v>-141</v>
      </c>
      <c r="I136" s="47">
        <f>'Cash Flow'!I61</f>
        <v>-70</v>
      </c>
      <c r="J136" s="46">
        <v>0</v>
      </c>
      <c r="K136" s="46">
        <v>0</v>
      </c>
      <c r="L136" s="46">
        <v>0</v>
      </c>
      <c r="M136" s="46">
        <v>0</v>
      </c>
      <c r="N136" s="46">
        <v>0</v>
      </c>
      <c r="O136" s="46">
        <v>0</v>
      </c>
      <c r="P136" s="46">
        <v>0</v>
      </c>
      <c r="Q136" s="46">
        <v>0</v>
      </c>
      <c r="R136" s="46">
        <v>0</v>
      </c>
      <c r="S136" s="46">
        <v>0</v>
      </c>
    </row>
    <row r="137" spans="2:20" ht="14.4" customHeight="1">
      <c r="B137" s="84" t="s">
        <v>284</v>
      </c>
      <c r="D137" s="47">
        <f>'Cash Flow'!D64</f>
        <v>-16</v>
      </c>
      <c r="E137" s="47">
        <f>'Cash Flow'!E64</f>
        <v>-61</v>
      </c>
      <c r="F137" s="47">
        <f>'Cash Flow'!F64</f>
        <v>-11</v>
      </c>
      <c r="G137" s="47">
        <f>'Cash Flow'!G64</f>
        <v>-11</v>
      </c>
      <c r="H137" s="47">
        <f>'Cash Flow'!H64</f>
        <v>-11</v>
      </c>
      <c r="I137" s="47">
        <f>'Cash Flow'!I64</f>
        <v>-14</v>
      </c>
      <c r="J137" s="46">
        <v>0</v>
      </c>
      <c r="K137" s="46">
        <v>0</v>
      </c>
      <c r="L137" s="46">
        <v>0</v>
      </c>
      <c r="M137" s="46">
        <v>0</v>
      </c>
      <c r="N137" s="46">
        <v>0</v>
      </c>
      <c r="O137" s="46">
        <v>0</v>
      </c>
      <c r="P137" s="46">
        <v>0</v>
      </c>
      <c r="Q137" s="46">
        <v>0</v>
      </c>
      <c r="R137" s="46">
        <v>0</v>
      </c>
      <c r="S137" s="46">
        <v>0</v>
      </c>
    </row>
    <row r="138" spans="2:20" ht="14.4" customHeight="1">
      <c r="B138" t="s">
        <v>710</v>
      </c>
      <c r="D138" s="47">
        <f>'Cash Flow'!D62</f>
        <v>-34</v>
      </c>
      <c r="E138" s="47">
        <f>'Cash Flow'!E62</f>
        <v>-44</v>
      </c>
      <c r="F138" s="47">
        <f>'Cash Flow'!F62</f>
        <v>-28</v>
      </c>
      <c r="G138" s="47">
        <f>'Cash Flow'!G62</f>
        <v>-42</v>
      </c>
      <c r="H138" s="47">
        <f>'Cash Flow'!H62</f>
        <v>-54</v>
      </c>
      <c r="I138" s="47">
        <f>'Cash Flow'!I62</f>
        <v>-51</v>
      </c>
      <c r="J138" s="47">
        <f>Schedules!J244*-1</f>
        <v>-54.555850000000007</v>
      </c>
      <c r="K138" s="47">
        <f>Schedules!K244*-1</f>
        <v>-65.90392725000001</v>
      </c>
      <c r="L138" s="47">
        <f>Schedules!L244*-1</f>
        <v>-64.72822896937501</v>
      </c>
      <c r="M138" s="47">
        <f>Schedules!M244*-1</f>
        <v>-63.096884903671878</v>
      </c>
      <c r="N138" s="47">
        <f>Schedules!N244*-1</f>
        <v>-70.816974350709387</v>
      </c>
      <c r="O138" s="47">
        <f>Schedules!O244*-1</f>
        <v>-72.470973822085455</v>
      </c>
      <c r="P138" s="47">
        <f>Schedules!P244*-1</f>
        <v>-74.167018088296174</v>
      </c>
      <c r="Q138" s="47">
        <f>Schedules!Q244*-1</f>
        <v>-82.910625117161231</v>
      </c>
      <c r="R138" s="47">
        <f>Schedules!R244*-1</f>
        <v>-92.859900131220584</v>
      </c>
      <c r="S138" s="47">
        <f>Schedules!S244*-1</f>
        <v>-104.00308814696706</v>
      </c>
    </row>
    <row r="139" spans="2:20" ht="14.4" customHeight="1">
      <c r="B139" t="s">
        <v>711</v>
      </c>
      <c r="D139" s="47">
        <f>'Cash Flow'!D57</f>
        <v>0</v>
      </c>
      <c r="E139" s="47">
        <f>'Cash Flow'!E57</f>
        <v>6</v>
      </c>
      <c r="F139" s="47">
        <f>'Cash Flow'!F57</f>
        <v>41</v>
      </c>
      <c r="G139" s="47">
        <f>'Cash Flow'!G57</f>
        <v>9</v>
      </c>
      <c r="H139" s="47">
        <f>'Cash Flow'!H57</f>
        <v>34</v>
      </c>
      <c r="I139" s="47">
        <f>'Cash Flow'!I57</f>
        <v>46</v>
      </c>
      <c r="J139" s="46">
        <v>0</v>
      </c>
      <c r="K139" s="46">
        <v>0</v>
      </c>
      <c r="L139" s="46">
        <v>0</v>
      </c>
      <c r="M139" s="46">
        <v>0</v>
      </c>
      <c r="N139" s="46">
        <v>0</v>
      </c>
      <c r="O139" s="46">
        <v>0</v>
      </c>
      <c r="P139" s="46">
        <v>0</v>
      </c>
      <c r="Q139" s="46">
        <v>0</v>
      </c>
      <c r="R139" s="46">
        <v>0</v>
      </c>
      <c r="S139" s="46">
        <v>0</v>
      </c>
    </row>
    <row r="140" spans="2:20" ht="14.4" customHeight="1">
      <c r="B140" t="s">
        <v>380</v>
      </c>
      <c r="D140" s="47">
        <f>'Cash Flow'!D58</f>
        <v>3</v>
      </c>
      <c r="E140" s="47">
        <f>'Cash Flow'!E58</f>
        <v>-9</v>
      </c>
      <c r="F140" s="47">
        <f>'Cash Flow'!F58</f>
        <v>-8</v>
      </c>
      <c r="G140" s="47">
        <f>'Cash Flow'!G58</f>
        <v>4</v>
      </c>
      <c r="H140" s="47">
        <f>'Cash Flow'!H58</f>
        <v>2</v>
      </c>
      <c r="I140" s="47">
        <f>'Cash Flow'!I58</f>
        <v>-12</v>
      </c>
      <c r="J140" s="46">
        <v>0</v>
      </c>
      <c r="K140" s="46">
        <v>0</v>
      </c>
      <c r="L140" s="46">
        <v>0</v>
      </c>
      <c r="M140" s="46">
        <v>0</v>
      </c>
      <c r="N140" s="46">
        <v>0</v>
      </c>
      <c r="O140" s="46">
        <v>0</v>
      </c>
      <c r="P140" s="46">
        <v>0</v>
      </c>
      <c r="Q140" s="46">
        <v>0</v>
      </c>
      <c r="R140" s="46">
        <v>0</v>
      </c>
      <c r="S140" s="46">
        <v>0</v>
      </c>
    </row>
    <row r="141" spans="2:20" ht="14.4" customHeight="1">
      <c r="B141" s="245" t="s">
        <v>726</v>
      </c>
      <c r="C141" s="245"/>
      <c r="D141" s="433">
        <f t="shared" ref="D141:I141" si="80">SUM(D133:D140)</f>
        <v>-1146</v>
      </c>
      <c r="E141" s="433">
        <f t="shared" si="80"/>
        <v>-1119</v>
      </c>
      <c r="F141" s="433">
        <f t="shared" si="80"/>
        <v>-1290</v>
      </c>
      <c r="G141" s="433">
        <f t="shared" si="80"/>
        <v>-560</v>
      </c>
      <c r="H141" s="433">
        <f t="shared" si="80"/>
        <v>-1542</v>
      </c>
      <c r="I141" s="433">
        <f t="shared" si="80"/>
        <v>-649</v>
      </c>
      <c r="J141" s="433">
        <f>SUM(J132:J140)</f>
        <v>-1153.4276415545596</v>
      </c>
      <c r="K141" s="433">
        <f t="shared" ref="K141:N141" si="81">SUM(K132:K140)</f>
        <v>-1380.971289156585</v>
      </c>
      <c r="L141" s="433">
        <f t="shared" si="81"/>
        <v>-1723.3538803137628</v>
      </c>
      <c r="M141" s="433">
        <f t="shared" si="81"/>
        <v>-1998.0772185930498</v>
      </c>
      <c r="N141" s="433">
        <f t="shared" si="81"/>
        <v>-2407.9427395465755</v>
      </c>
      <c r="O141" s="433">
        <f t="shared" ref="O141:S141" si="82">SUM(O132:O140)</f>
        <v>-2818.4804256315051</v>
      </c>
      <c r="P141" s="433">
        <f t="shared" si="82"/>
        <v>-3047.8260368394754</v>
      </c>
      <c r="Q141" s="433">
        <f t="shared" si="82"/>
        <v>-3410.4902367790964</v>
      </c>
      <c r="R141" s="433">
        <f t="shared" si="82"/>
        <v>-3821.2323366379205</v>
      </c>
      <c r="S141" s="433">
        <f t="shared" si="82"/>
        <v>-4285.7398291173313</v>
      </c>
    </row>
    <row r="142" spans="2:20" ht="14.4" customHeight="1">
      <c r="D142" s="46"/>
      <c r="E142" s="46"/>
      <c r="F142" s="46"/>
      <c r="G142" s="46"/>
      <c r="H142" s="46"/>
      <c r="I142" s="46"/>
      <c r="J142" s="46"/>
      <c r="K142" s="46"/>
      <c r="L142" s="46"/>
      <c r="M142" s="46"/>
      <c r="N142" s="46"/>
      <c r="O142" s="46"/>
      <c r="P142" s="46"/>
      <c r="Q142" s="46"/>
      <c r="R142" s="46"/>
      <c r="S142" s="46"/>
    </row>
    <row r="143" spans="2:20" ht="14.4" customHeight="1">
      <c r="B143" t="s">
        <v>712</v>
      </c>
      <c r="D143" s="47">
        <f>'Cash Flow'!D67</f>
        <v>17</v>
      </c>
      <c r="E143" s="47">
        <f>'Cash Flow'!E67</f>
        <v>5</v>
      </c>
      <c r="F143" s="47">
        <f>'Cash Flow'!F67</f>
        <v>2</v>
      </c>
      <c r="G143" s="47">
        <f>'Cash Flow'!G67</f>
        <v>-63</v>
      </c>
      <c r="H143" s="47">
        <f>'Cash Flow'!H67</f>
        <v>-49</v>
      </c>
      <c r="I143" s="47">
        <f>'Cash Flow'!I67</f>
        <v>-79</v>
      </c>
      <c r="J143" s="46">
        <v>0</v>
      </c>
      <c r="K143" s="46">
        <v>0</v>
      </c>
      <c r="L143" s="46">
        <v>0</v>
      </c>
      <c r="M143" s="46">
        <v>0</v>
      </c>
      <c r="N143" s="46">
        <v>0</v>
      </c>
      <c r="O143" s="46">
        <v>0</v>
      </c>
      <c r="P143" s="46">
        <v>0</v>
      </c>
      <c r="Q143" s="46">
        <v>0</v>
      </c>
      <c r="R143" s="46">
        <v>0</v>
      </c>
      <c r="S143" s="46">
        <v>0</v>
      </c>
    </row>
    <row r="144" spans="2:20" ht="14.4" customHeight="1">
      <c r="D144" s="46"/>
      <c r="E144" s="46"/>
      <c r="F144" s="46"/>
      <c r="G144" s="46"/>
      <c r="H144" s="46"/>
      <c r="I144" s="46"/>
      <c r="J144" s="46"/>
      <c r="K144" s="46"/>
      <c r="L144" s="46"/>
      <c r="M144" s="46"/>
      <c r="N144" s="46"/>
      <c r="O144" s="46"/>
      <c r="P144" s="46"/>
      <c r="Q144" s="46"/>
      <c r="R144" s="46"/>
      <c r="S144" s="46"/>
    </row>
    <row r="145" spans="2:20" ht="14.4" customHeight="1">
      <c r="B145" s="111" t="s">
        <v>714</v>
      </c>
      <c r="C145" s="133"/>
      <c r="D145" s="133">
        <f t="shared" ref="D145:N145" si="83">D143+D141+D130+D123</f>
        <v>45.000000000000909</v>
      </c>
      <c r="E145" s="133">
        <f t="shared" si="83"/>
        <v>16</v>
      </c>
      <c r="F145" s="133">
        <f t="shared" si="83"/>
        <v>167</v>
      </c>
      <c r="G145" s="133">
        <f t="shared" si="83"/>
        <v>-69</v>
      </c>
      <c r="H145" s="133">
        <f t="shared" si="83"/>
        <v>21</v>
      </c>
      <c r="I145" s="133">
        <f t="shared" si="83"/>
        <v>93</v>
      </c>
      <c r="J145" s="133">
        <f t="shared" si="83"/>
        <v>64.086760053022772</v>
      </c>
      <c r="K145" s="133">
        <f t="shared" si="83"/>
        <v>37.544278694180775</v>
      </c>
      <c r="L145" s="133">
        <f t="shared" si="83"/>
        <v>144.42191484776754</v>
      </c>
      <c r="M145" s="133">
        <f t="shared" si="83"/>
        <v>163.35504476150163</v>
      </c>
      <c r="N145" s="133">
        <f t="shared" si="83"/>
        <v>31.192677000974982</v>
      </c>
      <c r="O145" s="133">
        <f t="shared" ref="O145:S145" si="84">O143+O141+O130+O123</f>
        <v>39.322084856259607</v>
      </c>
      <c r="P145" s="133">
        <f t="shared" si="84"/>
        <v>70.019384155922126</v>
      </c>
      <c r="Q145" s="133">
        <f t="shared" si="84"/>
        <v>94.967965511803413</v>
      </c>
      <c r="R145" s="133">
        <f t="shared" si="84"/>
        <v>58.612887489849527</v>
      </c>
      <c r="S145" s="133">
        <f t="shared" si="84"/>
        <v>63.734596895269533</v>
      </c>
      <c r="T145" s="133"/>
    </row>
    <row r="146" spans="2:20" ht="14.4" customHeight="1">
      <c r="D146" s="46"/>
      <c r="E146" s="46"/>
      <c r="F146" s="46"/>
      <c r="G146" s="46"/>
      <c r="H146" s="46"/>
      <c r="I146" s="46"/>
      <c r="J146" s="46"/>
      <c r="K146" s="46"/>
      <c r="L146" s="46"/>
      <c r="M146" s="46"/>
      <c r="N146" s="46"/>
      <c r="O146" s="46"/>
      <c r="P146" s="46"/>
      <c r="Q146" s="46"/>
      <c r="R146" s="46"/>
      <c r="S146" s="46"/>
    </row>
    <row r="147" spans="2:20" ht="14.4" customHeight="1">
      <c r="B147" t="s">
        <v>80</v>
      </c>
      <c r="D147" s="47">
        <f>'Cash Flow'!D71</f>
        <v>48</v>
      </c>
      <c r="E147" s="46">
        <f>D148</f>
        <v>93.000000000000909</v>
      </c>
      <c r="F147" s="46">
        <f t="shared" ref="F147:H147" si="85">E148</f>
        <v>109.00000000000091</v>
      </c>
      <c r="G147" s="46">
        <f t="shared" si="85"/>
        <v>276.00000000000091</v>
      </c>
      <c r="H147" s="46">
        <f t="shared" si="85"/>
        <v>207.00000000000091</v>
      </c>
      <c r="I147" s="46">
        <f>H148</f>
        <v>228.00000000000091</v>
      </c>
      <c r="J147" s="46">
        <f t="shared" ref="J147:M147" si="86">I148</f>
        <v>321.00000000000091</v>
      </c>
      <c r="K147" s="46">
        <f>J148</f>
        <v>385.08676005302368</v>
      </c>
      <c r="L147" s="46">
        <f t="shared" si="86"/>
        <v>422.63103874720446</v>
      </c>
      <c r="M147" s="46">
        <f t="shared" si="86"/>
        <v>567.052953594972</v>
      </c>
      <c r="N147" s="46">
        <f>M148</f>
        <v>730.40799835647363</v>
      </c>
      <c r="O147" s="46">
        <f t="shared" ref="O147:S147" si="87">N148</f>
        <v>761.60067535744861</v>
      </c>
      <c r="P147" s="46">
        <f t="shared" si="87"/>
        <v>800.92276021370822</v>
      </c>
      <c r="Q147" s="46">
        <f t="shared" si="87"/>
        <v>870.94214436963034</v>
      </c>
      <c r="R147" s="46">
        <f t="shared" si="87"/>
        <v>965.91010988143375</v>
      </c>
      <c r="S147" s="46">
        <f t="shared" si="87"/>
        <v>1024.5229973712833</v>
      </c>
    </row>
    <row r="148" spans="2:20" ht="14.4" customHeight="1" thickBot="1">
      <c r="B148" s="81" t="s">
        <v>81</v>
      </c>
      <c r="C148" s="81"/>
      <c r="D148" s="436">
        <f>D145+D147</f>
        <v>93.000000000000909</v>
      </c>
      <c r="E148" s="436">
        <f t="shared" ref="E148:H148" si="88">E145+E147</f>
        <v>109.00000000000091</v>
      </c>
      <c r="F148" s="436">
        <f t="shared" si="88"/>
        <v>276.00000000000091</v>
      </c>
      <c r="G148" s="436">
        <f t="shared" si="88"/>
        <v>207.00000000000091</v>
      </c>
      <c r="H148" s="436">
        <f t="shared" si="88"/>
        <v>228.00000000000091</v>
      </c>
      <c r="I148" s="436">
        <f>I145+I147</f>
        <v>321.00000000000091</v>
      </c>
      <c r="J148" s="436">
        <f>J145+J147</f>
        <v>385.08676005302368</v>
      </c>
      <c r="K148" s="436">
        <f t="shared" ref="K148:L148" si="89">K145+K147</f>
        <v>422.63103874720446</v>
      </c>
      <c r="L148" s="436">
        <f t="shared" si="89"/>
        <v>567.052953594972</v>
      </c>
      <c r="M148" s="436">
        <f>M145+M147</f>
        <v>730.40799835647363</v>
      </c>
      <c r="N148" s="436">
        <f>N145+N147</f>
        <v>761.60067535744861</v>
      </c>
      <c r="O148" s="436">
        <f t="shared" ref="O148:S148" si="90">O145+O147</f>
        <v>800.92276021370822</v>
      </c>
      <c r="P148" s="436">
        <f t="shared" si="90"/>
        <v>870.94214436963034</v>
      </c>
      <c r="Q148" s="436">
        <f t="shared" si="90"/>
        <v>965.91010988143375</v>
      </c>
      <c r="R148" s="436">
        <f t="shared" si="90"/>
        <v>1024.5229973712833</v>
      </c>
      <c r="S148" s="436">
        <f t="shared" si="90"/>
        <v>1088.2575942665528</v>
      </c>
    </row>
    <row r="151" spans="2:20" ht="14.4" customHeight="1">
      <c r="E151" s="194"/>
      <c r="F151" s="194"/>
      <c r="G151" s="194"/>
      <c r="H151" s="194"/>
      <c r="I151" s="194"/>
      <c r="J151" s="194"/>
    </row>
    <row r="154" spans="2:20" ht="14.4" customHeight="1">
      <c r="D154" s="194"/>
      <c r="E154" s="194"/>
      <c r="F154" s="194"/>
      <c r="G154" s="194"/>
      <c r="H154" s="194"/>
      <c r="I154" s="194"/>
    </row>
    <row r="155" spans="2:20" ht="14.4" customHeight="1">
      <c r="B155" s="284"/>
      <c r="D155" s="194"/>
      <c r="E155" s="194"/>
      <c r="F155" s="194"/>
      <c r="G155" s="194"/>
      <c r="H155" s="194"/>
      <c r="I155" s="194"/>
    </row>
    <row r="156" spans="2:20" ht="14.4" customHeight="1">
      <c r="B156" s="284"/>
      <c r="D156" t="b">
        <f>D108=D74</f>
        <v>1</v>
      </c>
      <c r="E156" t="b">
        <f t="shared" ref="E156:S156" si="91">E108=E74</f>
        <v>1</v>
      </c>
      <c r="F156" t="b">
        <f t="shared" si="91"/>
        <v>1</v>
      </c>
      <c r="G156" t="b">
        <f t="shared" si="91"/>
        <v>1</v>
      </c>
      <c r="H156" t="b">
        <f t="shared" si="91"/>
        <v>1</v>
      </c>
      <c r="I156" t="b">
        <f t="shared" si="91"/>
        <v>1</v>
      </c>
      <c r="J156" t="b">
        <f t="shared" si="91"/>
        <v>1</v>
      </c>
      <c r="K156" t="b">
        <f t="shared" si="91"/>
        <v>1</v>
      </c>
      <c r="L156" t="b">
        <f t="shared" si="91"/>
        <v>1</v>
      </c>
      <c r="M156" t="b">
        <f t="shared" si="91"/>
        <v>1</v>
      </c>
      <c r="N156" t="b">
        <f t="shared" si="91"/>
        <v>1</v>
      </c>
      <c r="O156" t="b">
        <f t="shared" si="91"/>
        <v>1</v>
      </c>
      <c r="P156" t="b">
        <f t="shared" si="91"/>
        <v>1</v>
      </c>
      <c r="Q156" t="b">
        <f t="shared" si="91"/>
        <v>1</v>
      </c>
      <c r="R156" t="b">
        <f t="shared" si="91"/>
        <v>1</v>
      </c>
      <c r="S156" t="b">
        <f t="shared" si="91"/>
        <v>1</v>
      </c>
    </row>
    <row r="157" spans="2:20" ht="14.4" customHeight="1">
      <c r="E157" s="84"/>
    </row>
    <row r="158" spans="2:20" ht="14.4" customHeight="1">
      <c r="D158" s="46"/>
    </row>
  </sheetData>
  <mergeCells count="4">
    <mergeCell ref="U7:V7"/>
    <mergeCell ref="J8:N8"/>
    <mergeCell ref="D8:I8"/>
    <mergeCell ref="O8:S8"/>
  </mergeCells>
  <pageMargins left="0.7" right="0.7" top="0.75" bottom="0.75" header="0.3" footer="0.3"/>
  <ignoredErrors>
    <ignoredError sqref="D83 E82:I83 K83:L83 J83 M83:S83" formula="1"/>
    <ignoredError sqref="D126:I129" formulaRange="1"/>
  </ignoredErrors>
  <drawing r:id="rId1"/>
  <legacyDrawing r:id="rId2"/>
  <mc:AlternateContent xmlns:mc="http://schemas.openxmlformats.org/markup-compatibility/2006">
    <mc:Choice Requires="x14">
      <controls>
        <mc:AlternateContent xmlns:mc="http://schemas.openxmlformats.org/markup-compatibility/2006">
          <mc:Choice Requires="x14">
            <control shapeId="18434" r:id="rId3" name="Drop Down 2">
              <controlPr defaultSize="0" autoLine="0" autoPict="0">
                <anchor moveWithCells="1">
                  <from>
                    <xdr:col>11</xdr:col>
                    <xdr:colOff>68580</xdr:colOff>
                    <xdr:row>3</xdr:row>
                    <xdr:rowOff>7620</xdr:rowOff>
                  </from>
                  <to>
                    <xdr:col>12</xdr:col>
                    <xdr:colOff>541020</xdr:colOff>
                    <xdr:row>4</xdr:row>
                    <xdr:rowOff>60960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AE341-64DA-4B95-97A9-0B82DBFC6DA0}">
  <sheetPr codeName="Sheet7">
    <pageSetUpPr autoPageBreaks="0"/>
  </sheetPr>
  <dimension ref="A2:S95"/>
  <sheetViews>
    <sheetView showGridLines="0" zoomScale="90" zoomScaleNormal="90" workbookViewId="0">
      <pane xSplit="2" ySplit="9" topLeftCell="C19" activePane="bottomRight" state="frozen"/>
      <selection pane="topRight" activeCell="C1" sqref="C1"/>
      <selection pane="bottomLeft" activeCell="A10" sqref="A10"/>
      <selection pane="bottomRight" activeCell="C10" sqref="C10"/>
    </sheetView>
  </sheetViews>
  <sheetFormatPr defaultRowHeight="14.4" customHeight="1"/>
  <cols>
    <col min="1" max="1" width="1.88671875" customWidth="1"/>
    <col min="2" max="2" width="41.33203125" customWidth="1"/>
    <col min="3" max="3" width="4.77734375" customWidth="1"/>
    <col min="4" max="18" width="12.77734375" customWidth="1"/>
  </cols>
  <sheetData>
    <row r="2" spans="1:19" ht="19.95" customHeight="1">
      <c r="B2" s="10" t="str">
        <f>'Input Sheet'!C5</f>
        <v xml:space="preserve">Marico Ltd </v>
      </c>
      <c r="C2" s="7"/>
      <c r="D2" s="7"/>
      <c r="E2" s="7"/>
      <c r="F2" s="7"/>
    </row>
    <row r="3" spans="1:19" ht="14.4" customHeight="1">
      <c r="B3" s="9" t="s">
        <v>88</v>
      </c>
    </row>
    <row r="4" spans="1:19" ht="14.4" customHeight="1">
      <c r="H4" t="s">
        <v>25</v>
      </c>
    </row>
    <row r="8" spans="1:19" ht="14.4" customHeight="1">
      <c r="D8" s="677"/>
      <c r="E8" s="677"/>
      <c r="F8" s="677"/>
      <c r="G8" s="677"/>
      <c r="H8" s="677"/>
      <c r="I8" s="678" t="s">
        <v>20</v>
      </c>
      <c r="J8" s="678"/>
      <c r="K8" s="678"/>
      <c r="L8" s="678"/>
      <c r="M8" s="678"/>
      <c r="N8" s="674" t="s">
        <v>1142</v>
      </c>
      <c r="O8" s="674"/>
      <c r="P8" s="674"/>
      <c r="Q8" s="674"/>
      <c r="R8" s="674"/>
    </row>
    <row r="9" spans="1:19" ht="14.4" customHeight="1">
      <c r="B9" s="28" t="s">
        <v>18</v>
      </c>
      <c r="C9" s="8"/>
      <c r="D9" s="562">
        <f>'3 Statement Model'!E9</f>
        <v>2021</v>
      </c>
      <c r="E9" s="562">
        <f>'3 Statement Model'!F9</f>
        <v>2022</v>
      </c>
      <c r="F9" s="562">
        <f>'3 Statement Model'!G9</f>
        <v>2023</v>
      </c>
      <c r="G9" s="562">
        <f>'3 Statement Model'!H9</f>
        <v>2024</v>
      </c>
      <c r="H9" s="562">
        <f>'3 Statement Model'!I9</f>
        <v>2025</v>
      </c>
      <c r="I9" s="562">
        <f t="shared" ref="I9:M9" si="0">H9+1</f>
        <v>2026</v>
      </c>
      <c r="J9" s="474">
        <f t="shared" si="0"/>
        <v>2027</v>
      </c>
      <c r="K9" s="474">
        <f t="shared" si="0"/>
        <v>2028</v>
      </c>
      <c r="L9" s="474">
        <f t="shared" si="0"/>
        <v>2029</v>
      </c>
      <c r="M9" s="474">
        <f t="shared" si="0"/>
        <v>2030</v>
      </c>
      <c r="N9" s="474">
        <f t="shared" ref="N9" si="1">M9+1</f>
        <v>2031</v>
      </c>
      <c r="O9" s="474">
        <f t="shared" ref="O9" si="2">N9+1</f>
        <v>2032</v>
      </c>
      <c r="P9" s="474">
        <f t="shared" ref="P9" si="3">O9+1</f>
        <v>2033</v>
      </c>
      <c r="Q9" s="474">
        <f t="shared" ref="Q9" si="4">P9+1</f>
        <v>2034</v>
      </c>
      <c r="R9" s="474">
        <f t="shared" ref="R9" si="5">Q9+1</f>
        <v>2035</v>
      </c>
      <c r="S9" s="474"/>
    </row>
    <row r="10" spans="1:19" ht="14.4" customHeight="1">
      <c r="B10" s="55"/>
      <c r="D10" s="56"/>
      <c r="E10" s="56"/>
      <c r="F10" s="56"/>
      <c r="G10" s="56"/>
      <c r="H10" s="56"/>
      <c r="I10" s="56"/>
      <c r="J10" s="56"/>
      <c r="K10" s="56"/>
      <c r="L10" s="56"/>
      <c r="M10" s="56"/>
    </row>
    <row r="11" spans="1:19" s="7" customFormat="1" ht="18" customHeight="1">
      <c r="A11" s="7" t="s">
        <v>21</v>
      </c>
      <c r="B11" s="25" t="s">
        <v>89</v>
      </c>
      <c r="C11" s="67"/>
      <c r="D11" s="68"/>
      <c r="E11" s="68"/>
      <c r="F11" s="68"/>
      <c r="G11" s="68"/>
      <c r="H11" s="68"/>
      <c r="I11" s="68"/>
      <c r="J11" s="68"/>
      <c r="K11" s="68"/>
      <c r="L11" s="68"/>
      <c r="M11" s="68"/>
      <c r="N11" s="68"/>
      <c r="O11" s="68"/>
      <c r="P11" s="68"/>
      <c r="Q11" s="68"/>
      <c r="R11" s="68"/>
    </row>
    <row r="13" spans="1:19" ht="14.4" customHeight="1">
      <c r="B13" t="s">
        <v>90</v>
      </c>
      <c r="D13" s="622">
        <f>'3 Statement Model'!E72</f>
        <v>3336.0000000000009</v>
      </c>
      <c r="E13" s="622">
        <f>'3 Statement Model'!F72</f>
        <v>3505.0000000000009</v>
      </c>
      <c r="F13" s="622">
        <f>'3 Statement Model'!G72</f>
        <v>3820.0000000000009</v>
      </c>
      <c r="G13" s="622">
        <f>'3 Statement Model'!H72</f>
        <v>4003.0000000000009</v>
      </c>
      <c r="H13" s="622">
        <f>'3 Statement Model'!I72</f>
        <v>5083.0000000000009</v>
      </c>
      <c r="I13" s="622">
        <f>'3 Statement Model'!J72</f>
        <v>5681.9206066283678</v>
      </c>
      <c r="J13" s="622">
        <f>'3 Statement Model'!K72</f>
        <v>6372.9774546102199</v>
      </c>
      <c r="K13" s="622">
        <f>'3 Statement Model'!L72</f>
        <v>6899.7575021090815</v>
      </c>
      <c r="L13" s="622">
        <f>'3 Statement Model'!M72</f>
        <v>7619.5447051185965</v>
      </c>
      <c r="M13" s="622">
        <f>'3 Statement Model'!N72</f>
        <v>8223.1791673768275</v>
      </c>
      <c r="N13" s="622">
        <f>'3 Statement Model'!O72</f>
        <v>8858.2624259047789</v>
      </c>
      <c r="O13" s="622">
        <f>'3 Statement Model'!P72</f>
        <v>9590.1463431748416</v>
      </c>
      <c r="P13" s="622">
        <f>'3 Statement Model'!Q72</f>
        <v>10446.289135298579</v>
      </c>
      <c r="Q13" s="622">
        <f>'3 Statement Model'!R72</f>
        <v>11450.196125297658</v>
      </c>
      <c r="R13" s="622">
        <f>'3 Statement Model'!S72</f>
        <v>12671.75471099266</v>
      </c>
    </row>
    <row r="14" spans="1:19" ht="14.4" customHeight="1">
      <c r="B14" t="s">
        <v>91</v>
      </c>
      <c r="D14" s="622">
        <f>'3 Statement Model'!E106</f>
        <v>2013</v>
      </c>
      <c r="E14" s="622">
        <f>'3 Statement Model'!F106</f>
        <v>2153</v>
      </c>
      <c r="F14" s="622">
        <f>'3 Statement Model'!G106</f>
        <v>2429</v>
      </c>
      <c r="G14" s="622">
        <f>'3 Statement Model'!H106</f>
        <v>2444</v>
      </c>
      <c r="H14" s="622">
        <f>'3 Statement Model'!I106</f>
        <v>2461</v>
      </c>
      <c r="I14" s="622">
        <f>'3 Statement Model'!J106</f>
        <v>2762.8662027397258</v>
      </c>
      <c r="J14" s="622">
        <f>'3 Statement Model'!K106</f>
        <v>3126.5959866849321</v>
      </c>
      <c r="K14" s="622">
        <f>'3 Statement Model'!L106</f>
        <v>3290.4577895373977</v>
      </c>
      <c r="L14" s="622">
        <f>'3 Statement Model'!M106</f>
        <v>3554.6889140656822</v>
      </c>
      <c r="M14" s="622">
        <f>'3 Statement Model'!N106</f>
        <v>3806.9056192458193</v>
      </c>
      <c r="N14" s="622">
        <f>'3 Statement Model'!O106</f>
        <v>4067.9496943439735</v>
      </c>
      <c r="O14" s="622">
        <f>'3 Statement Model'!P106</f>
        <v>4406.0936340549042</v>
      </c>
      <c r="P14" s="622">
        <f>'3 Statement Model'!Q106</f>
        <v>4848.5448701414925</v>
      </c>
      <c r="Q14" s="622">
        <f>'3 Statement Model'!R106</f>
        <v>5344.0902545584722</v>
      </c>
      <c r="R14" s="622">
        <f>'3 Statement Model'!S106</f>
        <v>5899.1010851054898</v>
      </c>
    </row>
    <row r="15" spans="1:19" ht="14.4" customHeight="1">
      <c r="B15" s="20" t="s">
        <v>92</v>
      </c>
      <c r="C15" s="20"/>
      <c r="D15" s="627">
        <f t="shared" ref="D15:M15" si="6">D13/D14</f>
        <v>1.657228017883756</v>
      </c>
      <c r="E15" s="627">
        <f t="shared" si="6"/>
        <v>1.6279609846725505</v>
      </c>
      <c r="F15" s="627">
        <f t="shared" si="6"/>
        <v>1.5726636475916018</v>
      </c>
      <c r="G15" s="627">
        <f t="shared" si="6"/>
        <v>1.6378887070376436</v>
      </c>
      <c r="H15" s="627">
        <f t="shared" si="6"/>
        <v>2.0654205607476639</v>
      </c>
      <c r="I15" s="627">
        <f t="shared" si="6"/>
        <v>2.0565312214518516</v>
      </c>
      <c r="J15" s="627">
        <f t="shared" si="6"/>
        <v>2.0383117875640089</v>
      </c>
      <c r="K15" s="627">
        <f t="shared" si="6"/>
        <v>2.0968989555338169</v>
      </c>
      <c r="L15" s="627">
        <f t="shared" si="6"/>
        <v>2.1435194159940503</v>
      </c>
      <c r="M15" s="627">
        <f t="shared" si="6"/>
        <v>2.160069092809795</v>
      </c>
      <c r="N15" s="627">
        <f t="shared" ref="N15" si="7">N13/N14</f>
        <v>2.1775742306305301</v>
      </c>
      <c r="O15" s="627">
        <f t="shared" ref="O15" si="8">O13/O14</f>
        <v>2.1765643537513935</v>
      </c>
      <c r="P15" s="627">
        <f t="shared" ref="P15" si="9">P13/P14</f>
        <v>2.154520462341051</v>
      </c>
      <c r="Q15" s="627">
        <f t="shared" ref="Q15" si="10">Q13/Q14</f>
        <v>2.142590334347501</v>
      </c>
      <c r="R15" s="627">
        <f t="shared" ref="R15" si="11">R13/R14</f>
        <v>2.148082314267727</v>
      </c>
    </row>
    <row r="16" spans="1:19" ht="14.4" customHeight="1">
      <c r="D16" s="626"/>
      <c r="E16" s="626"/>
      <c r="F16" s="626"/>
      <c r="G16" s="626"/>
      <c r="H16" s="626"/>
      <c r="I16" s="626"/>
      <c r="J16" s="626"/>
      <c r="K16" s="626"/>
      <c r="L16" s="626"/>
      <c r="M16" s="626"/>
      <c r="N16" s="626"/>
      <c r="O16" s="626"/>
      <c r="P16" s="626"/>
      <c r="Q16" s="626"/>
      <c r="R16" s="626"/>
    </row>
    <row r="17" spans="1:18" ht="14.4" customHeight="1">
      <c r="B17" t="s">
        <v>90</v>
      </c>
      <c r="D17" s="622">
        <f>'3 Statement Model'!E72</f>
        <v>3336.0000000000009</v>
      </c>
      <c r="E17" s="622">
        <f>'3 Statement Model'!F72</f>
        <v>3505.0000000000009</v>
      </c>
      <c r="F17" s="622">
        <f>'3 Statement Model'!G72</f>
        <v>3820.0000000000009</v>
      </c>
      <c r="G17" s="622">
        <f>'3 Statement Model'!H72</f>
        <v>4003.0000000000009</v>
      </c>
      <c r="H17" s="622">
        <f>'3 Statement Model'!I72</f>
        <v>5083.0000000000009</v>
      </c>
      <c r="I17" s="622">
        <f>'3 Statement Model'!J72</f>
        <v>5681.9206066283678</v>
      </c>
      <c r="J17" s="622">
        <f>'3 Statement Model'!K72</f>
        <v>6372.9774546102199</v>
      </c>
      <c r="K17" s="622">
        <f>'3 Statement Model'!L72</f>
        <v>6899.7575021090815</v>
      </c>
      <c r="L17" s="622">
        <f>'3 Statement Model'!M72</f>
        <v>7619.5447051185965</v>
      </c>
      <c r="M17" s="622">
        <f>'3 Statement Model'!N72</f>
        <v>8223.1791673768275</v>
      </c>
      <c r="N17" s="622">
        <f>'3 Statement Model'!O72</f>
        <v>8858.2624259047789</v>
      </c>
      <c r="O17" s="622">
        <f>'3 Statement Model'!P72</f>
        <v>9590.1463431748416</v>
      </c>
      <c r="P17" s="622">
        <f>'3 Statement Model'!Q72</f>
        <v>10446.289135298579</v>
      </c>
      <c r="Q17" s="622">
        <f>'3 Statement Model'!R72</f>
        <v>11450.196125297658</v>
      </c>
      <c r="R17" s="622">
        <f>'3 Statement Model'!S72</f>
        <v>12671.75471099266</v>
      </c>
    </row>
    <row r="18" spans="1:18" ht="14.4" customHeight="1">
      <c r="B18" t="s">
        <v>6</v>
      </c>
      <c r="D18" s="622">
        <f>'3 Statement Model'!E69</f>
        <v>1126</v>
      </c>
      <c r="E18" s="622">
        <f>'3 Statement Model'!F69</f>
        <v>1412</v>
      </c>
      <c r="F18" s="622">
        <f>'3 Statement Model'!G69</f>
        <v>1225</v>
      </c>
      <c r="G18" s="622">
        <f>'3 Statement Model'!H69</f>
        <v>1336</v>
      </c>
      <c r="H18" s="622">
        <f>'3 Statement Model'!I69</f>
        <v>1235</v>
      </c>
      <c r="I18" s="622">
        <f>'3 Statement Model'!J69</f>
        <v>1589.9314520547948</v>
      </c>
      <c r="J18" s="622">
        <f>'3 Statement Model'!K69</f>
        <v>1804.5721980821922</v>
      </c>
      <c r="K18" s="622">
        <f>'3 Statement Model'!L69</f>
        <v>1995.7800607726028</v>
      </c>
      <c r="L18" s="622">
        <f>'3 Statement Model'!M69</f>
        <v>2245.2525683691783</v>
      </c>
      <c r="M18" s="622">
        <f>'3 Statement Model'!N69</f>
        <v>2514.6828765734799</v>
      </c>
      <c r="N18" s="622">
        <f>'3 Statement Model'!O69</f>
        <v>2693.9906990769805</v>
      </c>
      <c r="O18" s="622">
        <f>'3 Statement Model'!P69</f>
        <v>3017.2695829662184</v>
      </c>
      <c r="P18" s="622">
        <f>'3 Statement Model'!Q69</f>
        <v>3225.7354814257028</v>
      </c>
      <c r="Q18" s="622">
        <f>'3 Statement Model'!R69</f>
        <v>3440.7845135207504</v>
      </c>
      <c r="R18" s="622">
        <f>'3 Statement Model'!S69</f>
        <v>3853.6786551432401</v>
      </c>
    </row>
    <row r="19" spans="1:18" ht="14.4" customHeight="1">
      <c r="B19" t="s">
        <v>8</v>
      </c>
      <c r="D19" s="623">
        <v>0</v>
      </c>
      <c r="E19" s="623">
        <v>0</v>
      </c>
      <c r="F19" s="623">
        <v>0</v>
      </c>
      <c r="G19" s="623">
        <v>0</v>
      </c>
      <c r="H19" s="623">
        <v>0</v>
      </c>
      <c r="I19" s="623">
        <v>0</v>
      </c>
      <c r="J19" s="623">
        <v>0</v>
      </c>
      <c r="K19" s="623">
        <v>0</v>
      </c>
      <c r="L19" s="623">
        <v>0</v>
      </c>
      <c r="M19" s="623">
        <v>0</v>
      </c>
      <c r="N19" s="623">
        <v>0</v>
      </c>
      <c r="O19" s="623">
        <v>0</v>
      </c>
      <c r="P19" s="623">
        <v>0</v>
      </c>
      <c r="Q19" s="623">
        <v>0</v>
      </c>
      <c r="R19" s="623">
        <v>0</v>
      </c>
    </row>
    <row r="20" spans="1:18" ht="14.4" customHeight="1">
      <c r="B20" t="s">
        <v>91</v>
      </c>
      <c r="D20" s="622">
        <f>'3 Statement Model'!E106</f>
        <v>2013</v>
      </c>
      <c r="E20" s="622">
        <f>'3 Statement Model'!F106</f>
        <v>2153</v>
      </c>
      <c r="F20" s="622">
        <f>'3 Statement Model'!G106</f>
        <v>2429</v>
      </c>
      <c r="G20" s="622">
        <f>'3 Statement Model'!H106</f>
        <v>2444</v>
      </c>
      <c r="H20" s="622">
        <f>'3 Statement Model'!I106</f>
        <v>2461</v>
      </c>
      <c r="I20" s="622">
        <f>'3 Statement Model'!J106</f>
        <v>2762.8662027397258</v>
      </c>
      <c r="J20" s="622">
        <f>'3 Statement Model'!K106</f>
        <v>3126.5959866849321</v>
      </c>
      <c r="K20" s="622">
        <f>'3 Statement Model'!L106</f>
        <v>3290.4577895373977</v>
      </c>
      <c r="L20" s="622">
        <f>'3 Statement Model'!M106</f>
        <v>3554.6889140656822</v>
      </c>
      <c r="M20" s="622">
        <f>'3 Statement Model'!N106</f>
        <v>3806.9056192458193</v>
      </c>
      <c r="N20" s="622">
        <f>'3 Statement Model'!O106</f>
        <v>4067.9496943439735</v>
      </c>
      <c r="O20" s="622">
        <f>'3 Statement Model'!P106</f>
        <v>4406.0936340549042</v>
      </c>
      <c r="P20" s="622">
        <f>'3 Statement Model'!Q106</f>
        <v>4848.5448701414925</v>
      </c>
      <c r="Q20" s="622">
        <f>'3 Statement Model'!R106</f>
        <v>5344.0902545584722</v>
      </c>
      <c r="R20" s="622">
        <f>'3 Statement Model'!S106</f>
        <v>5899.1010851054898</v>
      </c>
    </row>
    <row r="21" spans="1:18" ht="14.4" customHeight="1">
      <c r="B21" s="20" t="s">
        <v>93</v>
      </c>
      <c r="C21" s="20"/>
      <c r="D21" s="627">
        <f t="shared" ref="D21:M21" si="12">(D17-D18-D19)/D20</f>
        <v>1.0978638847491311</v>
      </c>
      <c r="E21" s="627">
        <f t="shared" si="12"/>
        <v>0.9721319089642364</v>
      </c>
      <c r="F21" s="627">
        <f t="shared" si="12"/>
        <v>1.0683408810209967</v>
      </c>
      <c r="G21" s="627">
        <f t="shared" si="12"/>
        <v>1.0912438625204586</v>
      </c>
      <c r="H21" s="627">
        <f t="shared" si="12"/>
        <v>1.5635920357578224</v>
      </c>
      <c r="I21" s="627">
        <f t="shared" si="12"/>
        <v>1.4810667090993606</v>
      </c>
      <c r="J21" s="627">
        <f t="shared" si="12"/>
        <v>1.4611434531302578</v>
      </c>
      <c r="K21" s="627">
        <f t="shared" si="12"/>
        <v>1.4903632731377248</v>
      </c>
      <c r="L21" s="627">
        <f t="shared" si="12"/>
        <v>1.5118881754979119</v>
      </c>
      <c r="M21" s="627">
        <f t="shared" si="12"/>
        <v>1.4995108525790692</v>
      </c>
      <c r="N21" s="627">
        <f t="shared" ref="N21" si="13">(N17-N18-N19)/N20</f>
        <v>1.5153264396063022</v>
      </c>
      <c r="O21" s="627">
        <f t="shared" ref="O21" si="14">(O17-O18-O19)/O20</f>
        <v>1.4917696504238018</v>
      </c>
      <c r="P21" s="627">
        <f t="shared" ref="P21" si="15">(P17-P18-P19)/P20</f>
        <v>1.4892207553525563</v>
      </c>
      <c r="Q21" s="627">
        <f t="shared" ref="Q21" si="16">(Q17-Q18-Q19)/Q20</f>
        <v>1.4987418307437708</v>
      </c>
      <c r="R21" s="627">
        <f t="shared" ref="R21" si="17">(R17-R18-R19)/R20</f>
        <v>1.4948169100058288</v>
      </c>
    </row>
    <row r="22" spans="1:18" ht="14.4" customHeight="1">
      <c r="D22" s="626"/>
      <c r="E22" s="626"/>
      <c r="F22" s="626"/>
      <c r="G22" s="626"/>
      <c r="H22" s="626"/>
      <c r="I22" s="626"/>
      <c r="J22" s="626"/>
      <c r="K22" s="626"/>
      <c r="L22" s="626"/>
      <c r="M22" s="626"/>
      <c r="N22" s="626"/>
      <c r="O22" s="626"/>
      <c r="P22" s="626"/>
      <c r="Q22" s="626"/>
      <c r="R22" s="626"/>
    </row>
    <row r="23" spans="1:18" ht="14.4" customHeight="1">
      <c r="B23" t="s">
        <v>53</v>
      </c>
      <c r="D23" s="628">
        <f>'3 Statement Model'!E112</f>
        <v>56.827162027833005</v>
      </c>
      <c r="E23" s="628">
        <f>'3 Statement Model'!F112</f>
        <v>48.694806560134566</v>
      </c>
      <c r="F23" s="628">
        <f>'3 Statement Model'!G112</f>
        <v>49.288457599344532</v>
      </c>
      <c r="G23" s="628">
        <f>'3 Statement Model'!H112</f>
        <v>48.41836734693878</v>
      </c>
      <c r="H23" s="628">
        <f>'3 Statement Model'!I112</f>
        <v>43.32079217062136</v>
      </c>
      <c r="I23" s="628">
        <f>'3 Statement Model'!J112</f>
        <v>47</v>
      </c>
      <c r="J23" s="628">
        <f>'3 Statement Model'!K112</f>
        <v>47</v>
      </c>
      <c r="K23" s="628">
        <f>'3 Statement Model'!L112</f>
        <v>46</v>
      </c>
      <c r="L23" s="628">
        <f>'3 Statement Model'!M112</f>
        <v>46</v>
      </c>
      <c r="M23" s="628">
        <f>'3 Statement Model'!N112</f>
        <v>46</v>
      </c>
      <c r="N23" s="628">
        <f>'3 Statement Model'!O112</f>
        <v>44</v>
      </c>
      <c r="O23" s="628">
        <f>'3 Statement Model'!P112</f>
        <v>44</v>
      </c>
      <c r="P23" s="628">
        <f>'3 Statement Model'!Q112</f>
        <v>42</v>
      </c>
      <c r="Q23" s="628">
        <f>'3 Statement Model'!R112</f>
        <v>40</v>
      </c>
      <c r="R23" s="628">
        <f>'3 Statement Model'!S112</f>
        <v>40</v>
      </c>
    </row>
    <row r="24" spans="1:18" ht="14.4" customHeight="1">
      <c r="B24" t="s">
        <v>94</v>
      </c>
      <c r="D24" s="628">
        <f>'3 Statement Model'!E111</f>
        <v>21.021061133200796</v>
      </c>
      <c r="E24" s="628">
        <f>'3 Statement Model'!F111</f>
        <v>19.953742640874683</v>
      </c>
      <c r="F24" s="628">
        <f>'3 Statement Model'!G111</f>
        <v>31.158080704629253</v>
      </c>
      <c r="G24" s="628">
        <f>'3 Statement Model'!H111</f>
        <v>39.400186470527295</v>
      </c>
      <c r="H24" s="628">
        <f>'3 Statement Model'!I111</f>
        <v>39.42849229064722</v>
      </c>
      <c r="I24" s="628">
        <f>'3 Statement Model'!J111</f>
        <v>45</v>
      </c>
      <c r="J24" s="628">
        <f>'3 Statement Model'!K111</f>
        <v>45</v>
      </c>
      <c r="K24" s="628">
        <f>'3 Statement Model'!L111</f>
        <v>42</v>
      </c>
      <c r="L24" s="628">
        <f>'3 Statement Model'!M111</f>
        <v>42</v>
      </c>
      <c r="M24" s="628">
        <f>'3 Statement Model'!N111</f>
        <v>42</v>
      </c>
      <c r="N24" s="628">
        <f>'3 Statement Model'!O111</f>
        <v>40</v>
      </c>
      <c r="O24" s="628">
        <f>'3 Statement Model'!P111</f>
        <v>40</v>
      </c>
      <c r="P24" s="628">
        <f>'3 Statement Model'!Q111</f>
        <v>39</v>
      </c>
      <c r="Q24" s="628">
        <f>'3 Statement Model'!R111</f>
        <v>39.4</v>
      </c>
      <c r="R24" s="628">
        <f>'3 Statement Model'!S111</f>
        <v>39</v>
      </c>
    </row>
    <row r="25" spans="1:18" ht="14.4" customHeight="1">
      <c r="B25" t="s">
        <v>95</v>
      </c>
      <c r="D25" s="628">
        <f>'3 Statement Model'!E113</f>
        <v>90.266978922716632</v>
      </c>
      <c r="E25" s="628">
        <f>'3 Statement Model'!F113</f>
        <v>83.192604856512148</v>
      </c>
      <c r="F25" s="628">
        <f>'3 Statement Model'!G113</f>
        <v>95.359745841898715</v>
      </c>
      <c r="G25" s="628">
        <f>'3 Statement Model'!H113</f>
        <v>116.58013900589721</v>
      </c>
      <c r="H25" s="628">
        <f>'3 Statement Model'!I113</f>
        <v>99.71789161098738</v>
      </c>
      <c r="I25" s="628">
        <f>'3 Statement Model'!J113</f>
        <v>105</v>
      </c>
      <c r="J25" s="628">
        <f>'3 Statement Model'!K113</f>
        <v>105</v>
      </c>
      <c r="K25" s="628">
        <f>'3 Statement Model'!L113</f>
        <v>105</v>
      </c>
      <c r="L25" s="628">
        <f>'3 Statement Model'!M113</f>
        <v>102</v>
      </c>
      <c r="M25" s="628">
        <f>'3 Statement Model'!N113</f>
        <v>102</v>
      </c>
      <c r="N25" s="628">
        <f>'3 Statement Model'!O113</f>
        <v>102</v>
      </c>
      <c r="O25" s="628">
        <f>'3 Statement Model'!P113</f>
        <v>100</v>
      </c>
      <c r="P25" s="628">
        <f>'3 Statement Model'!Q113</f>
        <v>100</v>
      </c>
      <c r="Q25" s="628">
        <f>'3 Statement Model'!R113</f>
        <v>100</v>
      </c>
      <c r="R25" s="628">
        <f>'3 Statement Model'!S113</f>
        <v>100</v>
      </c>
    </row>
    <row r="26" spans="1:18" ht="14.4" customHeight="1">
      <c r="B26" s="20" t="s">
        <v>96</v>
      </c>
      <c r="C26" s="20"/>
      <c r="D26" s="629">
        <f t="shared" ref="D26:M26" si="18">D23+D24-D25</f>
        <v>-12.418755761682831</v>
      </c>
      <c r="E26" s="629">
        <f t="shared" si="18"/>
        <v>-14.544055655502902</v>
      </c>
      <c r="F26" s="629">
        <f t="shared" si="18"/>
        <v>-14.913207537924933</v>
      </c>
      <c r="G26" s="629">
        <f t="shared" si="18"/>
        <v>-28.761585188431141</v>
      </c>
      <c r="H26" s="629">
        <f t="shared" si="18"/>
        <v>-16.968607149718792</v>
      </c>
      <c r="I26" s="629">
        <f t="shared" si="18"/>
        <v>-13</v>
      </c>
      <c r="J26" s="629">
        <f t="shared" si="18"/>
        <v>-13</v>
      </c>
      <c r="K26" s="629">
        <f t="shared" si="18"/>
        <v>-17</v>
      </c>
      <c r="L26" s="629">
        <f t="shared" si="18"/>
        <v>-14</v>
      </c>
      <c r="M26" s="629">
        <f t="shared" si="18"/>
        <v>-14</v>
      </c>
      <c r="N26" s="629">
        <f t="shared" ref="N26" si="19">N23+N24-N25</f>
        <v>-18</v>
      </c>
      <c r="O26" s="629">
        <f t="shared" ref="O26" si="20">O23+O24-O25</f>
        <v>-16</v>
      </c>
      <c r="P26" s="629">
        <f t="shared" ref="P26" si="21">P23+P24-P25</f>
        <v>-19</v>
      </c>
      <c r="Q26" s="629">
        <f t="shared" ref="Q26" si="22">Q23+Q24-Q25</f>
        <v>-20.599999999999994</v>
      </c>
      <c r="R26" s="629">
        <f t="shared" ref="R26" si="23">R23+R24-R25</f>
        <v>-21</v>
      </c>
    </row>
    <row r="27" spans="1:18" ht="14.4" customHeight="1">
      <c r="D27" s="626"/>
      <c r="E27" s="626"/>
      <c r="F27" s="626"/>
      <c r="G27" s="626"/>
      <c r="H27" s="626"/>
      <c r="I27" s="626"/>
      <c r="J27" s="626"/>
      <c r="K27" s="626"/>
      <c r="L27" s="626"/>
      <c r="M27" s="626"/>
      <c r="N27" s="626"/>
      <c r="O27" s="626"/>
      <c r="P27" s="626"/>
      <c r="Q27" s="626"/>
      <c r="R27" s="626"/>
    </row>
    <row r="28" spans="1:18" ht="18" customHeight="1">
      <c r="A28" s="7" t="s">
        <v>21</v>
      </c>
      <c r="B28" s="25" t="s">
        <v>97</v>
      </c>
      <c r="C28" s="67"/>
      <c r="D28" s="630"/>
      <c r="E28" s="630"/>
      <c r="F28" s="630"/>
      <c r="G28" s="630"/>
      <c r="H28" s="630"/>
      <c r="I28" s="630"/>
      <c r="J28" s="630"/>
      <c r="K28" s="630"/>
      <c r="L28" s="630"/>
      <c r="M28" s="630"/>
      <c r="N28" s="630"/>
      <c r="O28" s="630"/>
      <c r="P28" s="630"/>
      <c r="Q28" s="630"/>
      <c r="R28" s="630"/>
    </row>
    <row r="29" spans="1:18" ht="14.4" customHeight="1">
      <c r="D29" s="626"/>
      <c r="E29" s="626"/>
      <c r="F29" s="626"/>
      <c r="G29" s="626"/>
      <c r="H29" s="626"/>
      <c r="I29" s="626"/>
      <c r="J29" s="626"/>
      <c r="K29" s="626"/>
      <c r="L29" s="626"/>
      <c r="M29" s="626"/>
      <c r="N29" s="626"/>
      <c r="O29" s="626"/>
      <c r="P29" s="626"/>
      <c r="Q29" s="626"/>
      <c r="R29" s="626"/>
    </row>
    <row r="30" spans="1:18" ht="14.4" customHeight="1">
      <c r="B30" t="s">
        <v>98</v>
      </c>
      <c r="D30" s="622">
        <f>SUM('3 Statement Model'!E88,'3 Statement Model'!E99)</f>
        <v>348</v>
      </c>
      <c r="E30" s="622">
        <f>SUM('3 Statement Model'!F88,'3 Statement Model'!F99)</f>
        <v>345</v>
      </c>
      <c r="F30" s="622">
        <f>SUM('3 Statement Model'!G88,'3 Statement Model'!G99)</f>
        <v>475</v>
      </c>
      <c r="G30" s="622">
        <f>SUM('3 Statement Model'!H88,'3 Statement Model'!H99)</f>
        <v>383</v>
      </c>
      <c r="H30" s="622">
        <f>SUM('3 Statement Model'!I88,'3 Statement Model'!I99)</f>
        <v>379</v>
      </c>
      <c r="I30" s="622">
        <f>SUM('3 Statement Model'!J88,'3 Statement Model'!J99)</f>
        <v>493.89360000000011</v>
      </c>
      <c r="J30" s="622">
        <f>SUM('3 Statement Model'!K88,'3 Statement Model'!K99)</f>
        <v>560.56923600000016</v>
      </c>
      <c r="K30" s="622">
        <f>SUM('3 Statement Model'!L88,'3 Statement Model'!L99)</f>
        <v>475.08242751</v>
      </c>
      <c r="L30" s="622">
        <f>SUM('3 Statement Model'!M88,'3 Statement Model'!M99)</f>
        <v>534.46773094875005</v>
      </c>
      <c r="M30" s="622">
        <f>SUM('3 Statement Model'!N88,'3 Statement Model'!N99)</f>
        <v>598.60385866260003</v>
      </c>
      <c r="N30" s="622">
        <f>SUM('3 Statement Model'!O88,'3 Statement Model'!O99)</f>
        <v>560.93172249076724</v>
      </c>
      <c r="O30" s="622">
        <f>SUM('3 Statement Model'!P88,'3 Statement Model'!P99)</f>
        <v>625.74056692197155</v>
      </c>
      <c r="P30" s="622">
        <f>SUM('3 Statement Model'!Q88,'3 Statement Model'!Q99)</f>
        <v>700.82943495260815</v>
      </c>
      <c r="Q30" s="622">
        <f>SUM('3 Statement Model'!R88,'3 Statement Model'!R99)</f>
        <v>784.9289671469212</v>
      </c>
      <c r="R30" s="622">
        <f>SUM('3 Statement Model'!S88,'3 Statement Model'!S99)</f>
        <v>879.12044320455175</v>
      </c>
    </row>
    <row r="31" spans="1:18" ht="14.4" customHeight="1">
      <c r="B31" t="s">
        <v>99</v>
      </c>
      <c r="D31" s="622">
        <f>'3 Statement Model'!E84</f>
        <v>3258</v>
      </c>
      <c r="E31" s="622">
        <f>'3 Statement Model'!F84</f>
        <v>3405</v>
      </c>
      <c r="F31" s="622">
        <f>'3 Statement Model'!G84</f>
        <v>3956</v>
      </c>
      <c r="G31" s="622">
        <f>'3 Statement Model'!H84</f>
        <v>4169</v>
      </c>
      <c r="H31" s="622">
        <f>'3 Statement Model'!I84</f>
        <v>4266</v>
      </c>
      <c r="I31" s="622">
        <f>'3 Statement Model'!J84</f>
        <v>4569.4413478886399</v>
      </c>
      <c r="J31" s="622">
        <f>'3 Statement Model'!K84</f>
        <v>4914.8770973652863</v>
      </c>
      <c r="K31" s="622">
        <f>'3 Statement Model'!L84</f>
        <v>5308.161808078883</v>
      </c>
      <c r="L31" s="622">
        <f>'3 Statement Model'!M84</f>
        <v>5806.7532173609152</v>
      </c>
      <c r="M31" s="622">
        <f>'3 Statement Model'!N84</f>
        <v>6230.5053161096885</v>
      </c>
      <c r="N31" s="622">
        <f>'3 Statement Model'!O84</f>
        <v>6708.4471953398515</v>
      </c>
      <c r="O31" s="622">
        <f>'3 Statement Model'!P84</f>
        <v>7244.6474064896838</v>
      </c>
      <c r="P31" s="622">
        <f>'3 Statement Model'!Q84</f>
        <v>7845.1183146707272</v>
      </c>
      <c r="Q31" s="622">
        <f>'3 Statement Model'!R84</f>
        <v>8517.907485617965</v>
      </c>
      <c r="R31" s="622">
        <f>'3 Statement Model'!S84</f>
        <v>9272.4830533287877</v>
      </c>
    </row>
    <row r="32" spans="1:18" ht="14.4" customHeight="1">
      <c r="B32" s="20" t="s">
        <v>100</v>
      </c>
      <c r="C32" s="20"/>
      <c r="D32" s="627">
        <f t="shared" ref="D32:M32" si="24">D30/D31</f>
        <v>0.10681399631675875</v>
      </c>
      <c r="E32" s="627">
        <f t="shared" si="24"/>
        <v>0.1013215859030837</v>
      </c>
      <c r="F32" s="627">
        <f t="shared" si="24"/>
        <v>0.12007077856420627</v>
      </c>
      <c r="G32" s="627">
        <f t="shared" si="24"/>
        <v>9.1868553609978407E-2</v>
      </c>
      <c r="H32" s="627">
        <f t="shared" si="24"/>
        <v>8.8842006563525547E-2</v>
      </c>
      <c r="I32" s="627">
        <f t="shared" si="24"/>
        <v>0.10808621063233671</v>
      </c>
      <c r="J32" s="627">
        <f t="shared" si="24"/>
        <v>0.11405559587654877</v>
      </c>
      <c r="K32" s="627">
        <f t="shared" si="24"/>
        <v>8.9500366546275398E-2</v>
      </c>
      <c r="L32" s="627">
        <f t="shared" si="24"/>
        <v>9.2042439370560655E-2</v>
      </c>
      <c r="M32" s="627">
        <f t="shared" si="24"/>
        <v>9.6076293702027804E-2</v>
      </c>
      <c r="N32" s="627">
        <f t="shared" ref="N32" si="25">N30/N31</f>
        <v>8.361573195067093E-2</v>
      </c>
      <c r="O32" s="627">
        <f t="shared" ref="O32" si="26">O30/O31</f>
        <v>8.6372811789492937E-2</v>
      </c>
      <c r="P32" s="627">
        <f t="shared" ref="P32" si="27">P30/P31</f>
        <v>8.9333188722217904E-2</v>
      </c>
      <c r="Q32" s="627">
        <f t="shared" ref="Q32" si="28">Q30/Q31</f>
        <v>9.2150445220523014E-2</v>
      </c>
      <c r="R32" s="627">
        <f t="shared" ref="R32" si="29">R30/R31</f>
        <v>9.4809603657237285E-2</v>
      </c>
    </row>
    <row r="33" spans="1:19" ht="14.4" customHeight="1">
      <c r="D33" s="626"/>
      <c r="E33" s="626"/>
      <c r="F33" s="626"/>
      <c r="G33" s="626"/>
      <c r="H33" s="626"/>
      <c r="I33" s="626"/>
      <c r="J33" s="626"/>
      <c r="K33" s="626"/>
      <c r="L33" s="626"/>
      <c r="M33" s="626"/>
      <c r="N33" s="626"/>
      <c r="O33" s="626"/>
      <c r="P33" s="626"/>
      <c r="Q33" s="626"/>
      <c r="R33" s="626"/>
    </row>
    <row r="34" spans="1:19" ht="14.4" customHeight="1">
      <c r="B34" t="s">
        <v>101</v>
      </c>
      <c r="D34" s="622">
        <f>SUM('3 Statement Model'!E88,'3 Statement Model'!E99)</f>
        <v>348</v>
      </c>
      <c r="E34" s="622">
        <f>SUM('3 Statement Model'!F88,'3 Statement Model'!F99)</f>
        <v>345</v>
      </c>
      <c r="F34" s="622">
        <f>SUM('3 Statement Model'!G88,'3 Statement Model'!G99)</f>
        <v>475</v>
      </c>
      <c r="G34" s="622">
        <f>SUM('3 Statement Model'!H88,'3 Statement Model'!H99)</f>
        <v>383</v>
      </c>
      <c r="H34" s="622">
        <f>SUM('3 Statement Model'!I88,'3 Statement Model'!I99)</f>
        <v>379</v>
      </c>
      <c r="I34" s="622">
        <f>SUM('3 Statement Model'!J88,'3 Statement Model'!J99)</f>
        <v>493.89360000000011</v>
      </c>
      <c r="J34" s="622">
        <f>SUM('3 Statement Model'!K88,'3 Statement Model'!K99)</f>
        <v>560.56923600000016</v>
      </c>
      <c r="K34" s="622">
        <f>SUM('3 Statement Model'!L88,'3 Statement Model'!L99)</f>
        <v>475.08242751</v>
      </c>
      <c r="L34" s="622">
        <f>SUM('3 Statement Model'!M88,'3 Statement Model'!M99)</f>
        <v>534.46773094875005</v>
      </c>
      <c r="M34" s="622">
        <f>SUM('3 Statement Model'!N88,'3 Statement Model'!N99)</f>
        <v>598.60385866260003</v>
      </c>
      <c r="N34" s="622">
        <f>SUM('3 Statement Model'!O88,'3 Statement Model'!O99)</f>
        <v>560.93172249076724</v>
      </c>
      <c r="O34" s="622">
        <f>SUM('3 Statement Model'!P88,'3 Statement Model'!P99)</f>
        <v>625.74056692197155</v>
      </c>
      <c r="P34" s="622">
        <f>SUM('3 Statement Model'!Q88,'3 Statement Model'!Q99)</f>
        <v>700.82943495260815</v>
      </c>
      <c r="Q34" s="622">
        <f>SUM('3 Statement Model'!R88,'3 Statement Model'!R99)</f>
        <v>784.9289671469212</v>
      </c>
      <c r="R34" s="622">
        <f>SUM('3 Statement Model'!S88,'3 Statement Model'!S99)</f>
        <v>879.12044320455175</v>
      </c>
    </row>
    <row r="35" spans="1:19" ht="14.4" customHeight="1">
      <c r="B35" t="s">
        <v>102</v>
      </c>
      <c r="D35" s="622">
        <f>'3 Statement Model'!E74</f>
        <v>5510.0000000000009</v>
      </c>
      <c r="E35" s="622">
        <f>'3 Statement Model'!F74</f>
        <v>5786.0000000000009</v>
      </c>
      <c r="F35" s="622">
        <f>'3 Statement Model'!G74</f>
        <v>6946.0000000000009</v>
      </c>
      <c r="G35" s="622">
        <f>'3 Statement Model'!H74</f>
        <v>7421.0000000000009</v>
      </c>
      <c r="H35" s="622">
        <f>'3 Statement Model'!I74</f>
        <v>8338</v>
      </c>
      <c r="I35" s="622">
        <f>'3 Statement Model'!J74</f>
        <v>8943.3075506283676</v>
      </c>
      <c r="J35" s="622">
        <f>'3 Statement Model'!K74</f>
        <v>9652.4730840502198</v>
      </c>
      <c r="K35" s="622">
        <f>'3 Statement Model'!L74</f>
        <v>10209.619597616282</v>
      </c>
      <c r="L35" s="622">
        <f>'3 Statement Model'!M74</f>
        <v>10972.442131426596</v>
      </c>
      <c r="M35" s="622">
        <f>'3 Statement Model'!N74</f>
        <v>11648.410935355507</v>
      </c>
      <c r="N35" s="622">
        <f>'3 Statement Model'!O74</f>
        <v>12387.396889683825</v>
      </c>
      <c r="O35" s="622">
        <f>'3 Statement Model'!P74</f>
        <v>13261.741040544588</v>
      </c>
      <c r="P35" s="622">
        <f>'3 Statement Model'!Q74</f>
        <v>14304.66318481222</v>
      </c>
      <c r="Q35" s="622">
        <f>'3 Statement Model'!R74</f>
        <v>15472.997740176437</v>
      </c>
      <c r="R35" s="622">
        <f>'3 Statement Model'!S74</f>
        <v>16782.584138434278</v>
      </c>
    </row>
    <row r="36" spans="1:19" ht="14.4" customHeight="1">
      <c r="B36" s="20" t="s">
        <v>103</v>
      </c>
      <c r="C36" s="20"/>
      <c r="D36" s="627">
        <f t="shared" ref="D36:M36" si="30">D34/D35</f>
        <v>6.3157894736842093E-2</v>
      </c>
      <c r="E36" s="627">
        <f t="shared" si="30"/>
        <v>5.9626685101970264E-2</v>
      </c>
      <c r="F36" s="627">
        <f t="shared" si="30"/>
        <v>6.8384681831269792E-2</v>
      </c>
      <c r="G36" s="627">
        <f t="shared" si="30"/>
        <v>5.1610295108475937E-2</v>
      </c>
      <c r="H36" s="627">
        <f t="shared" si="30"/>
        <v>4.5454545454545456E-2</v>
      </c>
      <c r="I36" s="627">
        <f t="shared" si="30"/>
        <v>5.5224937441103496E-2</v>
      </c>
      <c r="J36" s="627">
        <f t="shared" si="30"/>
        <v>5.8075192867026663E-2</v>
      </c>
      <c r="K36" s="627">
        <f t="shared" si="30"/>
        <v>4.6532823575613058E-2</v>
      </c>
      <c r="L36" s="627">
        <f t="shared" si="30"/>
        <v>4.8710006810421931E-2</v>
      </c>
      <c r="M36" s="627">
        <f t="shared" si="30"/>
        <v>5.13893149876525E-2</v>
      </c>
      <c r="N36" s="627">
        <f t="shared" ref="N36" si="31">N34/N35</f>
        <v>4.5282453406971158E-2</v>
      </c>
      <c r="O36" s="627">
        <f t="shared" ref="O36" si="32">O34/O35</f>
        <v>4.7183892748992762E-2</v>
      </c>
      <c r="P36" s="627">
        <f t="shared" ref="P36" si="33">P34/P35</f>
        <v>4.8993074908377024E-2</v>
      </c>
      <c r="Q36" s="627">
        <f t="shared" ref="Q36" si="34">Q34/Q35</f>
        <v>5.0728952484030462E-2</v>
      </c>
      <c r="R36" s="627">
        <f t="shared" ref="R36" si="35">R34/R35</f>
        <v>5.2382900985507512E-2</v>
      </c>
    </row>
    <row r="37" spans="1:19" ht="14.4" customHeight="1">
      <c r="D37" s="626"/>
      <c r="E37" s="626"/>
      <c r="F37" s="626"/>
      <c r="G37" s="626"/>
      <c r="H37" s="626"/>
      <c r="I37" s="626"/>
      <c r="J37" s="626"/>
      <c r="K37" s="626"/>
      <c r="L37" s="626"/>
      <c r="M37" s="626"/>
      <c r="N37" s="626"/>
      <c r="O37" s="626"/>
      <c r="P37" s="626"/>
      <c r="Q37" s="626"/>
      <c r="R37" s="626"/>
    </row>
    <row r="38" spans="1:19" ht="14.4" customHeight="1">
      <c r="B38" t="s">
        <v>104</v>
      </c>
      <c r="D38" s="622">
        <f>'3 Statement Model'!E84</f>
        <v>3258</v>
      </c>
      <c r="E38" s="622">
        <f>'3 Statement Model'!F84</f>
        <v>3405</v>
      </c>
      <c r="F38" s="622">
        <f>'3 Statement Model'!G84</f>
        <v>3956</v>
      </c>
      <c r="G38" s="622">
        <f>'3 Statement Model'!H84</f>
        <v>4169</v>
      </c>
      <c r="H38" s="622">
        <f>'3 Statement Model'!I84</f>
        <v>4266</v>
      </c>
      <c r="I38" s="622">
        <f>'3 Statement Model'!J84</f>
        <v>4569.4413478886399</v>
      </c>
      <c r="J38" s="622">
        <f>'3 Statement Model'!K84</f>
        <v>4914.8770973652863</v>
      </c>
      <c r="K38" s="622">
        <f>'3 Statement Model'!L84</f>
        <v>5308.161808078883</v>
      </c>
      <c r="L38" s="622">
        <f>'3 Statement Model'!M84</f>
        <v>5806.7532173609152</v>
      </c>
      <c r="M38" s="622">
        <f>'3 Statement Model'!N84</f>
        <v>6230.5053161096885</v>
      </c>
      <c r="N38" s="622">
        <f>'3 Statement Model'!O84</f>
        <v>6708.4471953398515</v>
      </c>
      <c r="O38" s="622">
        <f>'3 Statement Model'!P84</f>
        <v>7244.6474064896838</v>
      </c>
      <c r="P38" s="622">
        <f>'3 Statement Model'!Q84</f>
        <v>7845.1183146707272</v>
      </c>
      <c r="Q38" s="622">
        <f>'3 Statement Model'!R84</f>
        <v>8517.907485617965</v>
      </c>
      <c r="R38" s="622">
        <f>'3 Statement Model'!S84</f>
        <v>9272.4830533287877</v>
      </c>
    </row>
    <row r="39" spans="1:19" ht="14.4" customHeight="1">
      <c r="B39" t="s">
        <v>105</v>
      </c>
      <c r="D39" s="622">
        <f>'3 Statement Model'!E74</f>
        <v>5510.0000000000009</v>
      </c>
      <c r="E39" s="622">
        <f>'3 Statement Model'!F74</f>
        <v>5786.0000000000009</v>
      </c>
      <c r="F39" s="622">
        <f>'3 Statement Model'!G74</f>
        <v>6946.0000000000009</v>
      </c>
      <c r="G39" s="622">
        <f>'3 Statement Model'!H74</f>
        <v>7421.0000000000009</v>
      </c>
      <c r="H39" s="622">
        <f>'3 Statement Model'!I74</f>
        <v>8338</v>
      </c>
      <c r="I39" s="622">
        <f>'3 Statement Model'!J74</f>
        <v>8943.3075506283676</v>
      </c>
      <c r="J39" s="622">
        <f>'3 Statement Model'!K74</f>
        <v>9652.4730840502198</v>
      </c>
      <c r="K39" s="622">
        <f>'3 Statement Model'!L74</f>
        <v>10209.619597616282</v>
      </c>
      <c r="L39" s="622">
        <f>'3 Statement Model'!M74</f>
        <v>10972.442131426596</v>
      </c>
      <c r="M39" s="622">
        <f>'3 Statement Model'!N74</f>
        <v>11648.410935355507</v>
      </c>
      <c r="N39" s="622">
        <f>'3 Statement Model'!O74</f>
        <v>12387.396889683825</v>
      </c>
      <c r="O39" s="622">
        <f>'3 Statement Model'!P74</f>
        <v>13261.741040544588</v>
      </c>
      <c r="P39" s="622">
        <f>'3 Statement Model'!Q74</f>
        <v>14304.66318481222</v>
      </c>
      <c r="Q39" s="622">
        <f>'3 Statement Model'!R74</f>
        <v>15472.997740176437</v>
      </c>
      <c r="R39" s="622">
        <f>'3 Statement Model'!S74</f>
        <v>16782.584138434278</v>
      </c>
    </row>
    <row r="40" spans="1:19" s="7" customFormat="1" ht="18" customHeight="1">
      <c r="B40" s="20" t="s">
        <v>106</v>
      </c>
      <c r="C40" s="20"/>
      <c r="D40" s="627">
        <f t="shared" ref="D40:M40" si="36">D38/D39</f>
        <v>0.59128856624319415</v>
      </c>
      <c r="E40" s="627">
        <f t="shared" si="36"/>
        <v>0.58848945731074997</v>
      </c>
      <c r="F40" s="627">
        <f t="shared" si="36"/>
        <v>0.56953642384105951</v>
      </c>
      <c r="G40" s="627">
        <f t="shared" si="36"/>
        <v>0.561784126128554</v>
      </c>
      <c r="H40" s="627">
        <f t="shared" si="36"/>
        <v>0.51163348524826102</v>
      </c>
      <c r="I40" s="627">
        <f t="shared" si="36"/>
        <v>0.51093416188819152</v>
      </c>
      <c r="J40" s="627">
        <f t="shared" si="36"/>
        <v>0.50918319632371178</v>
      </c>
      <c r="K40" s="627">
        <f t="shared" si="36"/>
        <v>0.51991768717007047</v>
      </c>
      <c r="L40" s="627">
        <f t="shared" si="36"/>
        <v>0.52921247137221794</v>
      </c>
      <c r="M40" s="627">
        <f t="shared" si="36"/>
        <v>0.53488028115480757</v>
      </c>
      <c r="N40" s="627">
        <f t="shared" ref="N40" si="37">N38/N39</f>
        <v>0.54155423089144905</v>
      </c>
      <c r="O40" s="627">
        <f t="shared" ref="O40" si="38">O38/O39</f>
        <v>0.54628177283366597</v>
      </c>
      <c r="P40" s="627">
        <f t="shared" ref="P40" si="39">P38/P39</f>
        <v>0.54843083079370747</v>
      </c>
      <c r="Q40" s="627">
        <f t="shared" ref="Q40" si="40">Q38/Q39</f>
        <v>0.55050143667382423</v>
      </c>
      <c r="R40" s="627">
        <f t="shared" ref="R40" si="41">R38/R39</f>
        <v>0.55250627536516306</v>
      </c>
    </row>
    <row r="41" spans="1:19" ht="14.4" customHeight="1">
      <c r="D41" s="626"/>
      <c r="E41" s="626"/>
      <c r="F41" s="626"/>
      <c r="G41" s="626"/>
      <c r="H41" s="626"/>
      <c r="I41" s="626"/>
      <c r="J41" s="626"/>
      <c r="K41" s="626"/>
      <c r="L41" s="626"/>
      <c r="M41" s="626"/>
      <c r="N41" s="626"/>
      <c r="O41" s="626"/>
      <c r="P41" s="626"/>
      <c r="Q41" s="626"/>
      <c r="R41" s="626"/>
    </row>
    <row r="42" spans="1:19" ht="18" customHeight="1">
      <c r="A42" s="7" t="s">
        <v>21</v>
      </c>
      <c r="B42" s="25" t="s">
        <v>107</v>
      </c>
      <c r="C42" s="67"/>
      <c r="D42" s="630"/>
      <c r="E42" s="630"/>
      <c r="F42" s="630"/>
      <c r="G42" s="630"/>
      <c r="H42" s="630"/>
      <c r="I42" s="630"/>
      <c r="J42" s="630"/>
      <c r="K42" s="630"/>
      <c r="L42" s="630"/>
      <c r="M42" s="630"/>
      <c r="N42" s="630"/>
      <c r="O42" s="630"/>
      <c r="P42" s="630"/>
      <c r="Q42" s="630"/>
      <c r="R42" s="630"/>
    </row>
    <row r="43" spans="1:19" ht="14.4" customHeight="1">
      <c r="D43" s="626"/>
      <c r="E43" s="626"/>
      <c r="F43" s="626"/>
      <c r="G43" s="626"/>
      <c r="H43" s="626"/>
      <c r="I43" s="626"/>
      <c r="J43" s="626"/>
      <c r="K43" s="626"/>
      <c r="L43" s="626"/>
      <c r="M43" s="626"/>
      <c r="N43" s="626"/>
      <c r="O43" s="626"/>
      <c r="P43" s="626"/>
      <c r="Q43" s="626"/>
      <c r="R43" s="626"/>
    </row>
    <row r="44" spans="1:19" ht="14.4" customHeight="1">
      <c r="B44" t="s">
        <v>1</v>
      </c>
      <c r="D44" s="622">
        <f>'3 Statement Model'!E15</f>
        <v>3778</v>
      </c>
      <c r="E44" s="622">
        <f>'3 Statement Model'!F15</f>
        <v>4076</v>
      </c>
      <c r="F44" s="622">
        <f>'3 Statement Model'!G15</f>
        <v>4413</v>
      </c>
      <c r="G44" s="622">
        <f>'3 Statement Model'!H15</f>
        <v>4905</v>
      </c>
      <c r="H44" s="622">
        <f>'3 Statement Model'!I15</f>
        <v>5443</v>
      </c>
      <c r="I44" s="622">
        <f>'3 Statement Model'!J15</f>
        <v>5926.7232000000004</v>
      </c>
      <c r="J44" s="622">
        <f>'3 Statement Model'!K15</f>
        <v>6726.8308320000006</v>
      </c>
      <c r="K44" s="622">
        <f>'3 Statement Model'!L15</f>
        <v>7601.31884016</v>
      </c>
      <c r="L44" s="622">
        <f>'3 Statement Model'!M15</f>
        <v>8907.7955158125005</v>
      </c>
      <c r="M44" s="622">
        <f>'3 Statement Model'!N15</f>
        <v>9976.7309777100018</v>
      </c>
      <c r="N44" s="622">
        <f>'3 Statement Model'!O15</f>
        <v>11173.938695035204</v>
      </c>
      <c r="O44" s="622">
        <f>'3 Statement Model'!P15</f>
        <v>12514.811338439429</v>
      </c>
      <c r="P44" s="622">
        <f>'3 Statement Model'!Q15</f>
        <v>14016.588699052161</v>
      </c>
      <c r="Q44" s="622">
        <f>'3 Statement Model'!R15</f>
        <v>15698.579342938423</v>
      </c>
      <c r="R44" s="622">
        <f>'3 Statement Model'!S15</f>
        <v>17582.408864091034</v>
      </c>
    </row>
    <row r="45" spans="1:19" ht="14.4" customHeight="1">
      <c r="B45" t="s">
        <v>26</v>
      </c>
      <c r="D45" s="622">
        <f>'3 Statement Model'!E13</f>
        <v>8048</v>
      </c>
      <c r="E45" s="622">
        <f>'3 Statement Model'!F13</f>
        <v>9512</v>
      </c>
      <c r="F45" s="622">
        <f>'3 Statement Model'!G13</f>
        <v>9764</v>
      </c>
      <c r="G45" s="622">
        <f>'3 Statement Model'!H13</f>
        <v>9653</v>
      </c>
      <c r="H45" s="622">
        <f>'3 Statement Model'!I13</f>
        <v>10831</v>
      </c>
      <c r="I45" s="622">
        <f>'3 Statement Model'!J13</f>
        <v>12347.340000000002</v>
      </c>
      <c r="J45" s="622">
        <f>'3 Statement Model'!K13</f>
        <v>14014.230900000002</v>
      </c>
      <c r="K45" s="622">
        <f>'3 Statement Model'!L13</f>
        <v>15836.080917000001</v>
      </c>
      <c r="L45" s="622">
        <f>'3 Statement Model'!M13</f>
        <v>17815.591031625001</v>
      </c>
      <c r="M45" s="622">
        <f>'3 Statement Model'!N13</f>
        <v>19953.461955420004</v>
      </c>
      <c r="N45" s="622">
        <f>'3 Statement Model'!O13</f>
        <v>22347.877390070407</v>
      </c>
      <c r="O45" s="622">
        <f>'3 Statement Model'!P13</f>
        <v>25029.622676878858</v>
      </c>
      <c r="P45" s="622">
        <f>'3 Statement Model'!Q13</f>
        <v>28033.177398104322</v>
      </c>
      <c r="Q45" s="622">
        <f>'3 Statement Model'!R13</f>
        <v>31397.158685876846</v>
      </c>
      <c r="R45" s="622">
        <f>'3 Statement Model'!S13</f>
        <v>35164.817728182068</v>
      </c>
    </row>
    <row r="46" spans="1:19" ht="14.4" customHeight="1">
      <c r="B46" s="20" t="s">
        <v>108</v>
      </c>
      <c r="C46" s="20"/>
      <c r="D46" s="625">
        <f t="shared" ref="D46:M46" si="42">D44/D45</f>
        <v>0.46943339960238567</v>
      </c>
      <c r="E46" s="625">
        <f t="shared" si="42"/>
        <v>0.42851135407905805</v>
      </c>
      <c r="F46" s="625">
        <f t="shared" si="42"/>
        <v>0.45196640721015979</v>
      </c>
      <c r="G46" s="625">
        <f t="shared" si="42"/>
        <v>0.50813218688490625</v>
      </c>
      <c r="H46" s="625">
        <f t="shared" si="42"/>
        <v>0.50253900840180965</v>
      </c>
      <c r="I46" s="625">
        <f t="shared" si="42"/>
        <v>0.47999999999999993</v>
      </c>
      <c r="J46" s="625">
        <f t="shared" si="42"/>
        <v>0.48</v>
      </c>
      <c r="K46" s="625">
        <f t="shared" si="42"/>
        <v>0.48</v>
      </c>
      <c r="L46" s="625">
        <f t="shared" si="42"/>
        <v>0.5</v>
      </c>
      <c r="M46" s="625">
        <f t="shared" si="42"/>
        <v>0.5</v>
      </c>
      <c r="N46" s="625">
        <f t="shared" ref="N46" si="43">N44/N45</f>
        <v>0.5</v>
      </c>
      <c r="O46" s="625">
        <f t="shared" ref="O46" si="44">O44/O45</f>
        <v>0.5</v>
      </c>
      <c r="P46" s="625">
        <f t="shared" ref="P46" si="45">P44/P45</f>
        <v>0.5</v>
      </c>
      <c r="Q46" s="625">
        <f t="shared" ref="Q46" si="46">Q44/Q45</f>
        <v>0.5</v>
      </c>
      <c r="R46" s="625">
        <f t="shared" ref="R46" si="47">R44/R45</f>
        <v>0.5</v>
      </c>
      <c r="S46" s="626"/>
    </row>
    <row r="47" spans="1:19" ht="14.4" customHeight="1">
      <c r="D47" s="626"/>
      <c r="E47" s="626"/>
      <c r="F47" s="626"/>
      <c r="G47" s="626"/>
      <c r="H47" s="626"/>
      <c r="I47" s="626"/>
      <c r="J47" s="626"/>
      <c r="K47" s="626"/>
      <c r="L47" s="626"/>
      <c r="M47" s="626"/>
      <c r="N47" s="626"/>
      <c r="O47" s="626"/>
      <c r="P47" s="626"/>
      <c r="Q47" s="626"/>
      <c r="R47" s="626"/>
    </row>
    <row r="48" spans="1:19" ht="14.4" customHeight="1">
      <c r="B48" t="s">
        <v>59</v>
      </c>
      <c r="D48" s="622">
        <f>'3 Statement Model'!E25</f>
        <v>1602</v>
      </c>
      <c r="E48" s="622">
        <f>'3 Statement Model'!F25</f>
        <v>1681</v>
      </c>
      <c r="F48" s="622">
        <f>'3 Statement Model'!G25</f>
        <v>1810</v>
      </c>
      <c r="G48" s="622">
        <f>'3 Statement Model'!H25</f>
        <v>2026</v>
      </c>
      <c r="H48" s="622">
        <f>'3 Statement Model'!I25</f>
        <v>2139</v>
      </c>
      <c r="I48" s="622">
        <f>'3 Statement Model'!J25</f>
        <v>2086.7004599999996</v>
      </c>
      <c r="J48" s="622">
        <f>'3 Statement Model'!K25</f>
        <v>2368.4050220999989</v>
      </c>
      <c r="K48" s="622">
        <f>'3 Statement Model'!L25</f>
        <v>2676.2976749729996</v>
      </c>
      <c r="L48" s="622">
        <f>'3 Statement Model'!M25</f>
        <v>3367.1467049771245</v>
      </c>
      <c r="M48" s="622">
        <f>'3 Statement Model'!N25</f>
        <v>3771.2043095743802</v>
      </c>
      <c r="N48" s="622">
        <f>'3 Statement Model'!O25</f>
        <v>4223.7488267233075</v>
      </c>
      <c r="O48" s="622">
        <f>'3 Statement Model'!P25</f>
        <v>4730.5986859301047</v>
      </c>
      <c r="P48" s="622">
        <f>'3 Statement Model'!Q25</f>
        <v>5298.2705282417173</v>
      </c>
      <c r="Q48" s="622">
        <f>'3 Statement Model'!R25</f>
        <v>5934.0629916307225</v>
      </c>
      <c r="R48" s="622">
        <f>'3 Statement Model'!S25</f>
        <v>6646.1505506264111</v>
      </c>
    </row>
    <row r="49" spans="2:18" ht="14.4" customHeight="1">
      <c r="B49" t="s">
        <v>26</v>
      </c>
      <c r="D49" s="622">
        <f>'3 Statement Model'!E13</f>
        <v>8048</v>
      </c>
      <c r="E49" s="622">
        <f>'3 Statement Model'!F13</f>
        <v>9512</v>
      </c>
      <c r="F49" s="622">
        <f>'3 Statement Model'!G13</f>
        <v>9764</v>
      </c>
      <c r="G49" s="622">
        <f>'3 Statement Model'!H13</f>
        <v>9653</v>
      </c>
      <c r="H49" s="622">
        <f>'3 Statement Model'!I13</f>
        <v>10831</v>
      </c>
      <c r="I49" s="622">
        <f>'3 Statement Model'!J13</f>
        <v>12347.340000000002</v>
      </c>
      <c r="J49" s="622">
        <f>'3 Statement Model'!K13</f>
        <v>14014.230900000002</v>
      </c>
      <c r="K49" s="622">
        <f>'3 Statement Model'!L13</f>
        <v>15836.080917000001</v>
      </c>
      <c r="L49" s="622">
        <f>'3 Statement Model'!M13</f>
        <v>17815.591031625001</v>
      </c>
      <c r="M49" s="622">
        <f>'3 Statement Model'!N13</f>
        <v>19953.461955420004</v>
      </c>
      <c r="N49" s="622">
        <f>'3 Statement Model'!O13</f>
        <v>22347.877390070407</v>
      </c>
      <c r="O49" s="622">
        <f>'3 Statement Model'!P13</f>
        <v>25029.622676878858</v>
      </c>
      <c r="P49" s="622">
        <f>'3 Statement Model'!Q13</f>
        <v>28033.177398104322</v>
      </c>
      <c r="Q49" s="622">
        <f>'3 Statement Model'!R13</f>
        <v>31397.158685876846</v>
      </c>
      <c r="R49" s="622">
        <f>'3 Statement Model'!S13</f>
        <v>35164.817728182068</v>
      </c>
    </row>
    <row r="50" spans="2:18" ht="14.4" customHeight="1">
      <c r="B50" s="20" t="s">
        <v>109</v>
      </c>
      <c r="C50" s="20"/>
      <c r="D50" s="625">
        <f t="shared" ref="D50:M50" si="48">D48/D49</f>
        <v>0.19905566600397614</v>
      </c>
      <c r="E50" s="625">
        <f t="shared" si="48"/>
        <v>0.17672413793103448</v>
      </c>
      <c r="F50" s="625">
        <f t="shared" si="48"/>
        <v>0.18537484637443671</v>
      </c>
      <c r="G50" s="625">
        <f t="shared" si="48"/>
        <v>0.20988293794675231</v>
      </c>
      <c r="H50" s="625">
        <f t="shared" si="48"/>
        <v>0.19748868987166468</v>
      </c>
      <c r="I50" s="625">
        <f t="shared" si="48"/>
        <v>0.16899999999999993</v>
      </c>
      <c r="J50" s="625">
        <f t="shared" si="48"/>
        <v>0.1689999999999999</v>
      </c>
      <c r="K50" s="625">
        <f t="shared" si="48"/>
        <v>0.16899999999999996</v>
      </c>
      <c r="L50" s="625">
        <f t="shared" si="48"/>
        <v>0.18899999999999997</v>
      </c>
      <c r="M50" s="625">
        <f t="shared" si="48"/>
        <v>0.18899999999999997</v>
      </c>
      <c r="N50" s="625">
        <f t="shared" ref="N50" si="49">N48/N49</f>
        <v>0.18900000000000003</v>
      </c>
      <c r="O50" s="625">
        <f t="shared" ref="O50" si="50">O48/O49</f>
        <v>0.18900000000000003</v>
      </c>
      <c r="P50" s="625">
        <f t="shared" ref="P50" si="51">P48/P49</f>
        <v>0.189</v>
      </c>
      <c r="Q50" s="625">
        <f t="shared" ref="Q50" si="52">Q48/Q49</f>
        <v>0.18899999999999995</v>
      </c>
      <c r="R50" s="625">
        <f t="shared" ref="R50" si="53">R48/R49</f>
        <v>0.189</v>
      </c>
    </row>
    <row r="51" spans="2:18" ht="14.4" customHeight="1">
      <c r="D51" s="626"/>
      <c r="E51" s="626"/>
      <c r="F51" s="626"/>
      <c r="G51" s="626"/>
      <c r="H51" s="626"/>
      <c r="I51" s="626"/>
      <c r="J51" s="626"/>
      <c r="K51" s="626"/>
      <c r="L51" s="626"/>
      <c r="M51" s="626"/>
      <c r="N51" s="626"/>
      <c r="O51" s="626"/>
      <c r="P51" s="626"/>
      <c r="Q51" s="626"/>
      <c r="R51" s="626"/>
    </row>
    <row r="52" spans="2:18" ht="14.4" customHeight="1">
      <c r="B52" t="s">
        <v>60</v>
      </c>
      <c r="D52" s="622">
        <f>'3 Statement Model'!E30</f>
        <v>1463</v>
      </c>
      <c r="E52" s="622">
        <f>'3 Statement Model'!F30</f>
        <v>1542</v>
      </c>
      <c r="F52" s="622">
        <f>'3 Statement Model'!G30</f>
        <v>1655</v>
      </c>
      <c r="G52" s="622">
        <f>'3 Statement Model'!H30</f>
        <v>1868</v>
      </c>
      <c r="H52" s="622">
        <f>'3 Statement Model'!I30</f>
        <v>1961</v>
      </c>
      <c r="I52" s="622">
        <f>'3 Statement Model'!J30</f>
        <v>1895.5299639999996</v>
      </c>
      <c r="J52" s="622">
        <f>'3 Statement Model'!K30</f>
        <v>2162.2860131399989</v>
      </c>
      <c r="K52" s="622">
        <f>'3 Statement Model'!L30</f>
        <v>2453.2868463681998</v>
      </c>
      <c r="L52" s="622">
        <f>'3 Statement Model'!M30</f>
        <v>3125.1325792719244</v>
      </c>
      <c r="M52" s="622">
        <f>'3 Statement Model'!N30</f>
        <v>3544.23672191376</v>
      </c>
      <c r="N52" s="622">
        <f>'3 Statement Model'!O30</f>
        <v>3992.4333616726171</v>
      </c>
      <c r="O52" s="622">
        <f>'3 Statement Model'!P30</f>
        <v>4472.5849566907436</v>
      </c>
      <c r="P52" s="622">
        <f>'3 Statement Model'!Q30</f>
        <v>5008.4858646178382</v>
      </c>
      <c r="Q52" s="622">
        <f>'3 Statement Model'!R30</f>
        <v>5611.8345973647702</v>
      </c>
      <c r="R52" s="622">
        <f>'3 Statement Model'!S30</f>
        <v>6294.6181415869742</v>
      </c>
    </row>
    <row r="53" spans="2:18" ht="14.4" customHeight="1">
      <c r="B53" t="s">
        <v>26</v>
      </c>
      <c r="D53" s="622">
        <f>'3 Statement Model'!E13</f>
        <v>8048</v>
      </c>
      <c r="E53" s="622">
        <f>'3 Statement Model'!F13</f>
        <v>9512</v>
      </c>
      <c r="F53" s="622">
        <f>'3 Statement Model'!G13</f>
        <v>9764</v>
      </c>
      <c r="G53" s="622">
        <f>'3 Statement Model'!H13</f>
        <v>9653</v>
      </c>
      <c r="H53" s="622">
        <f>'3 Statement Model'!I13</f>
        <v>10831</v>
      </c>
      <c r="I53" s="622">
        <f>'3 Statement Model'!J13</f>
        <v>12347.340000000002</v>
      </c>
      <c r="J53" s="622">
        <f>'3 Statement Model'!K13</f>
        <v>14014.230900000002</v>
      </c>
      <c r="K53" s="622">
        <f>'3 Statement Model'!L13</f>
        <v>15836.080917000001</v>
      </c>
      <c r="L53" s="622">
        <f>'3 Statement Model'!M13</f>
        <v>17815.591031625001</v>
      </c>
      <c r="M53" s="622">
        <f>'3 Statement Model'!N13</f>
        <v>19953.461955420004</v>
      </c>
      <c r="N53" s="622">
        <f>'3 Statement Model'!O13</f>
        <v>22347.877390070407</v>
      </c>
      <c r="O53" s="622">
        <f>'3 Statement Model'!P13</f>
        <v>25029.622676878858</v>
      </c>
      <c r="P53" s="622">
        <f>'3 Statement Model'!Q13</f>
        <v>28033.177398104322</v>
      </c>
      <c r="Q53" s="622">
        <f>'3 Statement Model'!R13</f>
        <v>31397.158685876846</v>
      </c>
      <c r="R53" s="622">
        <f>'3 Statement Model'!S13</f>
        <v>35164.817728182068</v>
      </c>
    </row>
    <row r="54" spans="2:18" ht="14.4" customHeight="1">
      <c r="B54" s="20" t="s">
        <v>110</v>
      </c>
      <c r="C54" s="20"/>
      <c r="D54" s="625">
        <f t="shared" ref="D54:M54" si="54">D52/D53</f>
        <v>0.18178429423459244</v>
      </c>
      <c r="E54" s="625">
        <f t="shared" si="54"/>
        <v>0.16211101766190075</v>
      </c>
      <c r="F54" s="625">
        <f t="shared" si="54"/>
        <v>0.1695002048340844</v>
      </c>
      <c r="G54" s="625">
        <f t="shared" si="54"/>
        <v>0.19351496943955246</v>
      </c>
      <c r="H54" s="625">
        <f t="shared" si="54"/>
        <v>0.18105438094358786</v>
      </c>
      <c r="I54" s="625">
        <f t="shared" si="54"/>
        <v>0.153517272870108</v>
      </c>
      <c r="J54" s="625">
        <f t="shared" si="54"/>
        <v>0.15429216405589538</v>
      </c>
      <c r="K54" s="625">
        <f t="shared" si="54"/>
        <v>0.15491754931200188</v>
      </c>
      <c r="L54" s="625">
        <f t="shared" si="54"/>
        <v>0.17541559938844611</v>
      </c>
      <c r="M54" s="625">
        <f t="shared" si="54"/>
        <v>0.17762515245887098</v>
      </c>
      <c r="N54" s="625">
        <f t="shared" ref="N54" si="55">N52/N53</f>
        <v>0.1786493317457761</v>
      </c>
      <c r="O54" s="625">
        <f t="shared" ref="O54" si="56">O52/O53</f>
        <v>0.17869166524920485</v>
      </c>
      <c r="P54" s="625">
        <f t="shared" ref="P54" si="57">P52/P53</f>
        <v>0.17866279635345672</v>
      </c>
      <c r="Q54" s="625">
        <f t="shared" ref="Q54" si="58">Q52/Q53</f>
        <v>0.17873702055368151</v>
      </c>
      <c r="R54" s="625">
        <f t="shared" ref="R54" si="59">R52/R53</f>
        <v>0.17900329216102523</v>
      </c>
    </row>
    <row r="55" spans="2:18" ht="14.4" customHeight="1">
      <c r="D55" s="626"/>
      <c r="E55" s="626"/>
      <c r="F55" s="626"/>
      <c r="G55" s="626"/>
      <c r="H55" s="626"/>
      <c r="I55" s="626"/>
      <c r="J55" s="626"/>
      <c r="K55" s="626"/>
      <c r="L55" s="626"/>
      <c r="M55" s="626"/>
      <c r="N55" s="626"/>
      <c r="O55" s="626"/>
      <c r="P55" s="626"/>
      <c r="Q55" s="626"/>
      <c r="R55" s="626"/>
    </row>
    <row r="56" spans="2:18" ht="14.4" customHeight="1">
      <c r="B56" t="s">
        <v>111</v>
      </c>
      <c r="D56" s="622">
        <f>'3 Statement Model'!E39</f>
        <v>1199</v>
      </c>
      <c r="E56" s="622">
        <f>'3 Statement Model'!F39</f>
        <v>1255</v>
      </c>
      <c r="F56" s="622">
        <f>'3 Statement Model'!G39</f>
        <v>1322</v>
      </c>
      <c r="G56" s="622">
        <f>'3 Statement Model'!H39</f>
        <v>1502</v>
      </c>
      <c r="H56" s="622">
        <f>'3 Statement Model'!I39</f>
        <v>1658</v>
      </c>
      <c r="I56" s="622">
        <f>'3 Statement Model'!J39</f>
        <v>1517.2067394431997</v>
      </c>
      <c r="J56" s="622">
        <f>'3 Statement Model'!K39</f>
        <v>1727.1787473832314</v>
      </c>
      <c r="K56" s="622">
        <f>'3 Statement Model'!L39</f>
        <v>1966.4235535679843</v>
      </c>
      <c r="L56" s="622">
        <f>'3 Statement Model'!M39</f>
        <v>2492.9570464101598</v>
      </c>
      <c r="M56" s="622">
        <f>'3 Statement Model'!N39</f>
        <v>2825.0139916584899</v>
      </c>
      <c r="N56" s="622">
        <f>'3 Statement Model'!O39</f>
        <v>3186.2791948677495</v>
      </c>
      <c r="O56" s="622">
        <f>'3 Statement Model'!P39</f>
        <v>3574.6680743322158</v>
      </c>
      <c r="P56" s="622">
        <f>'3 Statement Model'!Q39</f>
        <v>4003.1393878736144</v>
      </c>
      <c r="Q56" s="622">
        <f>'3 Statement Model'!R39</f>
        <v>4485.2611396482507</v>
      </c>
      <c r="R56" s="622">
        <f>'3 Statement Model'!S39</f>
        <v>5030.5037847388176</v>
      </c>
    </row>
    <row r="57" spans="2:18" ht="14.4" customHeight="1">
      <c r="B57" t="s">
        <v>26</v>
      </c>
      <c r="D57" s="622">
        <f>'3 Statement Model'!E13</f>
        <v>8048</v>
      </c>
      <c r="E57" s="622">
        <f>'3 Statement Model'!F13</f>
        <v>9512</v>
      </c>
      <c r="F57" s="622">
        <f>'3 Statement Model'!G13</f>
        <v>9764</v>
      </c>
      <c r="G57" s="622">
        <f>'3 Statement Model'!H13</f>
        <v>9653</v>
      </c>
      <c r="H57" s="622">
        <f>'3 Statement Model'!I13</f>
        <v>10831</v>
      </c>
      <c r="I57" s="622">
        <f>'3 Statement Model'!J13</f>
        <v>12347.340000000002</v>
      </c>
      <c r="J57" s="622">
        <f>'3 Statement Model'!K13</f>
        <v>14014.230900000002</v>
      </c>
      <c r="K57" s="622">
        <f>'3 Statement Model'!L13</f>
        <v>15836.080917000001</v>
      </c>
      <c r="L57" s="622">
        <f>'3 Statement Model'!M13</f>
        <v>17815.591031625001</v>
      </c>
      <c r="M57" s="622">
        <f>'3 Statement Model'!N13</f>
        <v>19953.461955420004</v>
      </c>
      <c r="N57" s="622">
        <f>'3 Statement Model'!O13</f>
        <v>22347.877390070407</v>
      </c>
      <c r="O57" s="622">
        <f>'3 Statement Model'!P13</f>
        <v>25029.622676878858</v>
      </c>
      <c r="P57" s="622">
        <f>'3 Statement Model'!Q13</f>
        <v>28033.177398104322</v>
      </c>
      <c r="Q57" s="622">
        <f>'3 Statement Model'!R13</f>
        <v>31397.158685876846</v>
      </c>
      <c r="R57" s="622">
        <f>'3 Statement Model'!S13</f>
        <v>35164.817728182068</v>
      </c>
    </row>
    <row r="58" spans="2:18" ht="14.4" customHeight="1">
      <c r="B58" s="20" t="s">
        <v>112</v>
      </c>
      <c r="C58" s="20"/>
      <c r="D58" s="625">
        <f t="shared" ref="D58:M58" si="60">D56/D57</f>
        <v>0.14898111332007952</v>
      </c>
      <c r="E58" s="625">
        <f t="shared" si="60"/>
        <v>0.1319386038687973</v>
      </c>
      <c r="F58" s="625">
        <f t="shared" si="60"/>
        <v>0.13539532978287588</v>
      </c>
      <c r="G58" s="625">
        <f t="shared" si="60"/>
        <v>0.15559929555578578</v>
      </c>
      <c r="H58" s="625">
        <f t="shared" si="60"/>
        <v>0.1530791247345582</v>
      </c>
      <c r="I58" s="625">
        <f t="shared" si="60"/>
        <v>0.12287721399452833</v>
      </c>
      <c r="J58" s="625">
        <f t="shared" si="60"/>
        <v>0.12324463323800602</v>
      </c>
      <c r="K58" s="625">
        <f t="shared" si="60"/>
        <v>0.12417362375668545</v>
      </c>
      <c r="L58" s="625">
        <f t="shared" si="60"/>
        <v>0.13993120082206845</v>
      </c>
      <c r="M58" s="625">
        <f t="shared" si="60"/>
        <v>0.14158014273263117</v>
      </c>
      <c r="N58" s="625">
        <f t="shared" ref="N58" si="61">N56/N57</f>
        <v>0.14257636818266575</v>
      </c>
      <c r="O58" s="625">
        <f t="shared" ref="O58" si="62">O56/O57</f>
        <v>0.14281749751003317</v>
      </c>
      <c r="P58" s="625">
        <f t="shared" ref="P58" si="63">P56/P57</f>
        <v>0.14280005905232551</v>
      </c>
      <c r="Q58" s="625">
        <f t="shared" ref="Q58" si="64">Q56/Q57</f>
        <v>0.14285563813345387</v>
      </c>
      <c r="R58" s="625">
        <f t="shared" ref="R58" si="65">R56/R57</f>
        <v>0.14305502231303283</v>
      </c>
    </row>
    <row r="59" spans="2:18" ht="14.4" customHeight="1">
      <c r="D59" s="626"/>
      <c r="E59" s="626"/>
      <c r="F59" s="626"/>
      <c r="G59" s="626"/>
      <c r="H59" s="626"/>
      <c r="I59" s="626"/>
      <c r="J59" s="626"/>
      <c r="K59" s="626"/>
      <c r="L59" s="626"/>
      <c r="M59" s="626"/>
      <c r="N59" s="626"/>
      <c r="O59" s="626"/>
      <c r="P59" s="626"/>
      <c r="Q59" s="626"/>
      <c r="R59" s="626"/>
    </row>
    <row r="60" spans="2:18" ht="14.4" customHeight="1">
      <c r="B60" t="s">
        <v>111</v>
      </c>
      <c r="D60" s="622">
        <f>'3 Statement Model'!E39</f>
        <v>1199</v>
      </c>
      <c r="E60" s="622">
        <f>'3 Statement Model'!F39</f>
        <v>1255</v>
      </c>
      <c r="F60" s="622">
        <f>'3 Statement Model'!G39</f>
        <v>1322</v>
      </c>
      <c r="G60" s="622">
        <f>'3 Statement Model'!H39</f>
        <v>1502</v>
      </c>
      <c r="H60" s="622">
        <f>'3 Statement Model'!I39</f>
        <v>1658</v>
      </c>
      <c r="I60" s="622">
        <f>'3 Statement Model'!J39</f>
        <v>1517.2067394431997</v>
      </c>
      <c r="J60" s="622">
        <f>'3 Statement Model'!K39</f>
        <v>1727.1787473832314</v>
      </c>
      <c r="K60" s="622">
        <f>'3 Statement Model'!L39</f>
        <v>1966.4235535679843</v>
      </c>
      <c r="L60" s="622">
        <f>'3 Statement Model'!M39</f>
        <v>2492.9570464101598</v>
      </c>
      <c r="M60" s="622">
        <f>'3 Statement Model'!N39</f>
        <v>2825.0139916584899</v>
      </c>
      <c r="N60" s="622">
        <f>'3 Statement Model'!O39</f>
        <v>3186.2791948677495</v>
      </c>
      <c r="O60" s="622">
        <f>'3 Statement Model'!P39</f>
        <v>3574.6680743322158</v>
      </c>
      <c r="P60" s="622">
        <f>'3 Statement Model'!Q39</f>
        <v>4003.1393878736144</v>
      </c>
      <c r="Q60" s="622">
        <f>'3 Statement Model'!R39</f>
        <v>4485.2611396482507</v>
      </c>
      <c r="R60" s="622">
        <f>'3 Statement Model'!S39</f>
        <v>5030.5037847388176</v>
      </c>
    </row>
    <row r="61" spans="2:18" ht="14.4" customHeight="1">
      <c r="B61" t="s">
        <v>105</v>
      </c>
      <c r="D61" s="622">
        <f>'3 Statement Model'!E74</f>
        <v>5510.0000000000009</v>
      </c>
      <c r="E61" s="622">
        <f>'3 Statement Model'!F74</f>
        <v>5786.0000000000009</v>
      </c>
      <c r="F61" s="622">
        <f>'3 Statement Model'!G74</f>
        <v>6946.0000000000009</v>
      </c>
      <c r="G61" s="622">
        <f>'3 Statement Model'!H74</f>
        <v>7421.0000000000009</v>
      </c>
      <c r="H61" s="622">
        <f>'3 Statement Model'!I74</f>
        <v>8338</v>
      </c>
      <c r="I61" s="622">
        <f>'3 Statement Model'!J74</f>
        <v>8943.3075506283676</v>
      </c>
      <c r="J61" s="622">
        <f>'3 Statement Model'!K74</f>
        <v>9652.4730840502198</v>
      </c>
      <c r="K61" s="622">
        <f>'3 Statement Model'!L74</f>
        <v>10209.619597616282</v>
      </c>
      <c r="L61" s="622">
        <f>'3 Statement Model'!M74</f>
        <v>10972.442131426596</v>
      </c>
      <c r="M61" s="622">
        <f>'3 Statement Model'!N74</f>
        <v>11648.410935355507</v>
      </c>
      <c r="N61" s="622">
        <f>'3 Statement Model'!O74</f>
        <v>12387.396889683825</v>
      </c>
      <c r="O61" s="622">
        <f>'3 Statement Model'!P74</f>
        <v>13261.741040544588</v>
      </c>
      <c r="P61" s="622">
        <f>'3 Statement Model'!Q74</f>
        <v>14304.66318481222</v>
      </c>
      <c r="Q61" s="622">
        <f>'3 Statement Model'!R74</f>
        <v>15472.997740176437</v>
      </c>
      <c r="R61" s="622">
        <f>'3 Statement Model'!S74</f>
        <v>16782.584138434278</v>
      </c>
    </row>
    <row r="62" spans="2:18" ht="14.4" customHeight="1">
      <c r="B62" s="20" t="s">
        <v>113</v>
      </c>
      <c r="C62" s="20"/>
      <c r="D62" s="625">
        <f t="shared" ref="D62:M62" si="66">D60/D61</f>
        <v>0.21760435571687836</v>
      </c>
      <c r="E62" s="625">
        <f t="shared" si="66"/>
        <v>0.21690286899412373</v>
      </c>
      <c r="F62" s="625">
        <f t="shared" si="66"/>
        <v>0.1903253671177656</v>
      </c>
      <c r="G62" s="625">
        <f t="shared" si="66"/>
        <v>0.20239859857162104</v>
      </c>
      <c r="H62" s="625">
        <f t="shared" si="66"/>
        <v>0.19884864475893499</v>
      </c>
      <c r="I62" s="625">
        <f t="shared" si="66"/>
        <v>0.16964716139462283</v>
      </c>
      <c r="J62" s="625">
        <f t="shared" si="66"/>
        <v>0.1789363961280791</v>
      </c>
      <c r="K62" s="625">
        <f t="shared" si="66"/>
        <v>0.19260497756714662</v>
      </c>
      <c r="L62" s="625">
        <f t="shared" si="66"/>
        <v>0.22720165816778246</v>
      </c>
      <c r="M62" s="625">
        <f t="shared" si="66"/>
        <v>0.24252355169613279</v>
      </c>
      <c r="N62" s="625">
        <f t="shared" ref="N62" si="67">N60/N61</f>
        <v>0.25721943223771815</v>
      </c>
      <c r="O62" s="625">
        <f t="shared" ref="O62" si="68">O60/O61</f>
        <v>0.26954741940771781</v>
      </c>
      <c r="P62" s="625">
        <f t="shared" ref="P62" si="69">P60/P61</f>
        <v>0.27984855960284982</v>
      </c>
      <c r="Q62" s="625">
        <f t="shared" ref="Q62" si="70">Q60/Q61</f>
        <v>0.28987667515791327</v>
      </c>
      <c r="R62" s="625">
        <f t="shared" ref="R62" si="71">R60/R61</f>
        <v>0.29974548277212665</v>
      </c>
    </row>
    <row r="63" spans="2:18" ht="14.4" customHeight="1">
      <c r="D63" s="626"/>
      <c r="E63" s="626"/>
      <c r="F63" s="626"/>
      <c r="G63" s="626"/>
      <c r="H63" s="626"/>
      <c r="I63" s="626"/>
      <c r="J63" s="626"/>
      <c r="K63" s="626"/>
      <c r="L63" s="626"/>
      <c r="M63" s="626"/>
      <c r="N63" s="626"/>
      <c r="O63" s="626"/>
      <c r="P63" s="626"/>
      <c r="Q63" s="626"/>
      <c r="R63" s="626"/>
    </row>
    <row r="64" spans="2:18" ht="14.4" customHeight="1">
      <c r="B64" t="s">
        <v>111</v>
      </c>
      <c r="D64" s="622">
        <f>'3 Statement Model'!E39</f>
        <v>1199</v>
      </c>
      <c r="E64" s="622">
        <f>'3 Statement Model'!F39</f>
        <v>1255</v>
      </c>
      <c r="F64" s="622">
        <f>'3 Statement Model'!G39</f>
        <v>1322</v>
      </c>
      <c r="G64" s="622">
        <f>'3 Statement Model'!H39</f>
        <v>1502</v>
      </c>
      <c r="H64" s="622">
        <f>'3 Statement Model'!I39</f>
        <v>1658</v>
      </c>
      <c r="I64" s="622">
        <f>'3 Statement Model'!J39</f>
        <v>1517.2067394431997</v>
      </c>
      <c r="J64" s="622">
        <f>'3 Statement Model'!K39</f>
        <v>1727.1787473832314</v>
      </c>
      <c r="K64" s="622">
        <f>'3 Statement Model'!L39</f>
        <v>1966.4235535679843</v>
      </c>
      <c r="L64" s="622">
        <f>'3 Statement Model'!M39</f>
        <v>2492.9570464101598</v>
      </c>
      <c r="M64" s="622">
        <f>'3 Statement Model'!N39</f>
        <v>2825.0139916584899</v>
      </c>
      <c r="N64" s="622">
        <f>'3 Statement Model'!O39</f>
        <v>3186.2791948677495</v>
      </c>
      <c r="O64" s="622">
        <f>'3 Statement Model'!P39</f>
        <v>3574.6680743322158</v>
      </c>
      <c r="P64" s="622">
        <f>'3 Statement Model'!Q39</f>
        <v>4003.1393878736144</v>
      </c>
      <c r="Q64" s="622">
        <f>'3 Statement Model'!R39</f>
        <v>4485.2611396482507</v>
      </c>
      <c r="R64" s="622">
        <f>'3 Statement Model'!S39</f>
        <v>5030.5037847388176</v>
      </c>
    </row>
    <row r="65" spans="1:18" ht="14.4" customHeight="1">
      <c r="B65" t="s">
        <v>104</v>
      </c>
      <c r="D65" s="622">
        <f>'3 Statement Model'!E84</f>
        <v>3258</v>
      </c>
      <c r="E65" s="622">
        <f>'3 Statement Model'!F84</f>
        <v>3405</v>
      </c>
      <c r="F65" s="622">
        <f>'3 Statement Model'!G84</f>
        <v>3956</v>
      </c>
      <c r="G65" s="622">
        <f>'3 Statement Model'!H84</f>
        <v>4169</v>
      </c>
      <c r="H65" s="622">
        <f>'3 Statement Model'!I84</f>
        <v>4266</v>
      </c>
      <c r="I65" s="622">
        <f>'3 Statement Model'!J84</f>
        <v>4569.4413478886399</v>
      </c>
      <c r="J65" s="622">
        <f>'3 Statement Model'!K84</f>
        <v>4914.8770973652863</v>
      </c>
      <c r="K65" s="622">
        <f>'3 Statement Model'!L84</f>
        <v>5308.161808078883</v>
      </c>
      <c r="L65" s="622">
        <f>'3 Statement Model'!M84</f>
        <v>5806.7532173609152</v>
      </c>
      <c r="M65" s="622">
        <f>'3 Statement Model'!N84</f>
        <v>6230.5053161096885</v>
      </c>
      <c r="N65" s="622">
        <f>'3 Statement Model'!O84</f>
        <v>6708.4471953398515</v>
      </c>
      <c r="O65" s="622">
        <f>'3 Statement Model'!P84</f>
        <v>7244.6474064896838</v>
      </c>
      <c r="P65" s="622">
        <f>'3 Statement Model'!Q84</f>
        <v>7845.1183146707272</v>
      </c>
      <c r="Q65" s="622">
        <f>'3 Statement Model'!R84</f>
        <v>8517.907485617965</v>
      </c>
      <c r="R65" s="622">
        <f>'3 Statement Model'!S84</f>
        <v>9272.4830533287877</v>
      </c>
    </row>
    <row r="66" spans="1:18" ht="14.4" customHeight="1">
      <c r="B66" s="20" t="s">
        <v>114</v>
      </c>
      <c r="C66" s="20"/>
      <c r="D66" s="625">
        <f t="shared" ref="D66:M66" si="72">D64/D65</f>
        <v>0.36801718845917741</v>
      </c>
      <c r="E66" s="625">
        <f t="shared" si="72"/>
        <v>0.36857562408223199</v>
      </c>
      <c r="F66" s="625">
        <f t="shared" si="72"/>
        <v>0.33417593528816986</v>
      </c>
      <c r="G66" s="625">
        <f t="shared" si="72"/>
        <v>0.36027824418325738</v>
      </c>
      <c r="H66" s="625">
        <f t="shared" si="72"/>
        <v>0.3886544772620722</v>
      </c>
      <c r="I66" s="625">
        <f t="shared" si="72"/>
        <v>0.33203331084318249</v>
      </c>
      <c r="J66" s="625">
        <f t="shared" si="72"/>
        <v>0.35141850206368713</v>
      </c>
      <c r="K66" s="625">
        <f t="shared" si="72"/>
        <v>0.37045282805342128</v>
      </c>
      <c r="L66" s="625">
        <f t="shared" si="72"/>
        <v>0.42932030225716611</v>
      </c>
      <c r="M66" s="625">
        <f t="shared" si="72"/>
        <v>0.45341651251850973</v>
      </c>
      <c r="N66" s="625">
        <f t="shared" ref="N66" si="73">N64/N65</f>
        <v>0.47496523444071498</v>
      </c>
      <c r="O66" s="625">
        <f t="shared" ref="O66" si="74">O64/O65</f>
        <v>0.49342195330721872</v>
      </c>
      <c r="P66" s="625">
        <f t="shared" ref="P66" si="75">P64/P65</f>
        <v>0.51027138499461022</v>
      </c>
      <c r="Q66" s="625">
        <f t="shared" ref="Q66" si="76">Q64/Q65</f>
        <v>0.52656842625038791</v>
      </c>
      <c r="R66" s="625">
        <f t="shared" ref="R66" si="77">R64/R65</f>
        <v>0.54251959866703503</v>
      </c>
    </row>
    <row r="67" spans="1:18" ht="14.4" customHeight="1">
      <c r="D67" s="626"/>
      <c r="E67" s="626"/>
      <c r="F67" s="626"/>
      <c r="G67" s="626"/>
      <c r="H67" s="626"/>
      <c r="I67" s="626"/>
      <c r="J67" s="626"/>
      <c r="K67" s="626"/>
      <c r="L67" s="626"/>
      <c r="M67" s="626"/>
      <c r="N67" s="626"/>
      <c r="O67" s="626"/>
      <c r="P67" s="626"/>
      <c r="Q67" s="626"/>
      <c r="R67" s="626"/>
    </row>
    <row r="68" spans="1:18" ht="18" customHeight="1">
      <c r="A68" s="7" t="s">
        <v>21</v>
      </c>
      <c r="B68" s="25" t="s">
        <v>115</v>
      </c>
      <c r="C68" s="67"/>
      <c r="D68" s="630"/>
      <c r="E68" s="630"/>
      <c r="F68" s="630"/>
      <c r="G68" s="630"/>
      <c r="H68" s="630"/>
      <c r="I68" s="630"/>
      <c r="J68" s="630"/>
      <c r="K68" s="630"/>
      <c r="L68" s="630"/>
      <c r="M68" s="630"/>
      <c r="N68" s="630"/>
      <c r="O68" s="630"/>
      <c r="P68" s="630"/>
      <c r="Q68" s="630"/>
      <c r="R68" s="630"/>
    </row>
    <row r="69" spans="1:18" ht="14.4" customHeight="1">
      <c r="D69" s="626"/>
      <c r="E69" s="626"/>
      <c r="F69" s="626"/>
      <c r="G69" s="626"/>
      <c r="H69" s="626"/>
      <c r="I69" s="626"/>
      <c r="J69" s="626"/>
      <c r="K69" s="626"/>
      <c r="L69" s="626"/>
      <c r="M69" s="626"/>
      <c r="N69" s="626"/>
      <c r="O69" s="626"/>
      <c r="P69" s="626"/>
      <c r="Q69" s="626"/>
      <c r="R69" s="626"/>
    </row>
    <row r="70" spans="1:18" ht="14.4" customHeight="1">
      <c r="B70" t="s">
        <v>42</v>
      </c>
      <c r="D70" s="622">
        <f>'3 Statement Model'!E13</f>
        <v>8048</v>
      </c>
      <c r="E70" s="622">
        <f>'3 Statement Model'!F13</f>
        <v>9512</v>
      </c>
      <c r="F70" s="622">
        <f>'3 Statement Model'!G13</f>
        <v>9764</v>
      </c>
      <c r="G70" s="622">
        <f>'3 Statement Model'!H13</f>
        <v>9653</v>
      </c>
      <c r="H70" s="622">
        <f>'3 Statement Model'!I13</f>
        <v>10831</v>
      </c>
      <c r="I70" s="622">
        <f>'3 Statement Model'!J13</f>
        <v>12347.340000000002</v>
      </c>
      <c r="J70" s="622">
        <f>'3 Statement Model'!K13</f>
        <v>14014.230900000002</v>
      </c>
      <c r="K70" s="622">
        <f>'3 Statement Model'!L13</f>
        <v>15836.080917000001</v>
      </c>
      <c r="L70" s="622">
        <f>'3 Statement Model'!M13</f>
        <v>17815.591031625001</v>
      </c>
      <c r="M70" s="622">
        <f>'3 Statement Model'!N13</f>
        <v>19953.461955420004</v>
      </c>
      <c r="N70" s="622">
        <f>'3 Statement Model'!O13</f>
        <v>22347.877390070407</v>
      </c>
      <c r="O70" s="622">
        <f>'3 Statement Model'!P13</f>
        <v>25029.622676878858</v>
      </c>
      <c r="P70" s="622">
        <f>'3 Statement Model'!Q13</f>
        <v>28033.177398104322</v>
      </c>
      <c r="Q70" s="622">
        <f>'3 Statement Model'!R13</f>
        <v>31397.158685876846</v>
      </c>
      <c r="R70" s="622">
        <f>'3 Statement Model'!S13</f>
        <v>35164.817728182068</v>
      </c>
    </row>
    <row r="71" spans="1:18" ht="14.4" customHeight="1">
      <c r="B71" t="s">
        <v>105</v>
      </c>
      <c r="D71" s="622">
        <f>'3 Statement Model'!E74</f>
        <v>5510.0000000000009</v>
      </c>
      <c r="E71" s="622">
        <f>'3 Statement Model'!F74</f>
        <v>5786.0000000000009</v>
      </c>
      <c r="F71" s="622">
        <f>'3 Statement Model'!G74</f>
        <v>6946.0000000000009</v>
      </c>
      <c r="G71" s="622">
        <f>'3 Statement Model'!H74</f>
        <v>7421.0000000000009</v>
      </c>
      <c r="H71" s="622">
        <f>'3 Statement Model'!I74</f>
        <v>8338</v>
      </c>
      <c r="I71" s="622">
        <f>'3 Statement Model'!J74</f>
        <v>8943.3075506283676</v>
      </c>
      <c r="J71" s="622">
        <f>'3 Statement Model'!K74</f>
        <v>9652.4730840502198</v>
      </c>
      <c r="K71" s="622">
        <f>'3 Statement Model'!L74</f>
        <v>10209.619597616282</v>
      </c>
      <c r="L71" s="622">
        <f>'3 Statement Model'!M74</f>
        <v>10972.442131426596</v>
      </c>
      <c r="M71" s="622">
        <f>'3 Statement Model'!N74</f>
        <v>11648.410935355507</v>
      </c>
      <c r="N71" s="622">
        <f>'3 Statement Model'!O74</f>
        <v>12387.396889683825</v>
      </c>
      <c r="O71" s="622">
        <f>'3 Statement Model'!P74</f>
        <v>13261.741040544588</v>
      </c>
      <c r="P71" s="622">
        <f>'3 Statement Model'!Q74</f>
        <v>14304.66318481222</v>
      </c>
      <c r="Q71" s="622">
        <f>'3 Statement Model'!R74</f>
        <v>15472.997740176437</v>
      </c>
      <c r="R71" s="622">
        <f>'3 Statement Model'!S74</f>
        <v>16782.584138434278</v>
      </c>
    </row>
    <row r="72" spans="1:18" ht="14.4" customHeight="1">
      <c r="B72" s="20" t="s">
        <v>116</v>
      </c>
      <c r="C72" s="20"/>
      <c r="D72" s="627">
        <f t="shared" ref="D72:M72" si="78">D70/D71</f>
        <v>1.4606170598911068</v>
      </c>
      <c r="E72" s="627">
        <f t="shared" si="78"/>
        <v>1.6439681991012787</v>
      </c>
      <c r="F72" s="627">
        <f t="shared" si="78"/>
        <v>1.4057011229484593</v>
      </c>
      <c r="G72" s="627">
        <f t="shared" si="78"/>
        <v>1.3007680905538335</v>
      </c>
      <c r="H72" s="627">
        <f t="shared" si="78"/>
        <v>1.2989925641640681</v>
      </c>
      <c r="I72" s="627">
        <f t="shared" si="78"/>
        <v>1.3806234360275873</v>
      </c>
      <c r="J72" s="627">
        <f t="shared" si="78"/>
        <v>1.4518798216756663</v>
      </c>
      <c r="K72" s="627">
        <f t="shared" si="78"/>
        <v>1.5510941191871019</v>
      </c>
      <c r="L72" s="627">
        <f t="shared" si="78"/>
        <v>1.623666893680731</v>
      </c>
      <c r="M72" s="627">
        <f t="shared" si="78"/>
        <v>1.7129771662550837</v>
      </c>
      <c r="N72" s="627">
        <f t="shared" ref="N72" si="79">N70/N71</f>
        <v>1.8040818090426756</v>
      </c>
      <c r="O72" s="627">
        <f t="shared" ref="O72" si="80">O70/O71</f>
        <v>1.8873557099597102</v>
      </c>
      <c r="P72" s="627">
        <f t="shared" ref="P72" si="81">P70/P71</f>
        <v>1.9597229963350808</v>
      </c>
      <c r="Q72" s="627">
        <f t="shared" ref="Q72" si="82">Q70/Q71</f>
        <v>2.0291580993612182</v>
      </c>
      <c r="R72" s="627">
        <f t="shared" ref="R72" si="83">R70/R71</f>
        <v>2.0953160394203003</v>
      </c>
    </row>
    <row r="73" spans="1:18" ht="14.4" customHeight="1">
      <c r="B73" s="18"/>
      <c r="C73" s="18"/>
      <c r="D73" s="631"/>
      <c r="E73" s="631"/>
      <c r="F73" s="631"/>
      <c r="G73" s="631"/>
      <c r="H73" s="631"/>
      <c r="I73" s="631"/>
      <c r="J73" s="631"/>
      <c r="K73" s="631"/>
      <c r="L73" s="631"/>
      <c r="M73" s="631"/>
      <c r="N73" s="631"/>
      <c r="O73" s="631"/>
      <c r="P73" s="631"/>
      <c r="Q73" s="631"/>
      <c r="R73" s="631"/>
    </row>
    <row r="74" spans="1:18" ht="14.4" customHeight="1">
      <c r="B74" t="s">
        <v>118</v>
      </c>
      <c r="D74" s="622">
        <f>'3 Statement Model'!E13-'3 Statement Model'!D13</f>
        <v>733</v>
      </c>
      <c r="E74" s="622">
        <f>'3 Statement Model'!F13-'3 Statement Model'!E13</f>
        <v>1464</v>
      </c>
      <c r="F74" s="622">
        <f>'3 Statement Model'!G13-'3 Statement Model'!F13</f>
        <v>252</v>
      </c>
      <c r="G74" s="622">
        <f>'3 Statement Model'!H13-'3 Statement Model'!G13</f>
        <v>-111</v>
      </c>
      <c r="H74" s="622">
        <f>'3 Statement Model'!I13-'3 Statement Model'!H13</f>
        <v>1178</v>
      </c>
      <c r="I74" s="622">
        <f>'3 Statement Model'!J13-'3 Statement Model'!I13</f>
        <v>1516.340000000002</v>
      </c>
      <c r="J74" s="622">
        <f>'3 Statement Model'!K13-'3 Statement Model'!J13</f>
        <v>1666.8909000000003</v>
      </c>
      <c r="K74" s="622">
        <f>'3 Statement Model'!L13-'3 Statement Model'!K13</f>
        <v>1821.8500169999988</v>
      </c>
      <c r="L74" s="622">
        <f>'3 Statement Model'!M13-'3 Statement Model'!L13</f>
        <v>1979.5101146249999</v>
      </c>
      <c r="M74" s="622">
        <f>'3 Statement Model'!N13-'3 Statement Model'!M13</f>
        <v>2137.8709237950025</v>
      </c>
      <c r="N74" s="622">
        <f>'3 Statement Model'!O13-'3 Statement Model'!N13</f>
        <v>2394.4154346504038</v>
      </c>
      <c r="O74" s="622">
        <f>'3 Statement Model'!P13-'3 Statement Model'!O13</f>
        <v>2681.7452868084511</v>
      </c>
      <c r="P74" s="622">
        <f>'3 Statement Model'!Q13-'3 Statement Model'!P13</f>
        <v>3003.5547212254642</v>
      </c>
      <c r="Q74" s="622">
        <f>'3 Statement Model'!R13-'3 Statement Model'!Q13</f>
        <v>3363.9812877725235</v>
      </c>
      <c r="R74" s="622">
        <f>'3 Statement Model'!S13-'3 Statement Model'!R13</f>
        <v>3767.6590423052221</v>
      </c>
    </row>
    <row r="75" spans="1:18" ht="14.4" customHeight="1">
      <c r="B75" t="s">
        <v>119</v>
      </c>
      <c r="D75" s="622">
        <f>'3 Statement Model'!E74-'3 Statement Model'!D74</f>
        <v>508</v>
      </c>
      <c r="E75" s="622">
        <f>'3 Statement Model'!F74-'3 Statement Model'!E74</f>
        <v>276</v>
      </c>
      <c r="F75" s="622">
        <f>'3 Statement Model'!G74-'3 Statement Model'!F74</f>
        <v>1160</v>
      </c>
      <c r="G75" s="622">
        <f>'3 Statement Model'!H74-'3 Statement Model'!G74</f>
        <v>475</v>
      </c>
      <c r="H75" s="622">
        <f>'3 Statement Model'!I74-'3 Statement Model'!H74</f>
        <v>916.99999999999909</v>
      </c>
      <c r="I75" s="622">
        <f>'3 Statement Model'!J74-'3 Statement Model'!I74</f>
        <v>605.30755062836761</v>
      </c>
      <c r="J75" s="622">
        <f>'3 Statement Model'!K74-'3 Statement Model'!J74</f>
        <v>709.16553342185216</v>
      </c>
      <c r="K75" s="622">
        <f>'3 Statement Model'!L74-'3 Statement Model'!K74</f>
        <v>557.14651356606191</v>
      </c>
      <c r="L75" s="622">
        <f>'3 Statement Model'!M74-'3 Statement Model'!L74</f>
        <v>762.82253381031478</v>
      </c>
      <c r="M75" s="622">
        <f>'3 Statement Model'!N74-'3 Statement Model'!M74</f>
        <v>675.96880392891035</v>
      </c>
      <c r="N75" s="622">
        <f>'3 Statement Model'!O74-'3 Statement Model'!N74</f>
        <v>738.98595432831826</v>
      </c>
      <c r="O75" s="622">
        <f>'3 Statement Model'!P74-'3 Statement Model'!O74</f>
        <v>874.34415086076297</v>
      </c>
      <c r="P75" s="622">
        <f>'3 Statement Model'!Q74-'3 Statement Model'!P74</f>
        <v>1042.9221442676317</v>
      </c>
      <c r="Q75" s="622">
        <f>'3 Statement Model'!R74-'3 Statement Model'!Q74</f>
        <v>1168.3345553642175</v>
      </c>
      <c r="R75" s="622">
        <f>'3 Statement Model'!S74-'3 Statement Model'!R74</f>
        <v>1309.5863982578412</v>
      </c>
    </row>
    <row r="76" spans="1:18" ht="14.4" customHeight="1">
      <c r="B76" s="20" t="s">
        <v>120</v>
      </c>
      <c r="C76" s="20"/>
      <c r="D76" s="627">
        <f>D74/D75</f>
        <v>1.4429133858267718</v>
      </c>
      <c r="E76" s="627">
        <f t="shared" ref="E76:M76" si="84">E74/E75</f>
        <v>5.3043478260869561</v>
      </c>
      <c r="F76" s="627">
        <f t="shared" si="84"/>
        <v>0.21724137931034482</v>
      </c>
      <c r="G76" s="627">
        <f t="shared" si="84"/>
        <v>-0.2336842105263158</v>
      </c>
      <c r="H76" s="627">
        <f t="shared" si="84"/>
        <v>1.2846237731733927</v>
      </c>
      <c r="I76" s="627">
        <f t="shared" si="84"/>
        <v>2.5050736578882833</v>
      </c>
      <c r="J76" s="627">
        <f t="shared" si="84"/>
        <v>2.3504962120154795</v>
      </c>
      <c r="K76" s="627">
        <f t="shared" si="84"/>
        <v>3.2699657498331964</v>
      </c>
      <c r="L76" s="627">
        <f t="shared" si="84"/>
        <v>2.5949811743726352</v>
      </c>
      <c r="M76" s="627">
        <f t="shared" si="84"/>
        <v>3.1626769036812474</v>
      </c>
      <c r="N76" s="627">
        <f t="shared" ref="N76" si="85">N74/N75</f>
        <v>3.2401365961369919</v>
      </c>
      <c r="O76" s="627">
        <f t="shared" ref="O76" si="86">O74/O75</f>
        <v>3.0671507142449128</v>
      </c>
      <c r="P76" s="627">
        <f t="shared" ref="P76" si="87">P74/P75</f>
        <v>2.8799414584629823</v>
      </c>
      <c r="Q76" s="627">
        <f t="shared" ref="Q76" si="88">Q74/Q75</f>
        <v>2.8792962361057901</v>
      </c>
      <c r="R76" s="627">
        <f t="shared" ref="R76" si="89">R74/R75</f>
        <v>2.8769839449442856</v>
      </c>
    </row>
    <row r="77" spans="1:18" ht="14.4" customHeight="1">
      <c r="D77" s="632"/>
      <c r="E77" s="632"/>
      <c r="F77" s="632"/>
      <c r="G77" s="632"/>
      <c r="H77" s="632"/>
      <c r="I77" s="632"/>
      <c r="J77" s="632"/>
      <c r="K77" s="632"/>
      <c r="L77" s="632"/>
      <c r="M77" s="632"/>
      <c r="N77" s="632"/>
      <c r="O77" s="632"/>
      <c r="P77" s="632"/>
      <c r="Q77" s="632"/>
      <c r="R77" s="632"/>
    </row>
    <row r="78" spans="1:18" ht="14.4" customHeight="1">
      <c r="B78" t="s">
        <v>52</v>
      </c>
      <c r="D78" s="622">
        <f>'3 Statement Model'!E14</f>
        <v>4270</v>
      </c>
      <c r="E78" s="622">
        <f>'3 Statement Model'!F14</f>
        <v>5436</v>
      </c>
      <c r="F78" s="622">
        <f>'3 Statement Model'!G14</f>
        <v>5351</v>
      </c>
      <c r="G78" s="622">
        <f>'3 Statement Model'!H14</f>
        <v>4748</v>
      </c>
      <c r="H78" s="622">
        <f>'3 Statement Model'!I14</f>
        <v>5388</v>
      </c>
      <c r="I78" s="622">
        <f>'3 Statement Model'!J14</f>
        <v>6420.6168000000016</v>
      </c>
      <c r="J78" s="622">
        <f>'3 Statement Model'!K14</f>
        <v>7287.4000680000017</v>
      </c>
      <c r="K78" s="622">
        <f>'3 Statement Model'!L14</f>
        <v>8234.7620768400011</v>
      </c>
      <c r="L78" s="622">
        <f>'3 Statement Model'!M14</f>
        <v>8907.7955158125005</v>
      </c>
      <c r="M78" s="622">
        <f>'3 Statement Model'!N14</f>
        <v>9976.7309777100018</v>
      </c>
      <c r="N78" s="622">
        <f>'3 Statement Model'!O14</f>
        <v>11173.938695035204</v>
      </c>
      <c r="O78" s="622">
        <f>'3 Statement Model'!P14</f>
        <v>12514.811338439429</v>
      </c>
      <c r="P78" s="622">
        <f>'3 Statement Model'!Q14</f>
        <v>14016.588699052161</v>
      </c>
      <c r="Q78" s="622">
        <f>'3 Statement Model'!R14</f>
        <v>15698.579342938423</v>
      </c>
      <c r="R78" s="622">
        <f>'3 Statement Model'!S14</f>
        <v>17582.408864091034</v>
      </c>
    </row>
    <row r="79" spans="1:18" ht="14.4" customHeight="1">
      <c r="B79" t="s">
        <v>6</v>
      </c>
      <c r="D79" s="622">
        <f>'3 Statement Model'!E69</f>
        <v>1126</v>
      </c>
      <c r="E79" s="622">
        <f>'3 Statement Model'!F69</f>
        <v>1412</v>
      </c>
      <c r="F79" s="622">
        <f>'3 Statement Model'!G69</f>
        <v>1225</v>
      </c>
      <c r="G79" s="622">
        <f>'3 Statement Model'!H69</f>
        <v>1336</v>
      </c>
      <c r="H79" s="622">
        <f>'3 Statement Model'!I69</f>
        <v>1235</v>
      </c>
      <c r="I79" s="622">
        <f>'3 Statement Model'!J69</f>
        <v>1589.9314520547948</v>
      </c>
      <c r="J79" s="622">
        <f>'3 Statement Model'!K69</f>
        <v>1804.5721980821922</v>
      </c>
      <c r="K79" s="622">
        <f>'3 Statement Model'!L69</f>
        <v>1995.7800607726028</v>
      </c>
      <c r="L79" s="622">
        <f>'3 Statement Model'!M69</f>
        <v>2245.2525683691783</v>
      </c>
      <c r="M79" s="622">
        <f>'3 Statement Model'!N69</f>
        <v>2514.6828765734799</v>
      </c>
      <c r="N79" s="622">
        <f>'3 Statement Model'!O69</f>
        <v>2693.9906990769805</v>
      </c>
      <c r="O79" s="622">
        <f>'3 Statement Model'!P69</f>
        <v>3017.2695829662184</v>
      </c>
      <c r="P79" s="622">
        <f>'3 Statement Model'!Q69</f>
        <v>3225.7354814257028</v>
      </c>
      <c r="Q79" s="622">
        <f>'3 Statement Model'!R69</f>
        <v>3440.7845135207504</v>
      </c>
      <c r="R79" s="622">
        <f>'3 Statement Model'!S69</f>
        <v>3853.6786551432401</v>
      </c>
    </row>
    <row r="80" spans="1:18" ht="14.4" customHeight="1">
      <c r="B80" s="20" t="s">
        <v>117</v>
      </c>
      <c r="C80" s="20"/>
      <c r="D80" s="627">
        <f t="shared" ref="D80:M80" si="90">D78/D79</f>
        <v>3.7921847246891653</v>
      </c>
      <c r="E80" s="627">
        <f t="shared" si="90"/>
        <v>3.8498583569405098</v>
      </c>
      <c r="F80" s="627">
        <f t="shared" si="90"/>
        <v>4.3681632653061229</v>
      </c>
      <c r="G80" s="627">
        <f t="shared" si="90"/>
        <v>3.5538922155688621</v>
      </c>
      <c r="H80" s="627">
        <f t="shared" si="90"/>
        <v>4.3627530364372467</v>
      </c>
      <c r="I80" s="627">
        <f t="shared" si="90"/>
        <v>4.0382978723404257</v>
      </c>
      <c r="J80" s="627">
        <f t="shared" si="90"/>
        <v>4.0382978723404257</v>
      </c>
      <c r="K80" s="627">
        <f t="shared" si="90"/>
        <v>4.1260869565217391</v>
      </c>
      <c r="L80" s="627">
        <f t="shared" si="90"/>
        <v>3.9673913043478257</v>
      </c>
      <c r="M80" s="627">
        <f t="shared" si="90"/>
        <v>3.9673913043478262</v>
      </c>
      <c r="N80" s="627">
        <f t="shared" ref="N80" si="91">N78/N79</f>
        <v>4.1477272727272725</v>
      </c>
      <c r="O80" s="627">
        <f t="shared" ref="O80" si="92">O78/O79</f>
        <v>4.1477272727272725</v>
      </c>
      <c r="P80" s="627">
        <f t="shared" ref="P80" si="93">P78/P79</f>
        <v>4.3452380952380949</v>
      </c>
      <c r="Q80" s="627">
        <f t="shared" ref="Q80" si="94">Q78/Q79</f>
        <v>4.5625</v>
      </c>
      <c r="R80" s="627">
        <f t="shared" ref="R80" si="95">R78/R79</f>
        <v>4.5625</v>
      </c>
    </row>
    <row r="81" spans="1:18" ht="14.4" customHeight="1">
      <c r="D81" s="626"/>
      <c r="E81" s="626"/>
      <c r="F81" s="626"/>
      <c r="G81" s="626"/>
      <c r="H81" s="626"/>
      <c r="I81" s="626"/>
      <c r="J81" s="626"/>
      <c r="K81" s="626"/>
      <c r="L81" s="626"/>
      <c r="M81" s="626"/>
      <c r="N81" s="626"/>
      <c r="O81" s="626"/>
      <c r="P81" s="626"/>
      <c r="Q81" s="626"/>
      <c r="R81" s="626"/>
    </row>
    <row r="82" spans="1:18" ht="18" customHeight="1">
      <c r="A82" s="7" t="s">
        <v>21</v>
      </c>
      <c r="B82" s="25" t="s">
        <v>122</v>
      </c>
      <c r="C82" s="67"/>
      <c r="D82" s="630"/>
      <c r="E82" s="630"/>
      <c r="F82" s="630"/>
      <c r="G82" s="630"/>
      <c r="H82" s="630"/>
      <c r="I82" s="630"/>
      <c r="J82" s="630"/>
      <c r="K82" s="630"/>
      <c r="L82" s="630"/>
      <c r="M82" s="630"/>
      <c r="N82" s="630"/>
      <c r="O82" s="630"/>
      <c r="P82" s="630"/>
      <c r="Q82" s="630"/>
      <c r="R82" s="630"/>
    </row>
    <row r="83" spans="1:18" ht="14.4" customHeight="1">
      <c r="D83" s="626"/>
      <c r="E83" s="626"/>
      <c r="F83" s="626"/>
      <c r="G83" s="626"/>
      <c r="H83" s="626"/>
      <c r="I83" s="626"/>
      <c r="J83" s="626"/>
      <c r="K83" s="626"/>
      <c r="L83" s="626"/>
      <c r="M83" s="626"/>
      <c r="N83" s="626"/>
      <c r="O83" s="626"/>
      <c r="P83" s="626"/>
      <c r="Q83" s="626"/>
      <c r="R83" s="626"/>
    </row>
    <row r="84" spans="1:18" ht="14.4" customHeight="1">
      <c r="B84" t="s">
        <v>101</v>
      </c>
      <c r="D84" s="622">
        <f>SUM('3 Statement Model'!E88,'3 Statement Model'!E99)</f>
        <v>348</v>
      </c>
      <c r="E84" s="622">
        <f>SUM('3 Statement Model'!F88,'3 Statement Model'!F99)</f>
        <v>345</v>
      </c>
      <c r="F84" s="622">
        <f>SUM('3 Statement Model'!G88,'3 Statement Model'!G99)</f>
        <v>475</v>
      </c>
      <c r="G84" s="622">
        <f>SUM('3 Statement Model'!H88,'3 Statement Model'!H99)</f>
        <v>383</v>
      </c>
      <c r="H84" s="622">
        <f>SUM('3 Statement Model'!I88,'3 Statement Model'!I99)</f>
        <v>379</v>
      </c>
      <c r="I84" s="622">
        <f>SUM('3 Statement Model'!J88,'3 Statement Model'!J99)</f>
        <v>493.89360000000011</v>
      </c>
      <c r="J84" s="622">
        <f>SUM('3 Statement Model'!K88,'3 Statement Model'!K99)</f>
        <v>560.56923600000016</v>
      </c>
      <c r="K84" s="622">
        <f>SUM('3 Statement Model'!L88,'3 Statement Model'!L99)</f>
        <v>475.08242751</v>
      </c>
      <c r="L84" s="622">
        <f>SUM('3 Statement Model'!M88,'3 Statement Model'!M99)</f>
        <v>534.46773094875005</v>
      </c>
      <c r="M84" s="622">
        <f>SUM('3 Statement Model'!N88,'3 Statement Model'!N99)</f>
        <v>598.60385866260003</v>
      </c>
      <c r="N84" s="622">
        <f>SUM('3 Statement Model'!O88,'3 Statement Model'!O99)</f>
        <v>560.93172249076724</v>
      </c>
      <c r="O84" s="622">
        <f>SUM('3 Statement Model'!P88,'3 Statement Model'!P99)</f>
        <v>625.74056692197155</v>
      </c>
      <c r="P84" s="622">
        <f>SUM('3 Statement Model'!Q88,'3 Statement Model'!Q99)</f>
        <v>700.82943495260815</v>
      </c>
      <c r="Q84" s="622">
        <f>SUM('3 Statement Model'!R88,'3 Statement Model'!R99)</f>
        <v>784.9289671469212</v>
      </c>
      <c r="R84" s="622">
        <f>SUM('3 Statement Model'!S88,'3 Statement Model'!S99)</f>
        <v>879.12044320455175</v>
      </c>
    </row>
    <row r="85" spans="1:18" ht="14.4" customHeight="1">
      <c r="B85" t="s">
        <v>59</v>
      </c>
      <c r="D85" s="622">
        <f>'3 Statement Model'!E25</f>
        <v>1602</v>
      </c>
      <c r="E85" s="622">
        <f>'3 Statement Model'!F25</f>
        <v>1681</v>
      </c>
      <c r="F85" s="622">
        <f>'3 Statement Model'!G25</f>
        <v>1810</v>
      </c>
      <c r="G85" s="622">
        <f>'3 Statement Model'!H25</f>
        <v>2026</v>
      </c>
      <c r="H85" s="622">
        <f>'3 Statement Model'!I25</f>
        <v>2139</v>
      </c>
      <c r="I85" s="622">
        <f>'3 Statement Model'!J25</f>
        <v>2086.7004599999996</v>
      </c>
      <c r="J85" s="622">
        <f>'3 Statement Model'!K25</f>
        <v>2368.4050220999989</v>
      </c>
      <c r="K85" s="622">
        <f>'3 Statement Model'!L25</f>
        <v>2676.2976749729996</v>
      </c>
      <c r="L85" s="622">
        <f>'3 Statement Model'!M25</f>
        <v>3367.1467049771245</v>
      </c>
      <c r="M85" s="622">
        <f>'3 Statement Model'!N25</f>
        <v>3771.2043095743802</v>
      </c>
      <c r="N85" s="622">
        <f>'3 Statement Model'!O25</f>
        <v>4223.7488267233075</v>
      </c>
      <c r="O85" s="622">
        <f>'3 Statement Model'!P25</f>
        <v>4730.5986859301047</v>
      </c>
      <c r="P85" s="622">
        <f>'3 Statement Model'!Q25</f>
        <v>5298.2705282417173</v>
      </c>
      <c r="Q85" s="622">
        <f>'3 Statement Model'!R25</f>
        <v>5934.0629916307225</v>
      </c>
      <c r="R85" s="622">
        <f>'3 Statement Model'!S25</f>
        <v>6646.1505506264111</v>
      </c>
    </row>
    <row r="86" spans="1:18" ht="14.4" customHeight="1">
      <c r="B86" s="20" t="s">
        <v>123</v>
      </c>
      <c r="C86" s="20"/>
      <c r="D86" s="633">
        <f t="shared" ref="D86:M86" si="96">D84/D85</f>
        <v>0.21722846441947566</v>
      </c>
      <c r="E86" s="633">
        <f t="shared" si="96"/>
        <v>0.20523497917906008</v>
      </c>
      <c r="F86" s="633">
        <f t="shared" si="96"/>
        <v>0.26243093922651933</v>
      </c>
      <c r="G86" s="633">
        <f t="shared" si="96"/>
        <v>0.18904244817374136</v>
      </c>
      <c r="H86" s="633">
        <f t="shared" si="96"/>
        <v>0.17718560074801309</v>
      </c>
      <c r="I86" s="633">
        <f t="shared" si="96"/>
        <v>0.23668639053254448</v>
      </c>
      <c r="J86" s="633">
        <f t="shared" si="96"/>
        <v>0.23668639053254456</v>
      </c>
      <c r="K86" s="633">
        <f t="shared" si="96"/>
        <v>0.1775147928994083</v>
      </c>
      <c r="L86" s="633">
        <f t="shared" si="96"/>
        <v>0.15873015873015878</v>
      </c>
      <c r="M86" s="633">
        <f t="shared" si="96"/>
        <v>0.15873015873015872</v>
      </c>
      <c r="N86" s="633">
        <f t="shared" ref="N86" si="97">N84/N85</f>
        <v>0.13280423280423279</v>
      </c>
      <c r="O86" s="633">
        <f t="shared" ref="O86" si="98">O84/O85</f>
        <v>0.13227513227513227</v>
      </c>
      <c r="P86" s="633">
        <f t="shared" ref="P86" si="99">P84/P85</f>
        <v>0.1322751322751323</v>
      </c>
      <c r="Q86" s="633">
        <f t="shared" ref="Q86" si="100">Q84/Q85</f>
        <v>0.13227513227513232</v>
      </c>
      <c r="R86" s="633">
        <f t="shared" ref="R86" si="101">R84/R85</f>
        <v>0.13227513227513227</v>
      </c>
    </row>
    <row r="87" spans="1:18" ht="14.4" customHeight="1">
      <c r="D87" s="626"/>
      <c r="E87" s="626"/>
      <c r="F87" s="626"/>
      <c r="G87" s="626"/>
      <c r="H87" s="626"/>
      <c r="I87" s="626"/>
      <c r="J87" s="626"/>
      <c r="K87" s="626"/>
      <c r="L87" s="626"/>
      <c r="M87" s="626"/>
      <c r="N87" s="626"/>
      <c r="O87" s="626"/>
      <c r="P87" s="626"/>
      <c r="Q87" s="626"/>
      <c r="R87" s="626"/>
    </row>
    <row r="88" spans="1:18" ht="14.4" customHeight="1">
      <c r="B88" t="s">
        <v>60</v>
      </c>
      <c r="D88" s="622">
        <f>'3 Statement Model'!E30</f>
        <v>1463</v>
      </c>
      <c r="E88" s="622">
        <f>'3 Statement Model'!F30</f>
        <v>1542</v>
      </c>
      <c r="F88" s="622">
        <f>'3 Statement Model'!G30</f>
        <v>1655</v>
      </c>
      <c r="G88" s="622">
        <f>'3 Statement Model'!H30</f>
        <v>1868</v>
      </c>
      <c r="H88" s="622">
        <f>'3 Statement Model'!I30</f>
        <v>1961</v>
      </c>
      <c r="I88" s="622">
        <f>'3 Statement Model'!J30</f>
        <v>1895.5299639999996</v>
      </c>
      <c r="J88" s="622">
        <f>'3 Statement Model'!K30</f>
        <v>2162.2860131399989</v>
      </c>
      <c r="K88" s="622">
        <f>'3 Statement Model'!L30</f>
        <v>2453.2868463681998</v>
      </c>
      <c r="L88" s="622">
        <f>'3 Statement Model'!M30</f>
        <v>3125.1325792719244</v>
      </c>
      <c r="M88" s="622">
        <f>'3 Statement Model'!N30</f>
        <v>3544.23672191376</v>
      </c>
      <c r="N88" s="622">
        <f>'3 Statement Model'!O30</f>
        <v>3992.4333616726171</v>
      </c>
      <c r="O88" s="622">
        <f>'3 Statement Model'!P30</f>
        <v>4472.5849566907436</v>
      </c>
      <c r="P88" s="622">
        <f>'3 Statement Model'!Q30</f>
        <v>5008.4858646178382</v>
      </c>
      <c r="Q88" s="622">
        <f>'3 Statement Model'!R30</f>
        <v>5611.8345973647702</v>
      </c>
      <c r="R88" s="622">
        <f>'3 Statement Model'!S30</f>
        <v>6294.6181415869742</v>
      </c>
    </row>
    <row r="89" spans="1:18" ht="14.4" customHeight="1">
      <c r="B89" t="s">
        <v>124</v>
      </c>
      <c r="D89" s="622">
        <f>'3 Statement Model'!E34</f>
        <v>34</v>
      </c>
      <c r="E89" s="622">
        <f>'3 Statement Model'!F34</f>
        <v>39</v>
      </c>
      <c r="F89" s="622">
        <f>'3 Statement Model'!G34</f>
        <v>56</v>
      </c>
      <c r="G89" s="622">
        <f>'3 Statement Model'!H34</f>
        <v>73</v>
      </c>
      <c r="H89" s="622">
        <f>'3 Statement Model'!I34</f>
        <v>53</v>
      </c>
      <c r="I89" s="622">
        <f>'3 Statement Model'!J34</f>
        <v>54.555850000000007</v>
      </c>
      <c r="J89" s="622">
        <f>'3 Statement Model'!K34</f>
        <v>65.90392725000001</v>
      </c>
      <c r="K89" s="622">
        <f>'3 Statement Model'!L34</f>
        <v>64.72822896937501</v>
      </c>
      <c r="L89" s="622">
        <f>'3 Statement Model'!M34</f>
        <v>63.096884903671878</v>
      </c>
      <c r="M89" s="622">
        <f>'3 Statement Model'!N34</f>
        <v>70.816974350709387</v>
      </c>
      <c r="N89" s="622">
        <f>'3 Statement Model'!O34</f>
        <v>72.470973822085455</v>
      </c>
      <c r="O89" s="622">
        <f>'3 Statement Model'!P34</f>
        <v>74.167018088296174</v>
      </c>
      <c r="P89" s="622">
        <f>'3 Statement Model'!Q34</f>
        <v>82.910625117161231</v>
      </c>
      <c r="Q89" s="622">
        <f>'3 Statement Model'!R34</f>
        <v>92.859900131220584</v>
      </c>
      <c r="R89" s="622">
        <f>'3 Statement Model'!S34</f>
        <v>104.00308814696706</v>
      </c>
    </row>
    <row r="90" spans="1:18" ht="14.4" customHeight="1">
      <c r="B90" s="20" t="s">
        <v>971</v>
      </c>
      <c r="C90" s="20"/>
      <c r="D90" s="634">
        <f t="shared" ref="D90:M90" si="102">D88/D89</f>
        <v>43.029411764705884</v>
      </c>
      <c r="E90" s="634">
        <f t="shared" si="102"/>
        <v>39.53846153846154</v>
      </c>
      <c r="F90" s="634">
        <f t="shared" si="102"/>
        <v>29.553571428571427</v>
      </c>
      <c r="G90" s="634">
        <f t="shared" si="102"/>
        <v>25.589041095890412</v>
      </c>
      <c r="H90" s="634">
        <f t="shared" si="102"/>
        <v>37</v>
      </c>
      <c r="I90" s="634">
        <f t="shared" si="102"/>
        <v>34.744760900984943</v>
      </c>
      <c r="J90" s="634">
        <f t="shared" si="102"/>
        <v>32.809668609544033</v>
      </c>
      <c r="K90" s="634">
        <f t="shared" si="102"/>
        <v>37.901343593518185</v>
      </c>
      <c r="L90" s="634">
        <f t="shared" si="102"/>
        <v>49.529110415561256</v>
      </c>
      <c r="M90" s="634">
        <f t="shared" si="102"/>
        <v>50.047841699103273</v>
      </c>
      <c r="N90" s="634">
        <f t="shared" ref="N90" si="103">N88/N89</f>
        <v>55.090102300459598</v>
      </c>
      <c r="O90" s="634">
        <f t="shared" ref="O90" si="104">O88/O89</f>
        <v>60.304230532311692</v>
      </c>
      <c r="P90" s="634">
        <f t="shared" ref="P90" si="105">P88/P89</f>
        <v>60.408251144414038</v>
      </c>
      <c r="Q90" s="634">
        <f t="shared" ref="Q90" si="106">Q88/Q89</f>
        <v>60.433347326829676</v>
      </c>
      <c r="R90" s="634">
        <f t="shared" ref="R90" si="107">R88/R89</f>
        <v>60.523377274067393</v>
      </c>
    </row>
    <row r="91" spans="1:18" ht="14.4" customHeight="1">
      <c r="D91" s="626"/>
      <c r="E91" s="626"/>
      <c r="F91" s="626"/>
      <c r="G91" s="626"/>
      <c r="H91" s="626"/>
      <c r="I91" s="626"/>
      <c r="J91" s="626"/>
      <c r="K91" s="626"/>
      <c r="L91" s="626"/>
      <c r="M91" s="626"/>
      <c r="N91" s="626"/>
      <c r="O91" s="626"/>
      <c r="P91" s="626"/>
      <c r="Q91" s="626"/>
      <c r="R91" s="626"/>
    </row>
    <row r="92" spans="1:18" ht="14.4" customHeight="1">
      <c r="D92" s="626"/>
      <c r="E92" s="626"/>
      <c r="F92" s="626"/>
      <c r="G92" s="626"/>
      <c r="H92" s="626"/>
      <c r="I92" s="626"/>
      <c r="J92" s="626"/>
      <c r="K92" s="626"/>
      <c r="L92" s="626"/>
      <c r="M92" s="626"/>
      <c r="N92" s="626"/>
      <c r="O92" s="626"/>
      <c r="P92" s="626"/>
      <c r="Q92" s="626"/>
      <c r="R92" s="626"/>
    </row>
    <row r="93" spans="1:18" ht="14.4" customHeight="1">
      <c r="D93" s="626"/>
      <c r="E93" s="626"/>
      <c r="F93" s="626"/>
      <c r="G93" s="626"/>
      <c r="H93" s="626"/>
      <c r="I93" s="626"/>
      <c r="J93" s="626"/>
      <c r="K93" s="626"/>
      <c r="L93" s="626"/>
      <c r="M93" s="626"/>
      <c r="N93" s="626"/>
      <c r="O93" s="626"/>
      <c r="P93" s="626"/>
      <c r="Q93" s="626"/>
      <c r="R93" s="626"/>
    </row>
    <row r="94" spans="1:18" ht="14.4" customHeight="1">
      <c r="D94" s="626"/>
      <c r="E94" s="626"/>
      <c r="F94" s="626"/>
      <c r="G94" s="626"/>
      <c r="H94" s="626"/>
      <c r="I94" s="626"/>
      <c r="J94" s="626"/>
      <c r="K94" s="626"/>
      <c r="L94" s="626"/>
      <c r="M94" s="626"/>
      <c r="N94" s="626"/>
      <c r="O94" s="626"/>
      <c r="P94" s="626"/>
      <c r="Q94" s="626"/>
      <c r="R94" s="626"/>
    </row>
    <row r="95" spans="1:18" ht="14.4" customHeight="1">
      <c r="D95" s="626"/>
      <c r="E95" s="626"/>
      <c r="F95" s="626"/>
      <c r="G95" s="626"/>
      <c r="H95" s="626"/>
      <c r="I95" s="626"/>
      <c r="J95" s="626"/>
      <c r="K95" s="626"/>
      <c r="L95" s="626"/>
      <c r="M95" s="626"/>
      <c r="N95" s="626"/>
      <c r="O95" s="626"/>
      <c r="P95" s="626"/>
      <c r="Q95" s="626"/>
      <c r="R95" s="626"/>
    </row>
  </sheetData>
  <mergeCells count="3">
    <mergeCell ref="D8:H8"/>
    <mergeCell ref="I8:M8"/>
    <mergeCell ref="N8:R8"/>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5602" r:id="rId4" name="Drop Down 2">
              <controlPr defaultSize="0" autoLine="0" autoPict="0">
                <anchor moveWithCells="1">
                  <from>
                    <xdr:col>8</xdr:col>
                    <xdr:colOff>7620</xdr:colOff>
                    <xdr:row>3</xdr:row>
                    <xdr:rowOff>0</xdr:rowOff>
                  </from>
                  <to>
                    <xdr:col>9</xdr:col>
                    <xdr:colOff>533400</xdr:colOff>
                    <xdr:row>4</xdr:row>
                    <xdr:rowOff>22860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BBAF9-12C2-49E1-8BF4-8F5B6FC782DF}">
  <dimension ref="A2:S120"/>
  <sheetViews>
    <sheetView showGridLines="0" zoomScale="79" zoomScaleNormal="90" workbookViewId="0">
      <pane xSplit="2" ySplit="9" topLeftCell="C37" activePane="bottomRight" state="frozen"/>
      <selection pane="topRight" activeCell="C1" sqref="C1"/>
      <selection pane="bottomLeft" activeCell="A10" sqref="A10"/>
      <selection pane="bottomRight" activeCell="K19" sqref="K19"/>
    </sheetView>
  </sheetViews>
  <sheetFormatPr defaultRowHeight="14.4" customHeight="1"/>
  <cols>
    <col min="1" max="1" width="1.88671875" customWidth="1"/>
    <col min="2" max="2" width="45.33203125" customWidth="1"/>
    <col min="3" max="3" width="5.5546875" customWidth="1"/>
    <col min="4" max="19" width="12.77734375" customWidth="1"/>
  </cols>
  <sheetData>
    <row r="2" spans="1:19" ht="19.95" customHeight="1">
      <c r="B2" s="10" t="s">
        <v>750</v>
      </c>
      <c r="C2" s="7"/>
      <c r="D2" s="7"/>
      <c r="E2" s="7"/>
      <c r="F2" s="7"/>
      <c r="G2" s="7"/>
      <c r="H2" s="7"/>
      <c r="I2" s="7"/>
    </row>
    <row r="3" spans="1:19" ht="14.4" customHeight="1">
      <c r="B3" s="9" t="s">
        <v>57</v>
      </c>
      <c r="G3" s="7"/>
      <c r="H3" s="7"/>
    </row>
    <row r="4" spans="1:19" ht="14.4" customHeight="1">
      <c r="K4" t="s">
        <v>25</v>
      </c>
    </row>
    <row r="5" spans="1:19" ht="14.4" customHeight="1">
      <c r="C5" s="203"/>
      <c r="N5" s="76"/>
    </row>
    <row r="7" spans="1:19" ht="14.4" customHeight="1">
      <c r="B7" s="137"/>
      <c r="C7" s="137"/>
      <c r="D7" s="137"/>
      <c r="E7" s="137"/>
      <c r="F7" s="137"/>
      <c r="G7" s="137"/>
      <c r="H7" s="137"/>
      <c r="I7" s="137"/>
      <c r="J7" s="137"/>
      <c r="K7" s="137"/>
      <c r="L7" s="137"/>
      <c r="M7" s="137"/>
      <c r="N7" s="137"/>
      <c r="O7" s="675"/>
      <c r="P7" s="675"/>
    </row>
    <row r="8" spans="1:19" ht="14.4" customHeight="1">
      <c r="B8" s="137"/>
      <c r="C8" s="137"/>
      <c r="D8" s="676" t="s">
        <v>19</v>
      </c>
      <c r="E8" s="676"/>
      <c r="F8" s="676"/>
      <c r="G8" s="676"/>
      <c r="H8" s="676"/>
      <c r="I8" s="676"/>
      <c r="J8" s="673" t="s">
        <v>20</v>
      </c>
      <c r="K8" s="673"/>
      <c r="L8" s="673"/>
      <c r="M8" s="673"/>
      <c r="N8" s="673"/>
      <c r="O8" s="674" t="s">
        <v>1142</v>
      </c>
      <c r="P8" s="674"/>
      <c r="Q8" s="674"/>
      <c r="R8" s="674"/>
      <c r="S8" s="674"/>
    </row>
    <row r="9" spans="1:19" ht="14.4" customHeight="1">
      <c r="B9" s="473" t="s">
        <v>18</v>
      </c>
      <c r="C9" s="475"/>
      <c r="D9" s="562">
        <v>2020</v>
      </c>
      <c r="E9" s="562">
        <v>2021</v>
      </c>
      <c r="F9" s="562">
        <v>2022</v>
      </c>
      <c r="G9" s="562">
        <v>2023</v>
      </c>
      <c r="H9" s="562">
        <v>2024</v>
      </c>
      <c r="I9" s="562">
        <v>2025</v>
      </c>
      <c r="J9" s="474">
        <v>2026</v>
      </c>
      <c r="K9" s="474">
        <v>2027</v>
      </c>
      <c r="L9" s="474">
        <v>2028</v>
      </c>
      <c r="M9" s="474">
        <v>2029</v>
      </c>
      <c r="N9" s="474">
        <v>2030</v>
      </c>
      <c r="O9" s="637">
        <f>N9+1</f>
        <v>2031</v>
      </c>
      <c r="P9" s="637">
        <f t="shared" ref="P9:S9" si="0">O9+1</f>
        <v>2032</v>
      </c>
      <c r="Q9" s="637">
        <f t="shared" si="0"/>
        <v>2033</v>
      </c>
      <c r="R9" s="637">
        <f t="shared" si="0"/>
        <v>2034</v>
      </c>
      <c r="S9" s="637">
        <f t="shared" si="0"/>
        <v>2035</v>
      </c>
    </row>
    <row r="10" spans="1:19" ht="14.4" customHeight="1">
      <c r="B10" s="55"/>
      <c r="I10" s="56"/>
      <c r="J10" s="56"/>
      <c r="K10" s="56"/>
      <c r="L10" s="56"/>
      <c r="M10" s="56"/>
      <c r="N10" s="56"/>
    </row>
    <row r="11" spans="1:19" s="7" customFormat="1" ht="18" customHeight="1">
      <c r="A11" s="7" t="s">
        <v>21</v>
      </c>
      <c r="B11" s="25" t="s">
        <v>71</v>
      </c>
      <c r="C11" s="67"/>
      <c r="D11" s="67"/>
      <c r="E11" s="67"/>
      <c r="F11" s="67"/>
      <c r="G11" s="67"/>
      <c r="H11" s="67"/>
      <c r="I11" s="68"/>
      <c r="J11" s="68"/>
      <c r="K11" s="68"/>
      <c r="L11" s="68"/>
      <c r="M11" s="68"/>
      <c r="N11" s="68"/>
      <c r="O11" s="68"/>
      <c r="P11" s="68"/>
      <c r="Q11" s="68"/>
      <c r="R11" s="68"/>
      <c r="S11" s="68"/>
    </row>
    <row r="13" spans="1:19" ht="14.4" customHeight="1">
      <c r="B13" s="57" t="s">
        <v>42</v>
      </c>
      <c r="D13" s="499">
        <f>'3 Statement Model'!D13/'3 Statement Model'!D$13</f>
        <v>1</v>
      </c>
      <c r="E13" s="499">
        <f>'3 Statement Model'!E13/'3 Statement Model'!E$13</f>
        <v>1</v>
      </c>
      <c r="F13" s="499">
        <f>'3 Statement Model'!F13/'3 Statement Model'!F$13</f>
        <v>1</v>
      </c>
      <c r="G13" s="499">
        <f>'3 Statement Model'!G13/'3 Statement Model'!G$13</f>
        <v>1</v>
      </c>
      <c r="H13" s="499">
        <f>'3 Statement Model'!H13/'3 Statement Model'!H$13</f>
        <v>1</v>
      </c>
      <c r="I13" s="499">
        <f>'3 Statement Model'!I13/'3 Statement Model'!I$13</f>
        <v>1</v>
      </c>
      <c r="J13" s="499">
        <f>'3 Statement Model'!J13/'3 Statement Model'!J$13</f>
        <v>1</v>
      </c>
      <c r="K13" s="499">
        <f>'3 Statement Model'!K13/'3 Statement Model'!K$13</f>
        <v>1</v>
      </c>
      <c r="L13" s="499">
        <f>'3 Statement Model'!L13/'3 Statement Model'!L$13</f>
        <v>1</v>
      </c>
      <c r="M13" s="499">
        <f>'3 Statement Model'!M13/'3 Statement Model'!M$13</f>
        <v>1</v>
      </c>
      <c r="N13" s="499">
        <f>'3 Statement Model'!N13/'3 Statement Model'!N$13</f>
        <v>1</v>
      </c>
      <c r="O13" s="499">
        <f>'3 Statement Model'!O13/'3 Statement Model'!O$13</f>
        <v>1</v>
      </c>
      <c r="P13" s="499">
        <f>'3 Statement Model'!P13/'3 Statement Model'!P$13</f>
        <v>1</v>
      </c>
      <c r="Q13" s="499">
        <f>'3 Statement Model'!Q13/'3 Statement Model'!Q$13</f>
        <v>1</v>
      </c>
      <c r="R13" s="499">
        <f>'3 Statement Model'!R13/'3 Statement Model'!R$13</f>
        <v>1</v>
      </c>
      <c r="S13" s="499">
        <f>'3 Statement Model'!S13/'3 Statement Model'!S$13</f>
        <v>1</v>
      </c>
    </row>
    <row r="14" spans="1:19" ht="14.4" customHeight="1">
      <c r="B14" s="58" t="s">
        <v>0</v>
      </c>
      <c r="D14" s="499">
        <f>'3 Statement Model'!D14/'3 Statement Model'!D$13</f>
        <v>0.51196172248803828</v>
      </c>
      <c r="E14" s="499">
        <f>'3 Statement Model'!E14/'3 Statement Model'!E$13</f>
        <v>0.53056660039761427</v>
      </c>
      <c r="F14" s="499">
        <f>'3 Statement Model'!F14/'3 Statement Model'!F$13</f>
        <v>0.57148864592094195</v>
      </c>
      <c r="G14" s="499">
        <f>'3 Statement Model'!G14/'3 Statement Model'!G$13</f>
        <v>0.54803359278984021</v>
      </c>
      <c r="H14" s="499">
        <f>'3 Statement Model'!H14/'3 Statement Model'!H$13</f>
        <v>0.49186781311509375</v>
      </c>
      <c r="I14" s="499">
        <f>'3 Statement Model'!I14/'3 Statement Model'!I$13</f>
        <v>0.49746099159819041</v>
      </c>
      <c r="J14" s="499">
        <f>'3 Statement Model'!J14/'3 Statement Model'!J$13</f>
        <v>0.52</v>
      </c>
      <c r="K14" s="499">
        <f>'3 Statement Model'!K14/'3 Statement Model'!K$13</f>
        <v>0.52</v>
      </c>
      <c r="L14" s="499">
        <f>'3 Statement Model'!L14/'3 Statement Model'!L$13</f>
        <v>0.52</v>
      </c>
      <c r="M14" s="499">
        <f>'3 Statement Model'!M14/'3 Statement Model'!M$13</f>
        <v>0.5</v>
      </c>
      <c r="N14" s="499">
        <f>'3 Statement Model'!N14/'3 Statement Model'!N$13</f>
        <v>0.5</v>
      </c>
      <c r="O14" s="499">
        <f>'3 Statement Model'!O14/'3 Statement Model'!O$13</f>
        <v>0.5</v>
      </c>
      <c r="P14" s="499">
        <f>'3 Statement Model'!P14/'3 Statement Model'!P$13</f>
        <v>0.5</v>
      </c>
      <c r="Q14" s="499">
        <f>'3 Statement Model'!Q14/'3 Statement Model'!Q$13</f>
        <v>0.5</v>
      </c>
      <c r="R14" s="499">
        <f>'3 Statement Model'!R14/'3 Statement Model'!R$13</f>
        <v>0.5</v>
      </c>
      <c r="S14" s="499">
        <f>'3 Statement Model'!S14/'3 Statement Model'!S$13</f>
        <v>0.5</v>
      </c>
    </row>
    <row r="15" spans="1:19" ht="14.4" customHeight="1">
      <c r="B15" s="59" t="s">
        <v>1</v>
      </c>
      <c r="C15" s="21"/>
      <c r="D15" s="498">
        <f>'3 Statement Model'!D15/'3 Statement Model'!D$13</f>
        <v>0.48803827751196172</v>
      </c>
      <c r="E15" s="498">
        <f>'3 Statement Model'!E15/'3 Statement Model'!E$13</f>
        <v>0.46943339960238567</v>
      </c>
      <c r="F15" s="498">
        <f>'3 Statement Model'!F15/'3 Statement Model'!F$13</f>
        <v>0.42851135407905805</v>
      </c>
      <c r="G15" s="498">
        <f>'3 Statement Model'!G15/'3 Statement Model'!G$13</f>
        <v>0.45196640721015979</v>
      </c>
      <c r="H15" s="498">
        <f>'3 Statement Model'!H15/'3 Statement Model'!H$13</f>
        <v>0.50813218688490625</v>
      </c>
      <c r="I15" s="498">
        <f>'3 Statement Model'!I15/'3 Statement Model'!I$13</f>
        <v>0.50253900840180965</v>
      </c>
      <c r="J15" s="498">
        <f>'3 Statement Model'!J15/'3 Statement Model'!J$13</f>
        <v>0.47999999999999993</v>
      </c>
      <c r="K15" s="498">
        <f>'3 Statement Model'!K15/'3 Statement Model'!K$13</f>
        <v>0.48</v>
      </c>
      <c r="L15" s="498">
        <f>'3 Statement Model'!L15/'3 Statement Model'!L$13</f>
        <v>0.48</v>
      </c>
      <c r="M15" s="498">
        <f>'3 Statement Model'!M15/'3 Statement Model'!M$13</f>
        <v>0.5</v>
      </c>
      <c r="N15" s="498">
        <f>'3 Statement Model'!N15/'3 Statement Model'!N$13</f>
        <v>0.5</v>
      </c>
      <c r="O15" s="498">
        <f>'3 Statement Model'!O15/'3 Statement Model'!O$13</f>
        <v>0.5</v>
      </c>
      <c r="P15" s="498">
        <f>'3 Statement Model'!P15/'3 Statement Model'!P$13</f>
        <v>0.5</v>
      </c>
      <c r="Q15" s="498">
        <f>'3 Statement Model'!Q15/'3 Statement Model'!Q$13</f>
        <v>0.5</v>
      </c>
      <c r="R15" s="498">
        <f>'3 Statement Model'!R15/'3 Statement Model'!R$13</f>
        <v>0.5</v>
      </c>
      <c r="S15" s="498">
        <f>'3 Statement Model'!S15/'3 Statement Model'!S$13</f>
        <v>0.5</v>
      </c>
    </row>
    <row r="16" spans="1:19" ht="14.4" customHeight="1">
      <c r="B16" s="1"/>
      <c r="D16" s="500"/>
      <c r="E16" s="500"/>
      <c r="F16" s="500"/>
      <c r="G16" s="500"/>
      <c r="H16" s="500"/>
      <c r="I16" s="500"/>
      <c r="J16" s="500"/>
      <c r="K16" s="500"/>
      <c r="L16" s="500"/>
      <c r="M16" s="500"/>
      <c r="N16" s="500"/>
      <c r="O16" s="500"/>
      <c r="P16" s="500"/>
      <c r="Q16" s="500"/>
      <c r="R16" s="500"/>
      <c r="S16" s="500"/>
    </row>
    <row r="17" spans="2:19" ht="14.4" customHeight="1">
      <c r="B17" s="419" t="s">
        <v>410</v>
      </c>
      <c r="C17" s="16"/>
      <c r="D17" s="501">
        <v>0.48803827751196172</v>
      </c>
      <c r="E17" s="501">
        <v>0.46943339960238567</v>
      </c>
      <c r="F17" s="501">
        <v>0.42851135407905805</v>
      </c>
      <c r="G17" s="501">
        <v>0.45196640721015979</v>
      </c>
      <c r="H17" s="501">
        <v>0.50813218688490625</v>
      </c>
      <c r="I17" s="501">
        <v>0.50253900840180965</v>
      </c>
      <c r="J17" s="501">
        <v>0.47999999999999993</v>
      </c>
      <c r="K17" s="501">
        <v>0.48</v>
      </c>
      <c r="L17" s="501">
        <v>0.48</v>
      </c>
      <c r="M17" s="501">
        <v>0.5</v>
      </c>
      <c r="N17" s="501">
        <v>0.5</v>
      </c>
      <c r="O17" s="501">
        <v>0.5</v>
      </c>
      <c r="P17" s="501">
        <v>0.5</v>
      </c>
      <c r="Q17" s="501">
        <v>0.5</v>
      </c>
      <c r="R17" s="501">
        <v>0.5</v>
      </c>
      <c r="S17" s="501">
        <v>0.5</v>
      </c>
    </row>
    <row r="18" spans="2:19" ht="14.4" customHeight="1">
      <c r="B18" s="60"/>
      <c r="D18" s="500"/>
      <c r="E18" s="500"/>
      <c r="F18" s="500"/>
      <c r="G18" s="500"/>
      <c r="H18" s="500"/>
      <c r="I18" s="500"/>
      <c r="J18" s="500"/>
      <c r="K18" s="500"/>
      <c r="L18" s="500"/>
      <c r="M18" s="500"/>
      <c r="N18" s="500"/>
      <c r="O18" s="500"/>
      <c r="P18" s="500"/>
      <c r="Q18" s="500"/>
      <c r="R18" s="500"/>
      <c r="S18" s="500"/>
    </row>
    <row r="19" spans="2:19" ht="14.4" customHeight="1">
      <c r="B19" s="61" t="s">
        <v>58</v>
      </c>
      <c r="D19" s="500"/>
      <c r="E19" s="500"/>
      <c r="F19" s="500"/>
      <c r="G19" s="500"/>
      <c r="H19" s="500"/>
      <c r="I19" s="500"/>
      <c r="J19" s="500"/>
      <c r="K19" s="500"/>
      <c r="L19" s="500"/>
      <c r="M19" s="500"/>
      <c r="N19" s="500"/>
      <c r="O19" s="500"/>
      <c r="P19" s="500"/>
      <c r="Q19" s="500"/>
      <c r="R19" s="500"/>
      <c r="S19" s="500"/>
    </row>
    <row r="20" spans="2:19" ht="14.4" customHeight="1">
      <c r="B20" s="58" t="s">
        <v>438</v>
      </c>
      <c r="D20" s="499">
        <f>'3 Statement Model'!D20/'3 Statement Model'!D$13</f>
        <v>6.5345181134654817E-2</v>
      </c>
      <c r="E20" s="499">
        <f>'3 Statement Model'!E20/'3 Statement Model'!E$13</f>
        <v>7.0825049701789267E-2</v>
      </c>
      <c r="F20" s="499">
        <f>'3 Statement Model'!F20/'3 Statement Model'!F$13</f>
        <v>6.1606391925988227E-2</v>
      </c>
      <c r="G20" s="499">
        <f>'3 Statement Model'!G20/'3 Statement Model'!G$13</f>
        <v>6.6878328553871366E-2</v>
      </c>
      <c r="H20" s="499">
        <f>'3 Statement Model'!H20/'3 Statement Model'!H$13</f>
        <v>7.6970889878794163E-2</v>
      </c>
      <c r="I20" s="499">
        <f>'3 Statement Model'!I20/'3 Statement Model'!I$13</f>
        <v>7.6724217523774355E-2</v>
      </c>
      <c r="J20" s="499">
        <f>'3 Statement Model'!J20/'3 Statement Model'!J$13</f>
        <v>7.5999999999999998E-2</v>
      </c>
      <c r="K20" s="499">
        <f>'3 Statement Model'!K20/'3 Statement Model'!K$13</f>
        <v>7.5999999999999998E-2</v>
      </c>
      <c r="L20" s="499">
        <f>'3 Statement Model'!L20/'3 Statement Model'!L$13</f>
        <v>7.5999999999999998E-2</v>
      </c>
      <c r="M20" s="499">
        <f>'3 Statement Model'!M20/'3 Statement Model'!M$13</f>
        <v>7.5999999999999998E-2</v>
      </c>
      <c r="N20" s="499">
        <f>'3 Statement Model'!N20/'3 Statement Model'!N$13</f>
        <v>7.5999999999999998E-2</v>
      </c>
      <c r="O20" s="499">
        <f>'3 Statement Model'!O20/'3 Statement Model'!O$13</f>
        <v>7.5999999999999998E-2</v>
      </c>
      <c r="P20" s="499">
        <f>'3 Statement Model'!P20/'3 Statement Model'!P$13</f>
        <v>7.5999999999999998E-2</v>
      </c>
      <c r="Q20" s="499">
        <f>'3 Statement Model'!Q20/'3 Statement Model'!Q$13</f>
        <v>7.5999999999999998E-2</v>
      </c>
      <c r="R20" s="499">
        <f>'3 Statement Model'!R20/'3 Statement Model'!R$13</f>
        <v>7.5999999999999998E-2</v>
      </c>
      <c r="S20" s="499">
        <f>'3 Statement Model'!S20/'3 Statement Model'!S$13</f>
        <v>7.5999999999999998E-2</v>
      </c>
    </row>
    <row r="21" spans="2:19" ht="14.4" customHeight="1">
      <c r="B21" s="58" t="s">
        <v>461</v>
      </c>
      <c r="D21" s="499">
        <f>'3 Statement Model'!D21/'3 Statement Model'!D$13</f>
        <v>9.9384825700615173E-2</v>
      </c>
      <c r="E21" s="499">
        <f>'3 Statement Model'!E21/'3 Statement Model'!E$13</f>
        <v>8.6729622266401588E-2</v>
      </c>
      <c r="F21" s="499">
        <f>'3 Statement Model'!F21/'3 Statement Model'!F$13</f>
        <v>8.3683767872161474E-2</v>
      </c>
      <c r="G21" s="499">
        <f>'3 Statement Model'!G21/'3 Statement Model'!G$13</f>
        <v>8.6235149528881602E-2</v>
      </c>
      <c r="H21" s="499">
        <f>'3 Statement Model'!H21/'3 Statement Model'!H$13</f>
        <v>9.8622189992748369E-2</v>
      </c>
      <c r="I21" s="499">
        <f>'3 Statement Model'!I21/'3 Statement Model'!I$13</f>
        <v>0.10414550826331825</v>
      </c>
      <c r="J21" s="499">
        <f>'3 Statement Model'!J21/'3 Statement Model'!J$13</f>
        <v>0.11500000000000002</v>
      </c>
      <c r="K21" s="499">
        <f>'3 Statement Model'!K21/'3 Statement Model'!K$13</f>
        <v>0.11500000000000002</v>
      </c>
      <c r="L21" s="499">
        <f>'3 Statement Model'!L21/'3 Statement Model'!L$13</f>
        <v>0.115</v>
      </c>
      <c r="M21" s="499">
        <f>'3 Statement Model'!M21/'3 Statement Model'!M$13</f>
        <v>0.115</v>
      </c>
      <c r="N21" s="499">
        <f>'3 Statement Model'!N21/'3 Statement Model'!N$13</f>
        <v>0.11499999999999999</v>
      </c>
      <c r="O21" s="499">
        <f>'3 Statement Model'!O21/'3 Statement Model'!O$13</f>
        <v>0.11500000000000002</v>
      </c>
      <c r="P21" s="499">
        <f>'3 Statement Model'!P21/'3 Statement Model'!P$13</f>
        <v>0.115</v>
      </c>
      <c r="Q21" s="499">
        <f>'3 Statement Model'!Q21/'3 Statement Model'!Q$13</f>
        <v>0.115</v>
      </c>
      <c r="R21" s="499">
        <f>'3 Statement Model'!R21/'3 Statement Model'!R$13</f>
        <v>0.115</v>
      </c>
      <c r="S21" s="499">
        <f>'3 Statement Model'!S21/'3 Statement Model'!S$13</f>
        <v>0.115</v>
      </c>
    </row>
    <row r="22" spans="2:19" ht="14.4" customHeight="1">
      <c r="B22" s="62" t="s">
        <v>462</v>
      </c>
      <c r="D22" s="499">
        <f>'3 Statement Model'!D22/'3 Statement Model'!D$13</f>
        <v>4.0191387559808611E-2</v>
      </c>
      <c r="E22" s="499">
        <f>'3 Statement Model'!E22/'3 Statement Model'!E$13</f>
        <v>3.7897614314115306E-2</v>
      </c>
      <c r="F22" s="499">
        <f>'3 Statement Model'!F22/'3 Statement Model'!F$13</f>
        <v>3.7216148023549202E-2</v>
      </c>
      <c r="G22" s="499">
        <f>'3 Statement Model'!G22/'3 Statement Model'!G$13</f>
        <v>3.9635395329782878E-2</v>
      </c>
      <c r="H22" s="499">
        <f>'3 Statement Model'!H22/'3 Statement Model'!H$13</f>
        <v>4.3095410753133744E-2</v>
      </c>
      <c r="I22" s="499">
        <f>'3 Statement Model'!I22/'3 Statement Model'!I$13</f>
        <v>4.1455082633182531E-2</v>
      </c>
      <c r="J22" s="499">
        <f>'3 Statement Model'!J22/'3 Statement Model'!J$13</f>
        <v>0.04</v>
      </c>
      <c r="K22" s="499">
        <f>'3 Statement Model'!K22/'3 Statement Model'!K$13</f>
        <v>4.0000000000000008E-2</v>
      </c>
      <c r="L22" s="499">
        <f>'3 Statement Model'!L22/'3 Statement Model'!L$13</f>
        <v>0.04</v>
      </c>
      <c r="M22" s="499">
        <f>'3 Statement Model'!M22/'3 Statement Model'!M$13</f>
        <v>0.04</v>
      </c>
      <c r="N22" s="499">
        <f>'3 Statement Model'!N22/'3 Statement Model'!N$13</f>
        <v>0.04</v>
      </c>
      <c r="O22" s="499">
        <f>'3 Statement Model'!O22/'3 Statement Model'!O$13</f>
        <v>0.04</v>
      </c>
      <c r="P22" s="499">
        <f>'3 Statement Model'!P22/'3 Statement Model'!P$13</f>
        <v>0.04</v>
      </c>
      <c r="Q22" s="499">
        <f>'3 Statement Model'!Q22/'3 Statement Model'!Q$13</f>
        <v>0.04</v>
      </c>
      <c r="R22" s="499">
        <f>'3 Statement Model'!R22/'3 Statement Model'!R$13</f>
        <v>0.04</v>
      </c>
      <c r="S22" s="499">
        <f>'3 Statement Model'!S22/'3 Statement Model'!S$13</f>
        <v>0.04</v>
      </c>
    </row>
    <row r="23" spans="2:19" ht="14.4" customHeight="1">
      <c r="B23" s="58" t="s">
        <v>463</v>
      </c>
      <c r="D23" s="499">
        <f>'3 Statement Model'!D23/'3 Statement Model'!D$13</f>
        <v>8.6261107313738802E-2</v>
      </c>
      <c r="E23" s="499">
        <f>'3 Statement Model'!E23/'3 Statement Model'!E$13</f>
        <v>7.4925447316103358E-2</v>
      </c>
      <c r="F23" s="499">
        <f>'3 Statement Model'!F23/'3 Statement Model'!F$13</f>
        <v>6.9280908326324636E-2</v>
      </c>
      <c r="G23" s="499">
        <f>'3 Statement Model'!G23/'3 Statement Model'!G$13</f>
        <v>7.3842687423187212E-2</v>
      </c>
      <c r="H23" s="499">
        <f>'3 Statement Model'!H23/'3 Statement Model'!H$13</f>
        <v>7.956075831347767E-2</v>
      </c>
      <c r="I23" s="499">
        <f>'3 Statement Model'!I23/'3 Statement Model'!I$13</f>
        <v>8.2725510109869824E-2</v>
      </c>
      <c r="J23" s="499">
        <f>'3 Statement Model'!J23/'3 Statement Model'!J$13</f>
        <v>0.08</v>
      </c>
      <c r="K23" s="499">
        <f>'3 Statement Model'!K23/'3 Statement Model'!K$13</f>
        <v>8.0000000000000016E-2</v>
      </c>
      <c r="L23" s="499">
        <f>'3 Statement Model'!L23/'3 Statement Model'!L$13</f>
        <v>0.08</v>
      </c>
      <c r="M23" s="499">
        <f>'3 Statement Model'!M23/'3 Statement Model'!M$13</f>
        <v>0.08</v>
      </c>
      <c r="N23" s="499">
        <f>'3 Statement Model'!N23/'3 Statement Model'!N$13</f>
        <v>0.08</v>
      </c>
      <c r="O23" s="499">
        <f>'3 Statement Model'!O23/'3 Statement Model'!O$13</f>
        <v>0.08</v>
      </c>
      <c r="P23" s="499">
        <f>'3 Statement Model'!P23/'3 Statement Model'!P$13</f>
        <v>0.08</v>
      </c>
      <c r="Q23" s="499">
        <f>'3 Statement Model'!Q23/'3 Statement Model'!Q$13</f>
        <v>0.08</v>
      </c>
      <c r="R23" s="499">
        <f>'3 Statement Model'!R23/'3 Statement Model'!R$13</f>
        <v>0.08</v>
      </c>
      <c r="S23" s="499">
        <f>'3 Statement Model'!S23/'3 Statement Model'!S$13</f>
        <v>0.08</v>
      </c>
    </row>
    <row r="24" spans="2:19" ht="14.4" customHeight="1">
      <c r="B24" s="58"/>
      <c r="D24" s="500"/>
      <c r="E24" s="500"/>
      <c r="F24" s="500"/>
      <c r="G24" s="500"/>
      <c r="H24" s="500"/>
      <c r="I24" s="500"/>
      <c r="J24" s="500"/>
      <c r="K24" s="500"/>
      <c r="L24" s="500"/>
      <c r="M24" s="500"/>
      <c r="N24" s="500"/>
      <c r="O24" s="500"/>
      <c r="P24" s="500"/>
      <c r="Q24" s="500"/>
      <c r="R24" s="500"/>
      <c r="S24" s="500"/>
    </row>
    <row r="25" spans="2:19" ht="14.4" customHeight="1">
      <c r="B25" s="63" t="s">
        <v>59</v>
      </c>
      <c r="C25" s="21"/>
      <c r="D25" s="498">
        <f>'3 Statement Model'!D25/'3 Statement Model'!D$13</f>
        <v>0.19685577580314434</v>
      </c>
      <c r="E25" s="498">
        <f>'3 Statement Model'!E25/'3 Statement Model'!E$13</f>
        <v>0.19905566600397614</v>
      </c>
      <c r="F25" s="498">
        <f>'3 Statement Model'!F25/'3 Statement Model'!F$13</f>
        <v>0.17672413793103448</v>
      </c>
      <c r="G25" s="498">
        <f>'3 Statement Model'!G25/'3 Statement Model'!G$13</f>
        <v>0.18537484637443671</v>
      </c>
      <c r="H25" s="498">
        <f>'3 Statement Model'!H25/'3 Statement Model'!H$13</f>
        <v>0.20988293794675231</v>
      </c>
      <c r="I25" s="498">
        <f>'3 Statement Model'!I25/'3 Statement Model'!I$13</f>
        <v>0.19748868987166468</v>
      </c>
      <c r="J25" s="498">
        <f>'3 Statement Model'!J25/'3 Statement Model'!J$13</f>
        <v>0.16899999999999993</v>
      </c>
      <c r="K25" s="498">
        <f>'3 Statement Model'!K25/'3 Statement Model'!K$13</f>
        <v>0.1689999999999999</v>
      </c>
      <c r="L25" s="498">
        <f>'3 Statement Model'!L25/'3 Statement Model'!L$13</f>
        <v>0.16899999999999996</v>
      </c>
      <c r="M25" s="498">
        <f>'3 Statement Model'!M25/'3 Statement Model'!M$13</f>
        <v>0.18899999999999997</v>
      </c>
      <c r="N25" s="498">
        <f>'3 Statement Model'!N25/'3 Statement Model'!N$13</f>
        <v>0.18899999999999997</v>
      </c>
      <c r="O25" s="498">
        <f>'3 Statement Model'!O25/'3 Statement Model'!O$13</f>
        <v>0.18900000000000003</v>
      </c>
      <c r="P25" s="498">
        <f>'3 Statement Model'!P25/'3 Statement Model'!P$13</f>
        <v>0.18900000000000003</v>
      </c>
      <c r="Q25" s="498">
        <f>'3 Statement Model'!Q25/'3 Statement Model'!Q$13</f>
        <v>0.189</v>
      </c>
      <c r="R25" s="498">
        <f>'3 Statement Model'!R25/'3 Statement Model'!R$13</f>
        <v>0.18899999999999995</v>
      </c>
      <c r="S25" s="498">
        <f>'3 Statement Model'!S25/'3 Statement Model'!S$13</f>
        <v>0.189</v>
      </c>
    </row>
    <row r="26" spans="2:19" ht="14.4" customHeight="1">
      <c r="B26" s="64"/>
      <c r="D26" s="500"/>
      <c r="E26" s="500"/>
      <c r="F26" s="500"/>
      <c r="G26" s="500"/>
      <c r="H26" s="500"/>
      <c r="I26" s="500"/>
      <c r="J26" s="500"/>
      <c r="K26" s="500"/>
      <c r="L26" s="500"/>
      <c r="M26" s="500"/>
      <c r="N26" s="500"/>
      <c r="O26" s="500"/>
      <c r="P26" s="500"/>
      <c r="Q26" s="500"/>
      <c r="R26" s="500"/>
      <c r="S26" s="500"/>
    </row>
    <row r="27" spans="2:19" ht="14.4" customHeight="1">
      <c r="B27" s="419" t="s">
        <v>59</v>
      </c>
      <c r="C27" s="16"/>
      <c r="D27" s="501">
        <v>0.19685577580314434</v>
      </c>
      <c r="E27" s="501">
        <v>0.19905566600397614</v>
      </c>
      <c r="F27" s="501">
        <v>0.17672413793103448</v>
      </c>
      <c r="G27" s="501">
        <v>0.18537484637443671</v>
      </c>
      <c r="H27" s="501">
        <v>0.20988293794675231</v>
      </c>
      <c r="I27" s="501">
        <v>0.19748868987166468</v>
      </c>
      <c r="J27" s="501">
        <v>0.16899999999999993</v>
      </c>
      <c r="K27" s="501">
        <v>0.1689999999999999</v>
      </c>
      <c r="L27" s="501">
        <v>0.16899999999999996</v>
      </c>
      <c r="M27" s="501">
        <v>0.18899999999999997</v>
      </c>
      <c r="N27" s="501">
        <v>0.18899999999999997</v>
      </c>
      <c r="O27" s="501">
        <v>0.18899999999999997</v>
      </c>
      <c r="P27" s="501">
        <v>0.18899999999999997</v>
      </c>
      <c r="Q27" s="501">
        <v>0.18899999999999997</v>
      </c>
      <c r="R27" s="501">
        <v>0.18899999999999997</v>
      </c>
      <c r="S27" s="501">
        <v>0.18899999999999997</v>
      </c>
    </row>
    <row r="28" spans="2:19" ht="14.4" customHeight="1">
      <c r="B28" s="64"/>
      <c r="D28" s="499"/>
      <c r="E28" s="499"/>
      <c r="F28" s="499"/>
      <c r="G28" s="499"/>
      <c r="H28" s="499"/>
      <c r="I28" s="499"/>
      <c r="J28" s="500"/>
      <c r="K28" s="500"/>
      <c r="L28" s="500"/>
      <c r="M28" s="500"/>
      <c r="N28" s="500"/>
      <c r="O28" s="500"/>
      <c r="P28" s="500"/>
      <c r="Q28" s="500"/>
      <c r="R28" s="500"/>
      <c r="S28" s="500"/>
    </row>
    <row r="29" spans="2:19" ht="14.4" customHeight="1">
      <c r="B29" s="64" t="s">
        <v>44</v>
      </c>
      <c r="D29" s="499">
        <f>'3 Statement Model'!D29/'3 Statement Model'!D$13</f>
        <v>1.9138755980861243E-2</v>
      </c>
      <c r="E29" s="499">
        <f>'3 Statement Model'!E29/'3 Statement Model'!E$13</f>
        <v>1.7271371769383696E-2</v>
      </c>
      <c r="F29" s="499">
        <f>'3 Statement Model'!F29/'3 Statement Model'!F$13</f>
        <v>1.4613120269133726E-2</v>
      </c>
      <c r="G29" s="499">
        <f>'3 Statement Model'!G29/'3 Statement Model'!G$13</f>
        <v>1.5874641540352313E-2</v>
      </c>
      <c r="H29" s="499">
        <f>'3 Statement Model'!H29/'3 Statement Model'!H$13</f>
        <v>1.6367968507199834E-2</v>
      </c>
      <c r="I29" s="499">
        <f>'3 Statement Model'!I29/'3 Statement Model'!I$13</f>
        <v>1.6434308928076815E-2</v>
      </c>
      <c r="J29" s="499">
        <f>'3 Statement Model'!J29/'3 Statement Model'!J$13</f>
        <v>1.5482727129891943E-2</v>
      </c>
      <c r="K29" s="499">
        <f>'3 Statement Model'!K29/'3 Statement Model'!K$13</f>
        <v>1.47078359441045E-2</v>
      </c>
      <c r="L29" s="499">
        <f>'3 Statement Model'!L29/'3 Statement Model'!L$13</f>
        <v>1.4082450687998084E-2</v>
      </c>
      <c r="M29" s="499">
        <f>'3 Statement Model'!M29/'3 Statement Model'!M$13</f>
        <v>1.3584400611553853E-2</v>
      </c>
      <c r="N29" s="499">
        <f>'3 Statement Model'!N29/'3 Statement Model'!N$13</f>
        <v>1.1374847541128988E-2</v>
      </c>
      <c r="O29" s="499">
        <f>'3 Statement Model'!O29/'3 Statement Model'!O$13</f>
        <v>1.0350668254223927E-2</v>
      </c>
      <c r="P29" s="499">
        <f>'3 Statement Model'!P29/'3 Statement Model'!P$13</f>
        <v>1.030833475079517E-2</v>
      </c>
      <c r="Q29" s="499">
        <f>'3 Statement Model'!Q29/'3 Statement Model'!Q$13</f>
        <v>1.0337203646543308E-2</v>
      </c>
      <c r="R29" s="499">
        <f>'3 Statement Model'!R29/'3 Statement Model'!R$13</f>
        <v>1.0262979446318429E-2</v>
      </c>
      <c r="S29" s="499">
        <f>'3 Statement Model'!S29/'3 Statement Model'!S$13</f>
        <v>9.9967078389747877E-3</v>
      </c>
    </row>
    <row r="30" spans="2:19" ht="14.4" customHeight="1">
      <c r="B30" s="63" t="s">
        <v>60</v>
      </c>
      <c r="C30" s="20"/>
      <c r="D30" s="498">
        <f>'3 Statement Model'!D30/'3 Statement Model'!D$13</f>
        <v>0.17771701982228311</v>
      </c>
      <c r="E30" s="498">
        <f>'3 Statement Model'!E30/'3 Statement Model'!E$13</f>
        <v>0.18178429423459244</v>
      </c>
      <c r="F30" s="498">
        <f>'3 Statement Model'!F30/'3 Statement Model'!F$13</f>
        <v>0.16211101766190075</v>
      </c>
      <c r="G30" s="498">
        <f>'3 Statement Model'!G30/'3 Statement Model'!G$13</f>
        <v>0.1695002048340844</v>
      </c>
      <c r="H30" s="498">
        <f>'3 Statement Model'!H30/'3 Statement Model'!H$13</f>
        <v>0.19351496943955246</v>
      </c>
      <c r="I30" s="498">
        <f>'3 Statement Model'!I30/'3 Statement Model'!I$13</f>
        <v>0.18105438094358786</v>
      </c>
      <c r="J30" s="498">
        <f>'3 Statement Model'!J30/'3 Statement Model'!J$13</f>
        <v>0.153517272870108</v>
      </c>
      <c r="K30" s="498">
        <f>'3 Statement Model'!K30/'3 Statement Model'!K$13</f>
        <v>0.15429216405589538</v>
      </c>
      <c r="L30" s="498">
        <f>'3 Statement Model'!L30/'3 Statement Model'!L$13</f>
        <v>0.15491754931200188</v>
      </c>
      <c r="M30" s="498">
        <f>'3 Statement Model'!M30/'3 Statement Model'!M$13</f>
        <v>0.17541559938844611</v>
      </c>
      <c r="N30" s="498">
        <f>'3 Statement Model'!N30/'3 Statement Model'!N$13</f>
        <v>0.17762515245887098</v>
      </c>
      <c r="O30" s="498">
        <f>'3 Statement Model'!O30/'3 Statement Model'!O$13</f>
        <v>0.1786493317457761</v>
      </c>
      <c r="P30" s="498">
        <f>'3 Statement Model'!P30/'3 Statement Model'!P$13</f>
        <v>0.17869166524920485</v>
      </c>
      <c r="Q30" s="498">
        <f>'3 Statement Model'!Q30/'3 Statement Model'!Q$13</f>
        <v>0.17866279635345672</v>
      </c>
      <c r="R30" s="498">
        <f>'3 Statement Model'!R30/'3 Statement Model'!R$13</f>
        <v>0.17873702055368151</v>
      </c>
      <c r="S30" s="498">
        <f>'3 Statement Model'!S30/'3 Statement Model'!S$13</f>
        <v>0.17900329216102523</v>
      </c>
    </row>
    <row r="31" spans="2:19" ht="14.4" customHeight="1">
      <c r="B31" s="363"/>
      <c r="C31" s="18"/>
      <c r="D31" s="367"/>
      <c r="E31" s="367"/>
      <c r="F31" s="367"/>
      <c r="G31" s="367"/>
      <c r="H31" s="367"/>
      <c r="I31" s="367"/>
      <c r="J31" s="367"/>
      <c r="K31" s="367"/>
      <c r="L31" s="367"/>
      <c r="M31" s="367"/>
      <c r="N31" s="367"/>
      <c r="O31" s="367"/>
      <c r="P31" s="367"/>
      <c r="Q31" s="367"/>
      <c r="R31" s="367"/>
      <c r="S31" s="367"/>
    </row>
    <row r="32" spans="2:19" ht="14.4" customHeight="1">
      <c r="B32" s="64" t="s">
        <v>110</v>
      </c>
      <c r="C32" s="18"/>
      <c r="D32" s="368">
        <v>0.17771701982228311</v>
      </c>
      <c r="E32" s="368">
        <v>0.18178429423459244</v>
      </c>
      <c r="F32" s="368">
        <v>0.16211101766190075</v>
      </c>
      <c r="G32" s="368">
        <v>0.1695002048340844</v>
      </c>
      <c r="H32" s="368">
        <v>0.19351496943955246</v>
      </c>
      <c r="I32" s="368">
        <v>0.18105438094358786</v>
      </c>
      <c r="J32" s="368">
        <v>0.153517272870108</v>
      </c>
      <c r="K32" s="368">
        <v>0.15429216405589538</v>
      </c>
      <c r="L32" s="368">
        <v>0.15491754931200188</v>
      </c>
      <c r="M32" s="368">
        <v>0.17541559938844611</v>
      </c>
      <c r="N32" s="368">
        <v>0.17755848579220432</v>
      </c>
      <c r="O32" s="368">
        <v>0.17755848579220432</v>
      </c>
      <c r="P32" s="368">
        <v>0.17755848579220432</v>
      </c>
      <c r="Q32" s="368">
        <v>0.17755848579220432</v>
      </c>
      <c r="R32" s="368">
        <v>0.17755848579220432</v>
      </c>
      <c r="S32" s="368">
        <v>0.17755848579220432</v>
      </c>
    </row>
    <row r="33" spans="1:19" ht="14.4" customHeight="1">
      <c r="B33" s="363"/>
      <c r="C33" s="18"/>
      <c r="D33" s="367"/>
      <c r="E33" s="367"/>
      <c r="F33" s="367"/>
      <c r="G33" s="367"/>
      <c r="H33" s="367"/>
      <c r="I33" s="367"/>
      <c r="J33" s="367"/>
      <c r="K33" s="367"/>
      <c r="L33" s="367"/>
      <c r="M33" s="367"/>
      <c r="N33" s="367"/>
      <c r="O33" s="367"/>
      <c r="P33" s="367"/>
      <c r="Q33" s="367"/>
      <c r="R33" s="367"/>
      <c r="S33" s="367"/>
    </row>
    <row r="34" spans="1:19" ht="14.4" customHeight="1">
      <c r="B34" s="57" t="s">
        <v>685</v>
      </c>
      <c r="D34" s="499">
        <f>'3 Statement Model'!D34/'3 Statement Model'!D$13</f>
        <v>6.8352699931647299E-3</v>
      </c>
      <c r="E34" s="499">
        <f>'3 Statement Model'!E34/'3 Statement Model'!E$13</f>
        <v>4.2246520874751493E-3</v>
      </c>
      <c r="F34" s="499">
        <f>'3 Statement Model'!F34/'3 Statement Model'!F$13</f>
        <v>4.1000841042893189E-3</v>
      </c>
      <c r="G34" s="499">
        <f>'3 Statement Model'!G34/'3 Statement Model'!G$13</f>
        <v>5.7353543629659973E-3</v>
      </c>
      <c r="H34" s="499">
        <f>'3 Statement Model'!H34/'3 Statement Model'!H$13</f>
        <v>7.5624158292758731E-3</v>
      </c>
      <c r="I34" s="499">
        <f>'3 Statement Model'!I34/'3 Statement Model'!I$13</f>
        <v>4.8933616471239956E-3</v>
      </c>
      <c r="J34" s="499">
        <f>'3 Statement Model'!J34/'3 Statement Model'!J$13</f>
        <v>4.4184293945092627E-3</v>
      </c>
      <c r="K34" s="499">
        <f>'3 Statement Model'!K34/'3 Statement Model'!K$13</f>
        <v>4.7026431718061677E-3</v>
      </c>
      <c r="L34" s="499">
        <f>'3 Statement Model'!L34/'3 Statement Model'!L$13</f>
        <v>4.0873893805309742E-3</v>
      </c>
      <c r="M34" s="499">
        <f>'3 Statement Model'!M34/'3 Statement Model'!M$13</f>
        <v>3.5416666666666665E-3</v>
      </c>
      <c r="N34" s="499">
        <f>'3 Statement Model'!N34/'3 Statement Model'!N$13</f>
        <v>3.5491071428571429E-3</v>
      </c>
      <c r="O34" s="499">
        <f>'3 Statement Model'!O34/'3 Statement Model'!O$13</f>
        <v>3.2428571428571424E-3</v>
      </c>
      <c r="P34" s="499">
        <f>'3 Statement Model'!P34/'3 Statement Model'!P$13</f>
        <v>2.9631696428571428E-3</v>
      </c>
      <c r="Q34" s="499">
        <f>'3 Statement Model'!Q34/'3 Statement Model'!Q$13</f>
        <v>2.957589285714286E-3</v>
      </c>
      <c r="R34" s="499">
        <f>'3 Statement Model'!R34/'3 Statement Model'!R$13</f>
        <v>2.9575892857142856E-3</v>
      </c>
      <c r="S34" s="499">
        <f>'3 Statement Model'!S34/'3 Statement Model'!S$13</f>
        <v>2.957589285714286E-3</v>
      </c>
    </row>
    <row r="35" spans="1:19" ht="14.4" customHeight="1">
      <c r="B35" s="102" t="s">
        <v>171</v>
      </c>
      <c r="D35" s="499">
        <f>'3 Statement Model'!D35/'3 Statement Model'!D$13</f>
        <v>1.695146958304853E-2</v>
      </c>
      <c r="E35" s="499">
        <f>'3 Statement Model'!E35/'3 Statement Model'!E$13</f>
        <v>1.1679920477137177E-2</v>
      </c>
      <c r="F35" s="499">
        <f>'3 Statement Model'!F35/'3 Statement Model'!F$13</f>
        <v>1.0302775441547519E-2</v>
      </c>
      <c r="G35" s="499">
        <f>'3 Statement Model'!G35/'3 Statement Model'!G$13</f>
        <v>1.4748054076198279E-2</v>
      </c>
      <c r="H35" s="499">
        <f>'3 Statement Model'!H35/'3 Statement Model'!H$13</f>
        <v>1.4710452709002383E-2</v>
      </c>
      <c r="I35" s="499">
        <f>'3 Statement Model'!I35/'3 Statement Model'!I$13</f>
        <v>1.9204136275505494E-2</v>
      </c>
      <c r="J35" s="499">
        <f>'3 Statement Model'!J35/'3 Statement Model'!J$13</f>
        <v>1.4999999999999998E-2</v>
      </c>
      <c r="K35" s="499">
        <f>'3 Statement Model'!K35/'3 Statement Model'!K$13</f>
        <v>1.4999999999999999E-2</v>
      </c>
      <c r="L35" s="499">
        <f>'3 Statement Model'!L35/'3 Statement Model'!L$13</f>
        <v>1.4999999999999999E-2</v>
      </c>
      <c r="M35" s="499">
        <f>'3 Statement Model'!M35/'3 Statement Model'!M$13</f>
        <v>1.5000000000000001E-2</v>
      </c>
      <c r="N35" s="499">
        <f>'3 Statement Model'!N35/'3 Statement Model'!N$13</f>
        <v>1.4999999999999998E-2</v>
      </c>
      <c r="O35" s="499">
        <f>'3 Statement Model'!O35/'3 Statement Model'!O$13</f>
        <v>1.4999999999999999E-2</v>
      </c>
      <c r="P35" s="499">
        <f>'3 Statement Model'!P35/'3 Statement Model'!P$13</f>
        <v>1.4999999999999999E-2</v>
      </c>
      <c r="Q35" s="499">
        <f>'3 Statement Model'!Q35/'3 Statement Model'!Q$13</f>
        <v>1.4999999999999999E-2</v>
      </c>
      <c r="R35" s="499">
        <f>'3 Statement Model'!R35/'3 Statement Model'!R$13</f>
        <v>1.4999999999999999E-2</v>
      </c>
      <c r="S35" s="499">
        <f>'3 Statement Model'!S35/'3 Statement Model'!S$13</f>
        <v>1.4999999999999999E-2</v>
      </c>
    </row>
    <row r="36" spans="1:19" ht="14.4" customHeight="1">
      <c r="B36" s="63" t="s">
        <v>61</v>
      </c>
      <c r="C36" s="20"/>
      <c r="D36" s="498">
        <f>'3 Statement Model'!D36/'3 Statement Model'!D$13</f>
        <v>0.18783321941216691</v>
      </c>
      <c r="E36" s="498">
        <f>'3 Statement Model'!E36/'3 Statement Model'!E$13</f>
        <v>0.18923956262425448</v>
      </c>
      <c r="F36" s="498">
        <f>'3 Statement Model'!F36/'3 Statement Model'!F$13</f>
        <v>0.16831370899915896</v>
      </c>
      <c r="G36" s="498">
        <f>'3 Statement Model'!G36/'3 Statement Model'!G$13</f>
        <v>0.17851290454731666</v>
      </c>
      <c r="H36" s="498">
        <f>'3 Statement Model'!H36/'3 Statement Model'!H$13</f>
        <v>0.20066300631927897</v>
      </c>
      <c r="I36" s="498">
        <f>'3 Statement Model'!I36/'3 Statement Model'!I$13</f>
        <v>0.19536515557196935</v>
      </c>
      <c r="J36" s="498">
        <f>'3 Statement Model'!J36/'3 Statement Model'!J$13</f>
        <v>0.16409884347559875</v>
      </c>
      <c r="K36" s="498">
        <f>'3 Statement Model'!K36/'3 Statement Model'!K$13</f>
        <v>0.16458952088408924</v>
      </c>
      <c r="L36" s="498">
        <f>'3 Statement Model'!L36/'3 Statement Model'!L$13</f>
        <v>0.16583015993147093</v>
      </c>
      <c r="M36" s="498">
        <f>'3 Statement Model'!M36/'3 Statement Model'!M$13</f>
        <v>0.18687393272177943</v>
      </c>
      <c r="N36" s="498">
        <f>'3 Statement Model'!N36/'3 Statement Model'!N$13</f>
        <v>0.18907604531601385</v>
      </c>
      <c r="O36" s="498">
        <f>'3 Statement Model'!O36/'3 Statement Model'!O$13</f>
        <v>0.19040647460291898</v>
      </c>
      <c r="P36" s="498">
        <f>'3 Statement Model'!P36/'3 Statement Model'!P$13</f>
        <v>0.19072849560634769</v>
      </c>
      <c r="Q36" s="498">
        <f>'3 Statement Model'!Q36/'3 Statement Model'!Q$13</f>
        <v>0.19070520706774241</v>
      </c>
      <c r="R36" s="498">
        <f>'3 Statement Model'!R36/'3 Statement Model'!R$13</f>
        <v>0.19077943126796723</v>
      </c>
      <c r="S36" s="498">
        <f>'3 Statement Model'!S36/'3 Statement Model'!S$13</f>
        <v>0.19104570287531092</v>
      </c>
    </row>
    <row r="37" spans="1:19" ht="14.4" customHeight="1">
      <c r="B37" s="58"/>
      <c r="D37" s="500"/>
      <c r="E37" s="500"/>
      <c r="F37" s="500"/>
      <c r="G37" s="500"/>
      <c r="H37" s="500"/>
      <c r="I37" s="500"/>
      <c r="J37" s="500"/>
      <c r="K37" s="500"/>
      <c r="L37" s="500"/>
      <c r="M37" s="500"/>
      <c r="N37" s="500"/>
      <c r="O37" s="500"/>
      <c r="P37" s="500"/>
      <c r="Q37" s="500"/>
      <c r="R37" s="500"/>
      <c r="S37" s="500"/>
    </row>
    <row r="38" spans="1:19" ht="14.4" customHeight="1">
      <c r="B38" s="58" t="s">
        <v>2</v>
      </c>
      <c r="D38" s="499">
        <f>'3 Statement Model'!D38/'3 Statement Model'!D$13</f>
        <v>4.5249487354750512E-2</v>
      </c>
      <c r="E38" s="499">
        <f>'3 Statement Model'!E38/'3 Statement Model'!E$13</f>
        <v>4.0258449304174951E-2</v>
      </c>
      <c r="F38" s="499">
        <f>'3 Statement Model'!F38/'3 Statement Model'!F$13</f>
        <v>3.637510513036165E-2</v>
      </c>
      <c r="G38" s="499">
        <f>'3 Statement Model'!G38/'3 Statement Model'!G$13</f>
        <v>4.3117574764440801E-2</v>
      </c>
      <c r="H38" s="499">
        <f>'3 Statement Model'!H38/'3 Statement Model'!H$13</f>
        <v>4.5063710763493213E-2</v>
      </c>
      <c r="I38" s="499">
        <f>'3 Statement Model'!I38/'3 Statement Model'!I$13</f>
        <v>4.2286030837411136E-2</v>
      </c>
      <c r="J38" s="499">
        <f>'3 Statement Model'!J38/'3 Statement Model'!J$13</f>
        <v>4.1221629481070395E-2</v>
      </c>
      <c r="K38" s="499">
        <f>'3 Statement Model'!K38/'3 Statement Model'!K$13</f>
        <v>4.1344887646083212E-2</v>
      </c>
      <c r="L38" s="499">
        <f>'3 Statement Model'!L38/'3 Statement Model'!L$13</f>
        <v>4.1656536174785493E-2</v>
      </c>
      <c r="M38" s="499">
        <f>'3 Statement Model'!M38/'3 Statement Model'!M$13</f>
        <v>4.6942731899710995E-2</v>
      </c>
      <c r="N38" s="499">
        <f>'3 Statement Model'!N38/'3 Statement Model'!N$13</f>
        <v>4.7495902583382675E-2</v>
      </c>
      <c r="O38" s="499">
        <f>'3 Statement Model'!O38/'3 Statement Model'!O$13</f>
        <v>4.7830106420253239E-2</v>
      </c>
      <c r="P38" s="499">
        <f>'3 Statement Model'!P38/'3 Statement Model'!P$13</f>
        <v>4.7910998096314529E-2</v>
      </c>
      <c r="Q38" s="499">
        <f>'3 Statement Model'!Q38/'3 Statement Model'!Q$13</f>
        <v>4.7905148015416892E-2</v>
      </c>
      <c r="R38" s="499">
        <f>'3 Statement Model'!R38/'3 Statement Model'!R$13</f>
        <v>4.7923793134513365E-2</v>
      </c>
      <c r="S38" s="499">
        <f>'3 Statement Model'!S38/'3 Statement Model'!S$13</f>
        <v>4.79906805622781E-2</v>
      </c>
    </row>
    <row r="39" spans="1:19" ht="14.4" customHeight="1" thickBot="1">
      <c r="B39" s="65" t="s">
        <v>3</v>
      </c>
      <c r="C39" s="66"/>
      <c r="D39" s="402">
        <f>'3 Statement Model'!D39/'3 Statement Model'!D$13</f>
        <v>0.1425837320574164</v>
      </c>
      <c r="E39" s="402">
        <f>'3 Statement Model'!E39/'3 Statement Model'!E$13</f>
        <v>0.14898111332007952</v>
      </c>
      <c r="F39" s="402">
        <f>'3 Statement Model'!F39/'3 Statement Model'!F$13</f>
        <v>0.1319386038687973</v>
      </c>
      <c r="G39" s="402">
        <f>'3 Statement Model'!G39/'3 Statement Model'!G$13</f>
        <v>0.13539532978287588</v>
      </c>
      <c r="H39" s="402">
        <f>'3 Statement Model'!H39/'3 Statement Model'!H$13</f>
        <v>0.15559929555578578</v>
      </c>
      <c r="I39" s="402">
        <f>'3 Statement Model'!I39/'3 Statement Model'!I$13</f>
        <v>0.1530791247345582</v>
      </c>
      <c r="J39" s="402">
        <f>'3 Statement Model'!J39/'3 Statement Model'!J$13</f>
        <v>0.12287721399452833</v>
      </c>
      <c r="K39" s="402">
        <f>'3 Statement Model'!K39/'3 Statement Model'!K$13</f>
        <v>0.12324463323800602</v>
      </c>
      <c r="L39" s="402">
        <f>'3 Statement Model'!L39/'3 Statement Model'!L$13</f>
        <v>0.12417362375668545</v>
      </c>
      <c r="M39" s="402">
        <f>'3 Statement Model'!M39/'3 Statement Model'!M$13</f>
        <v>0.13993120082206845</v>
      </c>
      <c r="N39" s="402">
        <f>'3 Statement Model'!N39/'3 Statement Model'!N$13</f>
        <v>0.14158014273263117</v>
      </c>
      <c r="O39" s="402">
        <f>'3 Statement Model'!O39/'3 Statement Model'!O$13</f>
        <v>0.14257636818266575</v>
      </c>
      <c r="P39" s="402">
        <f>'3 Statement Model'!P39/'3 Statement Model'!P$13</f>
        <v>0.14281749751003317</v>
      </c>
      <c r="Q39" s="402">
        <f>'3 Statement Model'!Q39/'3 Statement Model'!Q$13</f>
        <v>0.14280005905232551</v>
      </c>
      <c r="R39" s="402">
        <f>'3 Statement Model'!R39/'3 Statement Model'!R$13</f>
        <v>0.14285563813345387</v>
      </c>
      <c r="S39" s="402">
        <f>'3 Statement Model'!S39/'3 Statement Model'!S$13</f>
        <v>0.14305502231303283</v>
      </c>
    </row>
    <row r="40" spans="1:19" ht="14.4" customHeight="1">
      <c r="D40" s="46"/>
      <c r="E40" s="46"/>
      <c r="F40" s="46"/>
      <c r="G40" s="46"/>
      <c r="H40" s="46"/>
      <c r="I40" s="46"/>
      <c r="J40" s="46"/>
      <c r="K40" s="46"/>
      <c r="L40" s="46"/>
      <c r="M40" s="46"/>
      <c r="N40" s="46"/>
      <c r="O40" s="46"/>
      <c r="P40" s="46"/>
      <c r="Q40" s="46"/>
      <c r="R40" s="46"/>
      <c r="S40" s="46"/>
    </row>
    <row r="41" spans="1:19" ht="14.4" customHeight="1">
      <c r="B41" s="16" t="s">
        <v>65</v>
      </c>
      <c r="C41" s="16"/>
      <c r="D41" s="183" t="s">
        <v>776</v>
      </c>
      <c r="E41" s="48">
        <v>0.10020505809979485</v>
      </c>
      <c r="F41" s="48">
        <v>0.18190854870775341</v>
      </c>
      <c r="G41" s="48">
        <v>2.6492851135407891E-2</v>
      </c>
      <c r="H41" s="48">
        <v>-1.1368291683736209E-2</v>
      </c>
      <c r="I41" s="48">
        <v>0.12203460064228744</v>
      </c>
      <c r="J41" s="48">
        <v>0.14000000000000012</v>
      </c>
      <c r="K41" s="48">
        <v>0.13500000000000001</v>
      </c>
      <c r="L41" s="48">
        <v>0.12999999999999989</v>
      </c>
      <c r="M41" s="48">
        <v>0.125</v>
      </c>
      <c r="N41" s="48">
        <v>0.12000000000000011</v>
      </c>
      <c r="O41" s="48">
        <v>0.12000000000000011</v>
      </c>
      <c r="P41" s="48">
        <v>0.12000000000000011</v>
      </c>
      <c r="Q41" s="48">
        <v>0.12000000000000011</v>
      </c>
      <c r="R41" s="48">
        <v>0.12000000000000011</v>
      </c>
      <c r="S41" s="48">
        <v>0.12000000000000011</v>
      </c>
    </row>
    <row r="42" spans="1:19" ht="14.4" customHeight="1">
      <c r="B42" s="16" t="s">
        <v>66</v>
      </c>
      <c r="C42" s="16"/>
      <c r="D42" s="48">
        <v>0.48803827751196172</v>
      </c>
      <c r="E42" s="48">
        <v>0.46943339960238567</v>
      </c>
      <c r="F42" s="48">
        <v>0.42851135407905805</v>
      </c>
      <c r="G42" s="48">
        <v>0.45196640721015979</v>
      </c>
      <c r="H42" s="48">
        <v>0.50813218688490625</v>
      </c>
      <c r="I42" s="48">
        <v>0.50253900840180965</v>
      </c>
      <c r="J42" s="48">
        <v>0.47999999999999993</v>
      </c>
      <c r="K42" s="48">
        <v>0.48</v>
      </c>
      <c r="L42" s="48">
        <v>0.48</v>
      </c>
      <c r="M42" s="48">
        <v>0.5</v>
      </c>
      <c r="N42" s="48">
        <v>0.5</v>
      </c>
      <c r="O42" s="48">
        <v>0.5</v>
      </c>
      <c r="P42" s="48">
        <v>0.5</v>
      </c>
      <c r="Q42" s="48">
        <v>0.5</v>
      </c>
      <c r="R42" s="48">
        <v>0.5</v>
      </c>
      <c r="S42" s="48">
        <v>0.5</v>
      </c>
    </row>
    <row r="43" spans="1:19" ht="14.4" customHeight="1">
      <c r="B43" s="16" t="s">
        <v>67</v>
      </c>
      <c r="C43" s="16"/>
      <c r="D43" s="48">
        <v>0.19685577580314434</v>
      </c>
      <c r="E43" s="48">
        <v>0.19905566600397614</v>
      </c>
      <c r="F43" s="48">
        <v>0.17672413793103448</v>
      </c>
      <c r="G43" s="48">
        <v>0.18537484637443671</v>
      </c>
      <c r="H43" s="48">
        <v>0.20988293794675231</v>
      </c>
      <c r="I43" s="48">
        <v>0.19748868987166468</v>
      </c>
      <c r="J43" s="48">
        <v>0.16899999999999993</v>
      </c>
      <c r="K43" s="48">
        <v>0.1689999999999999</v>
      </c>
      <c r="L43" s="48">
        <v>0.16899999999999996</v>
      </c>
      <c r="M43" s="48">
        <v>0.18899999999999997</v>
      </c>
      <c r="N43" s="48">
        <v>0.18899999999999997</v>
      </c>
      <c r="O43" s="48">
        <v>0.18899999999999997</v>
      </c>
      <c r="P43" s="48">
        <v>0.18899999999999997</v>
      </c>
      <c r="Q43" s="48">
        <v>0.18899999999999997</v>
      </c>
      <c r="R43" s="48">
        <v>0.18899999999999997</v>
      </c>
      <c r="S43" s="48">
        <v>0.18899999999999997</v>
      </c>
    </row>
    <row r="44" spans="1:19" ht="14.4" customHeight="1">
      <c r="B44" s="16" t="s">
        <v>68</v>
      </c>
      <c r="C44" s="16"/>
      <c r="D44" s="48">
        <v>0.17771701982228311</v>
      </c>
      <c r="E44" s="48">
        <v>0.18178429423459244</v>
      </c>
      <c r="F44" s="48">
        <v>0.16211101766190075</v>
      </c>
      <c r="G44" s="48">
        <v>0.1695002048340844</v>
      </c>
      <c r="H44" s="48">
        <v>0.19351496943955246</v>
      </c>
      <c r="I44" s="48">
        <v>0.18105438094358786</v>
      </c>
      <c r="J44" s="48">
        <v>0.153517272870108</v>
      </c>
      <c r="K44" s="48">
        <v>0.15429216405589538</v>
      </c>
      <c r="L44" s="48">
        <v>0.15491754931200188</v>
      </c>
      <c r="M44" s="48">
        <v>0.17541559938844611</v>
      </c>
      <c r="N44" s="48">
        <v>0.17755848579220432</v>
      </c>
      <c r="O44" s="48">
        <v>0.17755848579220432</v>
      </c>
      <c r="P44" s="48">
        <v>0.17755848579220432</v>
      </c>
      <c r="Q44" s="48">
        <v>0.17755848579220432</v>
      </c>
      <c r="R44" s="48">
        <v>0.17755848579220432</v>
      </c>
      <c r="S44" s="48">
        <v>0.17755848579220432</v>
      </c>
    </row>
    <row r="45" spans="1:19" ht="14.4" customHeight="1">
      <c r="B45" s="16" t="s">
        <v>69</v>
      </c>
      <c r="C45" s="16"/>
      <c r="D45" s="48">
        <v>0.24090247452692851</v>
      </c>
      <c r="E45" s="48">
        <v>0.21273801707156928</v>
      </c>
      <c r="F45" s="48">
        <v>0.21611492816989381</v>
      </c>
      <c r="G45" s="48">
        <v>0.24153757888697647</v>
      </c>
      <c r="H45" s="48">
        <v>0.22457408363448633</v>
      </c>
      <c r="I45" s="48">
        <v>0.21644612476370512</v>
      </c>
      <c r="J45" s="48">
        <v>0.25</v>
      </c>
      <c r="K45" s="48">
        <v>0.25</v>
      </c>
      <c r="L45" s="48">
        <v>0.25</v>
      </c>
      <c r="M45" s="48">
        <v>0.25</v>
      </c>
      <c r="N45" s="48">
        <v>0.25</v>
      </c>
      <c r="O45" s="48">
        <v>0.25</v>
      </c>
      <c r="P45" s="48">
        <v>0.25</v>
      </c>
      <c r="Q45" s="48">
        <v>0.25</v>
      </c>
      <c r="R45" s="48">
        <v>0.25</v>
      </c>
      <c r="S45" s="48">
        <v>0.25</v>
      </c>
    </row>
    <row r="46" spans="1:19" ht="14.4" customHeight="1">
      <c r="B46" s="16" t="s">
        <v>70</v>
      </c>
      <c r="C46" s="16"/>
      <c r="D46" s="48">
        <v>0.1425837320574164</v>
      </c>
      <c r="E46" s="48">
        <v>0.14898111332007952</v>
      </c>
      <c r="F46" s="48">
        <v>0.1319386038687973</v>
      </c>
      <c r="G46" s="48">
        <v>0.13539532978287588</v>
      </c>
      <c r="H46" s="48">
        <v>0.15559929555578578</v>
      </c>
      <c r="I46" s="48">
        <v>0.1530791247345582</v>
      </c>
      <c r="J46" s="48">
        <v>0.12294157972486378</v>
      </c>
      <c r="K46" s="48">
        <v>0.12330106136791276</v>
      </c>
      <c r="L46" s="48">
        <v>0.12424999826718727</v>
      </c>
      <c r="M46" s="48">
        <v>0.14004919954133457</v>
      </c>
      <c r="N46" s="48">
        <v>0.14165056077272467</v>
      </c>
      <c r="O46" s="48">
        <v>0.14165056077272467</v>
      </c>
      <c r="P46" s="48">
        <v>0.14165056077272467</v>
      </c>
      <c r="Q46" s="48">
        <v>0.14165056077272467</v>
      </c>
      <c r="R46" s="48">
        <v>0.14165056077272467</v>
      </c>
      <c r="S46" s="48">
        <v>0.14165056077272467</v>
      </c>
    </row>
    <row r="47" spans="1:19" ht="14.4" customHeight="1">
      <c r="D47" s="46"/>
      <c r="E47" s="46"/>
      <c r="F47" s="46"/>
      <c r="G47" s="46"/>
      <c r="H47" s="46"/>
      <c r="I47" s="46"/>
      <c r="J47" s="46"/>
      <c r="K47" s="46"/>
      <c r="L47" s="46"/>
      <c r="M47" s="46"/>
      <c r="N47" s="46"/>
      <c r="O47" s="46"/>
      <c r="P47" s="46"/>
      <c r="Q47" s="46"/>
      <c r="R47" s="46"/>
      <c r="S47" s="46"/>
    </row>
    <row r="48" spans="1:19" s="7" customFormat="1" ht="18" customHeight="1">
      <c r="A48" s="7" t="s">
        <v>21</v>
      </c>
      <c r="B48" s="25" t="s">
        <v>72</v>
      </c>
      <c r="C48" s="67"/>
      <c r="D48" s="184"/>
      <c r="E48" s="184"/>
      <c r="F48" s="184"/>
      <c r="G48" s="184"/>
      <c r="H48" s="184"/>
      <c r="I48" s="184"/>
      <c r="J48" s="184"/>
      <c r="K48" s="184"/>
      <c r="L48" s="184"/>
      <c r="M48" s="184"/>
      <c r="N48" s="184"/>
      <c r="O48" s="184"/>
      <c r="P48" s="184"/>
      <c r="Q48" s="184"/>
      <c r="R48" s="184"/>
      <c r="S48" s="184"/>
    </row>
    <row r="49" spans="2:19" ht="14.4" customHeight="1">
      <c r="D49" s="46"/>
      <c r="E49" s="46"/>
      <c r="F49" s="46"/>
      <c r="G49" s="46"/>
      <c r="H49" s="194"/>
      <c r="I49" s="46"/>
      <c r="J49" s="46"/>
      <c r="K49" s="46"/>
      <c r="L49" s="46"/>
      <c r="M49" s="46"/>
      <c r="N49" s="46"/>
      <c r="O49" s="46"/>
      <c r="P49" s="46"/>
      <c r="Q49" s="46"/>
      <c r="R49" s="46"/>
      <c r="S49" s="46"/>
    </row>
    <row r="50" spans="2:19" ht="14.4" customHeight="1">
      <c r="B50" s="495" t="s">
        <v>4</v>
      </c>
      <c r="C50" s="2"/>
      <c r="D50" s="185"/>
      <c r="E50" s="185"/>
      <c r="F50" s="185"/>
      <c r="G50" s="185"/>
      <c r="H50" s="185"/>
      <c r="I50" s="185"/>
      <c r="J50" s="185"/>
      <c r="K50" s="185"/>
      <c r="L50" s="185"/>
      <c r="M50" s="185"/>
      <c r="N50" s="185"/>
      <c r="O50" s="185"/>
      <c r="P50" s="185"/>
      <c r="Q50" s="185"/>
      <c r="R50" s="185"/>
      <c r="S50" s="185"/>
    </row>
    <row r="51" spans="2:19" ht="14.4" customHeight="1">
      <c r="B51" s="61"/>
      <c r="C51" s="2"/>
      <c r="D51" s="185"/>
      <c r="E51" s="185"/>
      <c r="F51" s="185"/>
      <c r="G51" s="185"/>
      <c r="H51" s="185"/>
      <c r="I51" s="185"/>
      <c r="J51" s="185"/>
      <c r="K51" s="185"/>
      <c r="L51" s="185"/>
      <c r="M51" s="185"/>
      <c r="N51" s="185"/>
      <c r="O51" s="185"/>
      <c r="P51" s="185"/>
      <c r="Q51" s="185"/>
      <c r="R51" s="185"/>
      <c r="S51" s="185"/>
    </row>
    <row r="52" spans="2:19" ht="14.4" customHeight="1">
      <c r="B52" s="61" t="s">
        <v>669</v>
      </c>
      <c r="C52" s="2"/>
      <c r="D52" s="185"/>
      <c r="E52" s="185"/>
      <c r="F52" s="185"/>
      <c r="G52" s="185"/>
      <c r="H52" s="185"/>
      <c r="I52" s="185"/>
      <c r="J52" s="185"/>
      <c r="K52" s="185"/>
      <c r="L52" s="185"/>
      <c r="M52" s="185"/>
      <c r="N52" s="185"/>
      <c r="O52" s="185"/>
      <c r="P52" s="185"/>
      <c r="Q52" s="185"/>
      <c r="R52" s="185"/>
      <c r="S52" s="185"/>
    </row>
    <row r="53" spans="2:19" ht="14.4" customHeight="1">
      <c r="B53" s="58" t="s">
        <v>653</v>
      </c>
      <c r="C53" s="2"/>
      <c r="D53" s="503">
        <f>'3 Statement Model'!D54/'3 Statement Model'!D$74</f>
        <v>0.13074770091963211</v>
      </c>
      <c r="E53" s="503">
        <f>'3 Statement Model'!E54/'3 Statement Model'!E$74</f>
        <v>0.10381125226860252</v>
      </c>
      <c r="F53" s="503">
        <f>'3 Statement Model'!F54/'3 Statement Model'!F$74</f>
        <v>0.10369858278603523</v>
      </c>
      <c r="G53" s="503">
        <f>'3 Statement Model'!G54/'3 Statement Model'!G$74</f>
        <v>9.1131586524618474E-2</v>
      </c>
      <c r="H53" s="503">
        <f>'3 Statement Model'!H54/'3 Statement Model'!H$74</f>
        <v>9.4326910119929913E-2</v>
      </c>
      <c r="I53" s="503">
        <f>'3 Statement Model'!I54/'3 Statement Model'!I$74</f>
        <v>8.5152314703765886E-2</v>
      </c>
      <c r="J53" s="503">
        <f>'3 Statement Model'!J54/'3 Statement Model'!J$74</f>
        <v>8.725932095952231E-2</v>
      </c>
      <c r="K53" s="503">
        <f>'3 Statement Model'!K54/'3 Statement Model'!K$74</f>
        <v>8.9354885730289255E-2</v>
      </c>
      <c r="L53" s="503">
        <f>'3 Statement Model'!L54/'3 Statement Model'!L$74</f>
        <v>9.3721620708631118E-2</v>
      </c>
      <c r="M53" s="503">
        <f>'3 Statement Model'!M54/'3 Statement Model'!M$74</f>
        <v>9.6960860086092435E-2</v>
      </c>
      <c r="N53" s="503">
        <f>'3 Statement Model'!N54/'3 Statement Model'!N$74</f>
        <v>0.10003353886167801</v>
      </c>
      <c r="O53" s="503">
        <f>'3 Statement Model'!O54/'3 Statement Model'!O$74</f>
        <v>0.10334168471223659</v>
      </c>
      <c r="P53" s="503">
        <f>'3 Statement Model'!P54/'3 Statement Model'!P$74</f>
        <v>0.10810003701526631</v>
      </c>
      <c r="Q53" s="503">
        <f>'3 Statement Model'!Q54/'3 Statement Model'!Q$74</f>
        <v>0.1140449116792718</v>
      </c>
      <c r="R53" s="503">
        <f>'3 Statement Model'!R54/'3 Statement Model'!R$74</f>
        <v>0.11677127116662893</v>
      </c>
      <c r="S53" s="503">
        <f>'3 Statement Model'!S54/'3 Statement Model'!S$74</f>
        <v>0.11355995070371931</v>
      </c>
    </row>
    <row r="54" spans="2:19" ht="14.4" customHeight="1">
      <c r="B54" s="58" t="s">
        <v>179</v>
      </c>
      <c r="C54" s="2"/>
      <c r="D54" s="503">
        <f>'3 Statement Model'!D55/'3 Statement Model'!D$74</f>
        <v>1.1595361855257894E-2</v>
      </c>
      <c r="E54" s="503">
        <f>'3 Statement Model'!E55/'3 Statement Model'!E$74</f>
        <v>4.3557168784029033E-3</v>
      </c>
      <c r="F54" s="503">
        <f>'3 Statement Model'!F55/'3 Statement Model'!F$74</f>
        <v>6.7404078810922906E-3</v>
      </c>
      <c r="G54" s="503">
        <f>'3 Statement Model'!G55/'3 Statement Model'!G$74</f>
        <v>9.6458393319896335E-3</v>
      </c>
      <c r="H54" s="503">
        <f>'3 Statement Model'!H55/'3 Statement Model'!H$74</f>
        <v>5.9291200646813093E-3</v>
      </c>
      <c r="I54" s="503">
        <f>'3 Statement Model'!I55/'3 Statement Model'!I$74</f>
        <v>4.7973135044375153E-3</v>
      </c>
      <c r="J54" s="503">
        <f>'3 Statement Model'!J55/'3 Statement Model'!J$74</f>
        <v>4.4726181866785461E-3</v>
      </c>
      <c r="K54" s="503">
        <f>'3 Statement Model'!K55/'3 Statement Model'!K$74</f>
        <v>4.1440156995719716E-3</v>
      </c>
      <c r="L54" s="503">
        <f>'3 Statement Model'!L55/'3 Statement Model'!L$74</f>
        <v>3.9178736893722378E-3</v>
      </c>
      <c r="M54" s="503">
        <f>'3 Statement Model'!M55/'3 Statement Model'!M$74</f>
        <v>3.6454965559065879E-3</v>
      </c>
      <c r="N54" s="503">
        <f>'3 Statement Model'!N55/'3 Statement Model'!N$74</f>
        <v>3.4339447862876422E-3</v>
      </c>
      <c r="O54" s="503">
        <f>'3 Statement Model'!O55/'3 Statement Model'!O$74</f>
        <v>3.2290884320750101E-3</v>
      </c>
      <c r="P54" s="503">
        <f>'3 Statement Model'!P55/'3 Statement Model'!P$74</f>
        <v>3.0161952248735371E-3</v>
      </c>
      <c r="Q54" s="503">
        <f>'3 Statement Model'!Q55/'3 Statement Model'!Q$74</f>
        <v>2.7962909355649457E-3</v>
      </c>
      <c r="R54" s="503">
        <f>'3 Statement Model'!R55/'3 Statement Model'!R$74</f>
        <v>2.5851487004446422E-3</v>
      </c>
      <c r="S54" s="503">
        <f>'3 Statement Model'!S55/'3 Statement Model'!S$74</f>
        <v>2.3834231766724679E-3</v>
      </c>
    </row>
    <row r="55" spans="2:19" ht="14.4" customHeight="1">
      <c r="B55" s="58" t="s">
        <v>180</v>
      </c>
      <c r="C55" s="2"/>
      <c r="D55" s="503">
        <f>'3 Statement Model'!D56/'3 Statement Model'!D$74</f>
        <v>2.9188324670131941E-2</v>
      </c>
      <c r="E55" s="503">
        <f>'3 Statement Model'!E56/'3 Statement Model'!E$74</f>
        <v>3.2667876588021776E-2</v>
      </c>
      <c r="F55" s="503">
        <f>'3 Statement Model'!F56/'3 Statement Model'!F$74</f>
        <v>3.0763912893190457E-2</v>
      </c>
      <c r="G55" s="503">
        <f>'3 Statement Model'!G56/'3 Statement Model'!G$74</f>
        <v>2.5194356464152027E-2</v>
      </c>
      <c r="H55" s="503">
        <f>'3 Statement Model'!H56/'3 Statement Model'!H$74</f>
        <v>2.8163320307236218E-2</v>
      </c>
      <c r="I55" s="503">
        <f>'3 Statement Model'!I56/'3 Statement Model'!I$74</f>
        <v>2.7584552650515713E-2</v>
      </c>
      <c r="J55" s="503">
        <f>'3 Statement Model'!J56/'3 Statement Model'!J$74</f>
        <v>1.9791335476052566E-2</v>
      </c>
      <c r="K55" s="503">
        <f>'3 Statement Model'!K56/'3 Statement Model'!K$74</f>
        <v>1.2846448668673113E-2</v>
      </c>
      <c r="L55" s="503">
        <f>'3 Statement Model'!L56/'3 Statement Model'!L$74</f>
        <v>6.9542257986357214E-3</v>
      </c>
      <c r="M55" s="503">
        <f>'3 Statement Model'!M56/'3 Statement Model'!M$74</f>
        <v>1.6404734501579647E-3</v>
      </c>
      <c r="N55" s="503">
        <f>'3 Statement Model'!N56/'3 Statement Model'!N$74</f>
        <v>0</v>
      </c>
      <c r="O55" s="503">
        <f>'3 Statement Model'!O56/'3 Statement Model'!O$74</f>
        <v>0</v>
      </c>
      <c r="P55" s="503">
        <f>'3 Statement Model'!P56/'3 Statement Model'!P$74</f>
        <v>0</v>
      </c>
      <c r="Q55" s="503">
        <f>'3 Statement Model'!Q56/'3 Statement Model'!Q$74</f>
        <v>0</v>
      </c>
      <c r="R55" s="503">
        <f>'3 Statement Model'!R56/'3 Statement Model'!R$74</f>
        <v>0</v>
      </c>
      <c r="S55" s="503">
        <f>'3 Statement Model'!S56/'3 Statement Model'!S$74</f>
        <v>0</v>
      </c>
    </row>
    <row r="56" spans="2:19" ht="14.4" customHeight="1">
      <c r="B56" s="58" t="s">
        <v>654</v>
      </c>
      <c r="C56" s="2"/>
      <c r="D56" s="503">
        <f>'3 Statement Model'!D57/'3 Statement Model'!D$74</f>
        <v>3.3986405437824866E-3</v>
      </c>
      <c r="E56" s="503">
        <f>'3 Statement Model'!E57/'3 Statement Model'!E$74</f>
        <v>3.0852994555353899E-3</v>
      </c>
      <c r="F56" s="503">
        <f>'3 Statement Model'!F57/'3 Statement Model'!F$74</f>
        <v>3.8022813688212923E-3</v>
      </c>
      <c r="G56" s="503">
        <f>'3 Statement Model'!G57/'3 Statement Model'!G$74</f>
        <v>2.3034840195796137E-3</v>
      </c>
      <c r="H56" s="503">
        <f>'3 Statement Model'!H57/'3 Statement Model'!H$74</f>
        <v>2.0212909311413552E-3</v>
      </c>
      <c r="I56" s="503">
        <f>'3 Statement Model'!I57/'3 Statement Model'!I$74</f>
        <v>1.798992564164068E-3</v>
      </c>
      <c r="J56" s="503">
        <f>'3 Statement Model'!J57/'3 Statement Model'!J$74</f>
        <v>1.6772318200044549E-3</v>
      </c>
      <c r="K56" s="503">
        <f>'3 Statement Model'!K57/'3 Statement Model'!K$74</f>
        <v>1.5540058873394894E-3</v>
      </c>
      <c r="L56" s="503">
        <f>'3 Statement Model'!L57/'3 Statement Model'!L$74</f>
        <v>1.4692026335145891E-3</v>
      </c>
      <c r="M56" s="503">
        <f>'3 Statement Model'!M57/'3 Statement Model'!M$74</f>
        <v>1.3670612084649705E-3</v>
      </c>
      <c r="N56" s="503">
        <f>'3 Statement Model'!N57/'3 Statement Model'!N$74</f>
        <v>1.2877292948578658E-3</v>
      </c>
      <c r="O56" s="503">
        <f>'3 Statement Model'!O57/'3 Statement Model'!O$74</f>
        <v>1.2109081620281289E-3</v>
      </c>
      <c r="P56" s="503">
        <f>'3 Statement Model'!P57/'3 Statement Model'!P$74</f>
        <v>1.1310732093275763E-3</v>
      </c>
      <c r="Q56" s="503">
        <f>'3 Statement Model'!Q57/'3 Statement Model'!Q$74</f>
        <v>1.0486091008368548E-3</v>
      </c>
      <c r="R56" s="503">
        <f>'3 Statement Model'!R57/'3 Statement Model'!R$74</f>
        <v>9.6943076266674082E-4</v>
      </c>
      <c r="S56" s="503">
        <f>'3 Statement Model'!S57/'3 Statement Model'!S$74</f>
        <v>8.937836912521755E-4</v>
      </c>
    </row>
    <row r="57" spans="2:19" ht="14.4" customHeight="1">
      <c r="B57" s="58" t="s">
        <v>11</v>
      </c>
      <c r="C57" s="2"/>
      <c r="D57" s="503">
        <f>'3 Statement Model'!D58/'3 Statement Model'!D$74</f>
        <v>0.10755697720911633</v>
      </c>
      <c r="E57" s="503">
        <f>'3 Statement Model'!E58/'3 Statement Model'!E$74</f>
        <v>0.11125226860254081</v>
      </c>
      <c r="F57" s="503">
        <f>'3 Statement Model'!F58/'3 Statement Model'!F$74</f>
        <v>0.11303145523677842</v>
      </c>
      <c r="G57" s="503">
        <f>'3 Statement Model'!G58/'3 Statement Model'!G$74</f>
        <v>0.1241002015548517</v>
      </c>
      <c r="H57" s="503">
        <f>'3 Statement Model'!H58/'3 Statement Model'!H$74</f>
        <v>0.11629160490499932</v>
      </c>
      <c r="I57" s="503">
        <f>'3 Statement Model'!I58/'3 Statement Model'!I$74</f>
        <v>0.10278244183257376</v>
      </c>
      <c r="J57" s="503">
        <f>'3 Statement Model'!J58/'3 Statement Model'!J$74</f>
        <v>9.5825844649587849E-2</v>
      </c>
      <c r="K57" s="503">
        <f>'3 Statement Model'!K58/'3 Statement Model'!K$74</f>
        <v>8.878553636332949E-2</v>
      </c>
      <c r="L57" s="503">
        <f>'3 Statement Model'!L58/'3 Statement Model'!L$74</f>
        <v>8.3940443794800187E-2</v>
      </c>
      <c r="M57" s="503">
        <f>'3 Statement Model'!M58/'3 Statement Model'!M$74</f>
        <v>7.8104763710298647E-2</v>
      </c>
      <c r="N57" s="503">
        <f>'3 Statement Model'!N58/'3 Statement Model'!N$74</f>
        <v>7.3572267046212739E-2</v>
      </c>
      <c r="O57" s="503">
        <f>'3 Statement Model'!O58/'3 Statement Model'!O$74</f>
        <v>6.9183219657207098E-2</v>
      </c>
      <c r="P57" s="503">
        <f>'3 Statement Model'!P58/'3 Statement Model'!P$74</f>
        <v>6.4621982692915539E-2</v>
      </c>
      <c r="Q57" s="503">
        <f>'3 Statement Model'!Q58/'3 Statement Model'!Q$74</f>
        <v>5.9910533294478964E-2</v>
      </c>
      <c r="R57" s="503">
        <f>'3 Statement Model'!R58/'3 Statement Model'!R$74</f>
        <v>5.5386810907026456E-2</v>
      </c>
      <c r="S57" s="503">
        <f>'3 Statement Model'!S58/'3 Statement Model'!S$74</f>
        <v>5.1064841560207623E-2</v>
      </c>
    </row>
    <row r="58" spans="2:19" ht="14.4" customHeight="1">
      <c r="B58" s="58" t="s">
        <v>551</v>
      </c>
      <c r="C58" s="2"/>
      <c r="D58" s="503">
        <f>'3 Statement Model'!D59/'3 Statement Model'!D$74</f>
        <v>1.3994402239104356E-2</v>
      </c>
      <c r="E58" s="503">
        <f>'3 Statement Model'!E59/'3 Statement Model'!E$74</f>
        <v>4.1742286751361157E-2</v>
      </c>
      <c r="F58" s="503">
        <f>'3 Statement Model'!F59/'3 Statement Model'!F$74</f>
        <v>5.2886277220877971E-2</v>
      </c>
      <c r="G58" s="503">
        <f>'3 Statement Model'!G59/'3 Statement Model'!G$74</f>
        <v>8.0621940685286483E-2</v>
      </c>
      <c r="H58" s="503">
        <f>'3 Statement Model'!H59/'3 Statement Model'!H$74</f>
        <v>0.12626330683196332</v>
      </c>
      <c r="I58" s="503">
        <f>'3 Statement Model'!I59/'3 Statement Model'!I$74</f>
        <v>0.11345646437994723</v>
      </c>
      <c r="J58" s="503">
        <f>'3 Statement Model'!J59/'3 Statement Model'!J$74</f>
        <v>0.10454745011361102</v>
      </c>
      <c r="K58" s="503">
        <f>'3 Statement Model'!K59/'3 Statement Model'!K$74</f>
        <v>9.5726762660112555E-2</v>
      </c>
      <c r="L58" s="503">
        <f>'3 Statement Model'!L59/'3 Statement Model'!L$74</f>
        <v>8.9425466959921318E-2</v>
      </c>
      <c r="M58" s="503">
        <f>'3 Statement Model'!M59/'3 Statement Model'!M$74</f>
        <v>8.2205947335693558E-2</v>
      </c>
      <c r="N58" s="503">
        <f>'3 Statement Model'!N59/'3 Statement Model'!N$74</f>
        <v>7.6491120114557234E-2</v>
      </c>
      <c r="O58" s="503">
        <f>'3 Statement Model'!O59/'3 Statement Model'!O$74</f>
        <v>7.1039945505650223E-2</v>
      </c>
      <c r="P58" s="503">
        <f>'3 Statement Model'!P59/'3 Statement Model'!P$74</f>
        <v>6.5526841260377597E-2</v>
      </c>
      <c r="Q58" s="503">
        <f>'3 Statement Model'!Q59/'3 Statement Model'!Q$74</f>
        <v>5.9980440567868089E-2</v>
      </c>
      <c r="R58" s="503">
        <f>'3 Statement Model'!R59/'3 Statement Model'!R$74</f>
        <v>5.4740523731915298E-2</v>
      </c>
      <c r="S58" s="503">
        <f>'3 Statement Model'!S59/'3 Statement Model'!S$74</f>
        <v>4.9813544392454577E-2</v>
      </c>
    </row>
    <row r="59" spans="2:19" ht="14.4" customHeight="1">
      <c r="B59" s="58" t="s">
        <v>661</v>
      </c>
      <c r="C59" s="2"/>
      <c r="D59" s="503">
        <f>'3 Statement Model'!D60/'3 Statement Model'!D$74</f>
        <v>2.1391443422630944E-2</v>
      </c>
      <c r="E59" s="503">
        <f>'3 Statement Model'!E60/'3 Statement Model'!E$74</f>
        <v>4.9183303085299446E-2</v>
      </c>
      <c r="F59" s="503">
        <f>'3 Statement Model'!F60/'3 Statement Model'!F$74</f>
        <v>3.5948842032492219E-2</v>
      </c>
      <c r="G59" s="503">
        <f>'3 Statement Model'!G60/'3 Statement Model'!G$74</f>
        <v>7.9758134177944126E-2</v>
      </c>
      <c r="H59" s="503">
        <f>'3 Statement Model'!H60/'3 Statement Model'!H$74</f>
        <v>6.0234469748012387E-2</v>
      </c>
      <c r="I59" s="503">
        <f>'3 Statement Model'!I60/'3 Statement Model'!I$74</f>
        <v>2.9143679539457904E-2</v>
      </c>
      <c r="J59" s="503">
        <f>'3 Statement Model'!J60/'3 Statement Model'!J$74</f>
        <v>2.7171155484072167E-2</v>
      </c>
      <c r="K59" s="503">
        <f>'3 Statement Model'!K60/'3 Statement Model'!K$74</f>
        <v>2.5174895374899729E-2</v>
      </c>
      <c r="L59" s="503">
        <f>'3 Statement Model'!L60/'3 Statement Model'!L$74</f>
        <v>2.3801082662936342E-2</v>
      </c>
      <c r="M59" s="503">
        <f>'3 Statement Model'!M60/'3 Statement Model'!M$74</f>
        <v>2.2146391577132524E-2</v>
      </c>
      <c r="N59" s="503">
        <f>'3 Statement Model'!N60/'3 Statement Model'!N$74</f>
        <v>2.0861214576697425E-2</v>
      </c>
      <c r="O59" s="503">
        <f>'3 Statement Model'!O60/'3 Statement Model'!O$74</f>
        <v>1.9616712224855688E-2</v>
      </c>
      <c r="P59" s="503">
        <f>'3 Statement Model'!P60/'3 Statement Model'!P$74</f>
        <v>1.8323385991106739E-2</v>
      </c>
      <c r="Q59" s="503">
        <f>'3 Statement Model'!Q60/'3 Statement Model'!Q$74</f>
        <v>1.6987467433557047E-2</v>
      </c>
      <c r="R59" s="503">
        <f>'3 Statement Model'!R60/'3 Statement Model'!R$74</f>
        <v>1.5704778355201201E-2</v>
      </c>
      <c r="S59" s="503">
        <f>'3 Statement Model'!S60/'3 Statement Model'!S$74</f>
        <v>1.4479295798285241E-2</v>
      </c>
    </row>
    <row r="60" spans="2:19" ht="14.4" customHeight="1">
      <c r="B60" s="58" t="s">
        <v>1147</v>
      </c>
      <c r="C60" s="2"/>
      <c r="D60" s="503">
        <f>'3 Statement Model'!D61/'3 Statement Model'!D$74</f>
        <v>5.1979208316673322E-3</v>
      </c>
      <c r="E60" s="503">
        <f>'3 Statement Model'!E61/'3 Statement Model'!E$74</f>
        <v>4.7186932849364784E-3</v>
      </c>
      <c r="F60" s="503">
        <f>'3 Statement Model'!F61/'3 Statement Model'!F$74</f>
        <v>5.1849291393017624E-3</v>
      </c>
      <c r="G60" s="503">
        <f>'3 Statement Model'!G61/'3 Statement Model'!G$74</f>
        <v>6.6225165562913899E-3</v>
      </c>
      <c r="H60" s="503">
        <f>'3 Statement Model'!H61/'3 Statement Model'!H$74</f>
        <v>5.3901091497102812E-3</v>
      </c>
      <c r="I60" s="503">
        <f>'3 Statement Model'!I61/'3 Statement Model'!I$74</f>
        <v>5.8767090429359559E-3</v>
      </c>
      <c r="J60" s="503">
        <f>'3 Statement Model'!J61/'3 Statement Model'!J$74</f>
        <v>5.4789572786812192E-3</v>
      </c>
      <c r="K60" s="503">
        <f>'3 Statement Model'!K61/'3 Statement Model'!K$74</f>
        <v>5.0764192319756657E-3</v>
      </c>
      <c r="L60" s="503">
        <f>'3 Statement Model'!L61/'3 Statement Model'!L$74</f>
        <v>4.799395269480991E-3</v>
      </c>
      <c r="M60" s="503">
        <f>'3 Statement Model'!M61/'3 Statement Model'!M$74</f>
        <v>4.4657332809855703E-3</v>
      </c>
      <c r="N60" s="503">
        <f>'3 Statement Model'!N61/'3 Statement Model'!N$74</f>
        <v>4.2065823632023618E-3</v>
      </c>
      <c r="O60" s="503">
        <f>'3 Statement Model'!O61/'3 Statement Model'!O$74</f>
        <v>3.9556333292918872E-3</v>
      </c>
      <c r="P60" s="503">
        <f>'3 Statement Model'!P61/'3 Statement Model'!P$74</f>
        <v>3.6948391504700831E-3</v>
      </c>
      <c r="Q60" s="503">
        <f>'3 Statement Model'!Q61/'3 Statement Model'!Q$74</f>
        <v>3.4254563960670588E-3</v>
      </c>
      <c r="R60" s="503">
        <f>'3 Statement Model'!R61/'3 Statement Model'!R$74</f>
        <v>3.1668071580446865E-3</v>
      </c>
      <c r="S60" s="503">
        <f>'3 Statement Model'!S61/'3 Statement Model'!S$74</f>
        <v>2.9196933914237733E-3</v>
      </c>
    </row>
    <row r="61" spans="2:19" ht="14.4" customHeight="1">
      <c r="B61" s="58" t="s">
        <v>188</v>
      </c>
      <c r="C61" s="2"/>
      <c r="D61" s="503">
        <f>'3 Statement Model'!D62/'3 Statement Model'!D$74</f>
        <v>8.996401439424229E-3</v>
      </c>
      <c r="E61" s="503">
        <f>'3 Statement Model'!E62/'3 Statement Model'!E$74</f>
        <v>9.9818511796733195E-3</v>
      </c>
      <c r="F61" s="503">
        <f>'3 Statement Model'!F62/'3 Statement Model'!F$74</f>
        <v>9.8513653646733479E-3</v>
      </c>
      <c r="G61" s="503">
        <f>'3 Statement Model'!G62/'3 Statement Model'!G$74</f>
        <v>9.6458393319896335E-3</v>
      </c>
      <c r="H61" s="503">
        <f>'3 Statement Model'!H62/'3 Statement Model'!H$74</f>
        <v>1.2801509230561918E-2</v>
      </c>
      <c r="I61" s="503">
        <f>'3 Statement Model'!I62/'3 Statement Model'!I$74</f>
        <v>1.2952746461981291E-2</v>
      </c>
      <c r="J61" s="503">
        <f>'3 Statement Model'!J62/'3 Statement Model'!J$74</f>
        <v>1.2076069104032075E-2</v>
      </c>
      <c r="K61" s="503">
        <f>'3 Statement Model'!K62/'3 Statement Model'!K$74</f>
        <v>1.1188842388844324E-2</v>
      </c>
      <c r="L61" s="503">
        <f>'3 Statement Model'!L62/'3 Statement Model'!L$74</f>
        <v>1.0578258961305041E-2</v>
      </c>
      <c r="M61" s="503">
        <f>'3 Statement Model'!M62/'3 Statement Model'!M$74</f>
        <v>9.8428407009477879E-3</v>
      </c>
      <c r="N61" s="503">
        <f>'3 Statement Model'!N62/'3 Statement Model'!N$74</f>
        <v>9.2716509229766337E-3</v>
      </c>
      <c r="O61" s="503">
        <f>'3 Statement Model'!O62/'3 Statement Model'!O$74</f>
        <v>8.7185387666025276E-3</v>
      </c>
      <c r="P61" s="503">
        <f>'3 Statement Model'!P62/'3 Statement Model'!P$74</f>
        <v>8.143727107158551E-3</v>
      </c>
      <c r="Q61" s="503">
        <f>'3 Statement Model'!Q62/'3 Statement Model'!Q$74</f>
        <v>7.5499855260253539E-3</v>
      </c>
      <c r="R61" s="503">
        <f>'3 Statement Model'!R62/'3 Statement Model'!R$74</f>
        <v>6.9799014912005335E-3</v>
      </c>
      <c r="S61" s="503">
        <f>'3 Statement Model'!S62/'3 Statement Model'!S$74</f>
        <v>6.4352425770156634E-3</v>
      </c>
    </row>
    <row r="62" spans="2:19" ht="14.4" customHeight="1">
      <c r="B62" s="58" t="s">
        <v>663</v>
      </c>
      <c r="C62" s="2"/>
      <c r="D62" s="503">
        <f>'3 Statement Model'!D63/'3 Statement Model'!D$74</f>
        <v>3.1787285085965608E-2</v>
      </c>
      <c r="E62" s="503">
        <f>'3 Statement Model'!E63/'3 Statement Model'!E$74</f>
        <v>3.3756805807622497E-2</v>
      </c>
      <c r="F62" s="503">
        <f>'3 Statement Model'!F63/'3 Statement Model'!F$74</f>
        <v>3.231939163498098E-2</v>
      </c>
      <c r="G62" s="503">
        <f>'3 Statement Model'!G63/'3 Statement Model'!G$74</f>
        <v>2.1019291678663978E-2</v>
      </c>
      <c r="H62" s="503">
        <f>'3 Statement Model'!H63/'3 Statement Model'!H$74</f>
        <v>9.1631855545074772E-3</v>
      </c>
      <c r="I62" s="503">
        <f>'3 Statement Model'!I63/'3 Statement Model'!I$74</f>
        <v>6.8361717438234588E-3</v>
      </c>
      <c r="J62" s="503">
        <f>'3 Statement Model'!J63/'3 Statement Model'!J$74</f>
        <v>6.3734809160169281E-3</v>
      </c>
      <c r="K62" s="503">
        <f>'3 Statement Model'!K63/'3 Statement Model'!K$74</f>
        <v>5.9052223718900594E-3</v>
      </c>
      <c r="L62" s="503">
        <f>'3 Statement Model'!L63/'3 Statement Model'!L$74</f>
        <v>5.5829700073554388E-3</v>
      </c>
      <c r="M62" s="503">
        <f>'3 Statement Model'!M63/'3 Statement Model'!M$74</f>
        <v>5.1948325921668884E-3</v>
      </c>
      <c r="N62" s="503">
        <f>'3 Statement Model'!N63/'3 Statement Model'!N$74</f>
        <v>4.8933713204598901E-3</v>
      </c>
      <c r="O62" s="503">
        <f>'3 Statement Model'!O63/'3 Statement Model'!O$74</f>
        <v>4.6014510157068892E-3</v>
      </c>
      <c r="P62" s="503">
        <f>'3 Statement Model'!P63/'3 Statement Model'!P$74</f>
        <v>4.29807819544479E-3</v>
      </c>
      <c r="Q62" s="503">
        <f>'3 Statement Model'!Q63/'3 Statement Model'!Q$74</f>
        <v>3.984714583180048E-3</v>
      </c>
      <c r="R62" s="503">
        <f>'3 Statement Model'!R63/'3 Statement Model'!R$74</f>
        <v>3.683836898133615E-3</v>
      </c>
      <c r="S62" s="503">
        <f>'3 Statement Model'!S63/'3 Statement Model'!S$74</f>
        <v>3.3963780267582669E-3</v>
      </c>
    </row>
    <row r="63" spans="2:19" ht="14.4" customHeight="1">
      <c r="B63" s="421" t="s">
        <v>667</v>
      </c>
      <c r="C63" s="359"/>
      <c r="D63" s="502">
        <f>'3 Statement Model'!D64/'3 Statement Model'!D$74</f>
        <v>0.36385445821671325</v>
      </c>
      <c r="E63" s="502">
        <f>'3 Statement Model'!E64/'3 Statement Model'!E$74</f>
        <v>0.39455535390199631</v>
      </c>
      <c r="F63" s="502">
        <f>'3 Statement Model'!F64/'3 Statement Model'!F$74</f>
        <v>0.39422744555824396</v>
      </c>
      <c r="G63" s="502">
        <f>'3 Statement Model'!G64/'3 Statement Model'!G$74</f>
        <v>0.45004319032536705</v>
      </c>
      <c r="H63" s="502">
        <f>'3 Statement Model'!H64/'3 Statement Model'!H$74</f>
        <v>0.46058482684274349</v>
      </c>
      <c r="I63" s="502">
        <f>'3 Statement Model'!I64/'3 Statement Model'!I$74</f>
        <v>0.39038138642360276</v>
      </c>
      <c r="J63" s="502">
        <f>'3 Statement Model'!J64/'3 Statement Model'!J$74</f>
        <v>0.36467346398825912</v>
      </c>
      <c r="K63" s="502">
        <f>'3 Statement Model'!K64/'3 Statement Model'!K$74</f>
        <v>0.33975703437692562</v>
      </c>
      <c r="L63" s="502">
        <f>'3 Statement Model'!L64/'3 Statement Model'!L$74</f>
        <v>0.32419054048595297</v>
      </c>
      <c r="M63" s="502">
        <f>'3 Statement Model'!M64/'3 Statement Model'!M$74</f>
        <v>0.3055744004978469</v>
      </c>
      <c r="N63" s="502">
        <f>'3 Statement Model'!N64/'3 Statement Model'!N$74</f>
        <v>0.29405141928692979</v>
      </c>
      <c r="O63" s="502">
        <f>'3 Statement Model'!O64/'3 Statement Model'!O$74</f>
        <v>0.28489718180565404</v>
      </c>
      <c r="P63" s="502">
        <f>'3 Statement Model'!P64/'3 Statement Model'!P$74</f>
        <v>0.27685615984694073</v>
      </c>
      <c r="Q63" s="502">
        <f>'3 Statement Model'!Q64/'3 Statement Model'!Q$74</f>
        <v>0.26972840951685018</v>
      </c>
      <c r="R63" s="502">
        <f>'3 Statement Model'!R64/'3 Statement Model'!R$74</f>
        <v>0.25998850917126209</v>
      </c>
      <c r="S63" s="502">
        <f>'3 Statement Model'!S64/'3 Statement Model'!S$74</f>
        <v>0.2449461533177891</v>
      </c>
    </row>
    <row r="64" spans="2:19" ht="14.4" customHeight="1">
      <c r="B64" s="363"/>
      <c r="C64" s="4"/>
      <c r="D64" s="187"/>
      <c r="E64" s="187"/>
      <c r="F64" s="187"/>
      <c r="G64" s="187"/>
      <c r="H64" s="187"/>
      <c r="I64" s="187"/>
      <c r="J64" s="187"/>
      <c r="K64" s="187"/>
      <c r="L64" s="187"/>
      <c r="M64" s="187"/>
      <c r="N64" s="187"/>
      <c r="O64" s="187"/>
      <c r="P64" s="187"/>
      <c r="Q64" s="187"/>
      <c r="R64" s="187"/>
      <c r="S64" s="187"/>
    </row>
    <row r="65" spans="2:19" ht="14.4" customHeight="1">
      <c r="B65" s="61" t="s">
        <v>668</v>
      </c>
      <c r="C65" s="2"/>
      <c r="D65" s="185"/>
      <c r="E65" s="185"/>
      <c r="F65" s="185"/>
      <c r="G65" s="185"/>
      <c r="H65" s="185"/>
      <c r="I65" s="185"/>
      <c r="J65" s="185"/>
      <c r="K65" s="185"/>
      <c r="L65" s="185"/>
      <c r="M65" s="185"/>
      <c r="N65" s="185"/>
      <c r="O65" s="185"/>
      <c r="P65" s="185"/>
      <c r="Q65" s="185"/>
      <c r="R65" s="185"/>
      <c r="S65" s="185"/>
    </row>
    <row r="66" spans="2:19" ht="14.4" customHeight="1">
      <c r="B66" s="58" t="s">
        <v>5</v>
      </c>
      <c r="C66" s="2"/>
      <c r="D66" s="503">
        <f>'3 Statement Model'!D67/'3 Statement Model'!D$74</f>
        <v>1.8592562974810253E-2</v>
      </c>
      <c r="E66" s="503">
        <f>'3 Statement Model'!E67/'3 Statement Model'!E$74</f>
        <v>1.9782214156080016E-2</v>
      </c>
      <c r="F66" s="503">
        <f>'3 Statement Model'!F67/'3 Statement Model'!F$74</f>
        <v>4.7701348081576368E-2</v>
      </c>
      <c r="G66" s="503">
        <f>'3 Statement Model'!G67/'3 Statement Model'!G$74</f>
        <v>2.9801324503311386E-2</v>
      </c>
      <c r="H66" s="503">
        <f>'3 Statement Model'!H67/'3 Statement Model'!H$74</f>
        <v>3.0723622153348725E-2</v>
      </c>
      <c r="I66" s="503">
        <f>'3 Statement Model'!I67/'3 Statement Model'!I$74</f>
        <v>3.8498440873111169E-2</v>
      </c>
      <c r="J66" s="504">
        <f>'3 Statement Model'!J67/'3 Statement Model'!J$74</f>
        <v>4.3058651161556778E-2</v>
      </c>
      <c r="K66" s="504">
        <f>'3 Statement Model'!K67/'3 Statement Model'!K$74</f>
        <v>4.3784741492370639E-2</v>
      </c>
      <c r="L66" s="504">
        <f>'3 Statement Model'!L67/'3 Statement Model'!L$74</f>
        <v>5.5541046184263927E-2</v>
      </c>
      <c r="M66" s="504">
        <f>'3 Statement Model'!M67/'3 Statement Model'!M$74</f>
        <v>6.6567496060378734E-2</v>
      </c>
      <c r="N66" s="504">
        <f>'3 Statement Model'!N67/'3 Statement Model'!N$74</f>
        <v>6.5382366709421449E-2</v>
      </c>
      <c r="O66" s="504">
        <f>'3 Statement Model'!O67/'3 Statement Model'!O$74</f>
        <v>6.4656260499791812E-2</v>
      </c>
      <c r="P66" s="504">
        <f>'3 Statement Model'!P67/'3 Statement Model'!P$74</f>
        <v>6.567328842471995E-2</v>
      </c>
      <c r="Q66" s="504">
        <f>'3 Statement Model'!Q67/'3 Statement Model'!Q$74</f>
        <v>6.7524142120799852E-2</v>
      </c>
      <c r="R66" s="504">
        <f>'3 Statement Model'!R67/'3 Statement Model'!R$74</f>
        <v>6.6213607380750564E-2</v>
      </c>
      <c r="S66" s="504">
        <f>'3 Statement Model'!S67/'3 Statement Model'!S$74</f>
        <v>6.4844459309118127E-2</v>
      </c>
    </row>
    <row r="67" spans="2:19" ht="14.4" customHeight="1">
      <c r="B67" s="58" t="s">
        <v>689</v>
      </c>
      <c r="C67" s="2"/>
      <c r="D67" s="503">
        <f>'3 Statement Model'!D68/'3 Statement Model'!D$74</f>
        <v>3.7185125949620146E-2</v>
      </c>
      <c r="E67" s="503">
        <f>'3 Statement Model'!E68/'3 Statement Model'!E$74</f>
        <v>0.15154264972776768</v>
      </c>
      <c r="F67" s="503">
        <f>'3 Statement Model'!F68/'3 Statement Model'!F$74</f>
        <v>5.2367784306947794E-2</v>
      </c>
      <c r="G67" s="503">
        <f>'3 Statement Model'!G68/'3 Statement Model'!G$74</f>
        <v>7.90382954218255E-2</v>
      </c>
      <c r="H67" s="503">
        <f>'3 Statement Model'!H68/'3 Statement Model'!H$74</f>
        <v>9.6348201051071267E-2</v>
      </c>
      <c r="I67" s="503">
        <f>'3 Statement Model'!I68/'3 Statement Model'!I$74</f>
        <v>5.4689373950587671E-2</v>
      </c>
      <c r="J67" s="503">
        <f>'3 Statement Model'!J68/'3 Statement Model'!J$74</f>
        <v>5.0987847328135424E-2</v>
      </c>
      <c r="K67" s="503">
        <f>'3 Statement Model'!K68/'3 Statement Model'!K$74</f>
        <v>4.7241778975120476E-2</v>
      </c>
      <c r="L67" s="503">
        <f>'3 Statement Model'!L68/'3 Statement Model'!L$74</f>
        <v>4.466376005884351E-2</v>
      </c>
      <c r="M67" s="503">
        <f>'3 Statement Model'!M68/'3 Statement Model'!M$74</f>
        <v>4.1558660737335107E-2</v>
      </c>
      <c r="N67" s="503">
        <f>'3 Statement Model'!N68/'3 Statement Model'!N$74</f>
        <v>3.914697056367912E-2</v>
      </c>
      <c r="O67" s="503">
        <f>'3 Statement Model'!O68/'3 Statement Model'!O$74</f>
        <v>3.6811608125655114E-2</v>
      </c>
      <c r="P67" s="503">
        <f>'3 Statement Model'!P68/'3 Statement Model'!P$74</f>
        <v>3.438462556355832E-2</v>
      </c>
      <c r="Q67" s="503">
        <f>'3 Statement Model'!Q68/'3 Statement Model'!Q$74</f>
        <v>3.1877716665440384E-2</v>
      </c>
      <c r="R67" s="503">
        <f>'3 Statement Model'!R68/'3 Statement Model'!R$74</f>
        <v>2.947069518506892E-2</v>
      </c>
      <c r="S67" s="503">
        <f>'3 Statement Model'!S68/'3 Statement Model'!S$74</f>
        <v>2.7171024214066135E-2</v>
      </c>
    </row>
    <row r="68" spans="2:19" ht="14.4" customHeight="1">
      <c r="B68" s="58" t="s">
        <v>6</v>
      </c>
      <c r="C68" s="2"/>
      <c r="D68" s="499">
        <f>'3 Statement Model'!D69/'3 Statement Model'!D$74</f>
        <v>0.27588964414234302</v>
      </c>
      <c r="E68" s="499">
        <f>'3 Statement Model'!E69/'3 Statement Model'!E$74</f>
        <v>0.20435571687840287</v>
      </c>
      <c r="F68" s="499">
        <f>'3 Statement Model'!F69/'3 Statement Model'!F$74</f>
        <v>0.24403733148980294</v>
      </c>
      <c r="G68" s="499">
        <f>'3 Statement Model'!G69/'3 Statement Model'!G$74</f>
        <v>0.17636049524906419</v>
      </c>
      <c r="H68" s="499">
        <f>'3 Statement Model'!H69/'3 Statement Model'!H$74</f>
        <v>0.18002964560032339</v>
      </c>
      <c r="I68" s="499">
        <f>'3 Statement Model'!I69/'3 Statement Model'!I$74</f>
        <v>0.14811705444950826</v>
      </c>
      <c r="J68" s="499">
        <f>'3 Statement Model'!J69/'3 Statement Model'!J$74</f>
        <v>0.1777789082008126</v>
      </c>
      <c r="K68" s="499">
        <f>'3 Statement Model'!K69/'3 Statement Model'!K$74</f>
        <v>0.18695438799659267</v>
      </c>
      <c r="L68" s="499">
        <f>'3 Statement Model'!L69/'3 Statement Model'!L$74</f>
        <v>0.19548035474686765</v>
      </c>
      <c r="M68" s="499">
        <f>'3 Statement Model'!M69/'3 Statement Model'!M$74</f>
        <v>0.20462651262825651</v>
      </c>
      <c r="N68" s="499">
        <f>'3 Statement Model'!N69/'3 Statement Model'!N$74</f>
        <v>0.21588205382940778</v>
      </c>
      <c r="O68" s="499">
        <f>'3 Statement Model'!O69/'3 Statement Model'!O$74</f>
        <v>0.21747835506267868</v>
      </c>
      <c r="P68" s="499">
        <f>'3 Statement Model'!P69/'3 Statement Model'!P$74</f>
        <v>0.22751685270747191</v>
      </c>
      <c r="Q68" s="499">
        <f>'3 Statement Model'!Q69/'3 Statement Model'!Q$74</f>
        <v>0.22550237218102298</v>
      </c>
      <c r="R68" s="499">
        <f>'3 Statement Model'!R69/'3 Statement Model'!R$74</f>
        <v>0.22237349034095544</v>
      </c>
      <c r="S68" s="499">
        <f>'3 Statement Model'!S69/'3 Statement Model'!S$74</f>
        <v>0.22962367555290963</v>
      </c>
    </row>
    <row r="69" spans="2:19" ht="14.4" customHeight="1">
      <c r="B69" s="58" t="s">
        <v>7</v>
      </c>
      <c r="C69" s="2"/>
      <c r="D69" s="503">
        <f>'3 Statement Model'!D70/'3 Statement Model'!D$74</f>
        <v>0.10775689724110354</v>
      </c>
      <c r="E69" s="503">
        <f>'3 Statement Model'!E70/'3 Statement Model'!E$74</f>
        <v>7.0417422867513596E-2</v>
      </c>
      <c r="F69" s="503">
        <f>'3 Statement Model'!F70/'3 Statement Model'!F$74</f>
        <v>0.1126857932941583</v>
      </c>
      <c r="G69" s="503">
        <f>'3 Statement Model'!G70/'3 Statement Model'!G$74</f>
        <v>0.14612726749208174</v>
      </c>
      <c r="H69" s="503">
        <f>'3 Statement Model'!H70/'3 Statement Model'!H$74</f>
        <v>0.14405066702600725</v>
      </c>
      <c r="I69" s="503">
        <f>'3 Statement Model'!I70/'3 Statement Model'!I$74</f>
        <v>0.15243463660350204</v>
      </c>
      <c r="J69" s="503">
        <f>'3 Statement Model'!J70/'3 Statement Model'!J$74</f>
        <v>0.17021384827737379</v>
      </c>
      <c r="K69" s="503">
        <f>'3 Statement Model'!K70/'3 Statement Model'!K$74</f>
        <v>0.17899888212439724</v>
      </c>
      <c r="L69" s="503">
        <f>'3 Statement Model'!L70/'3 Statement Model'!L$74</f>
        <v>0.17848206302974873</v>
      </c>
      <c r="M69" s="503">
        <f>'3 Statement Model'!M70/'3 Statement Model'!M$74</f>
        <v>0.18683290283449505</v>
      </c>
      <c r="N69" s="503">
        <f>'3 Statement Model'!N70/'3 Statement Model'!N$74</f>
        <v>0.1971097013225028</v>
      </c>
      <c r="O69" s="503">
        <f>'3 Statement Model'!O70/'3 Statement Model'!O$74</f>
        <v>0.19770759551152609</v>
      </c>
      <c r="P69" s="503">
        <f>'3 Statement Model'!P70/'3 Statement Model'!P$74</f>
        <v>0.20683350246133808</v>
      </c>
      <c r="Q69" s="503">
        <f>'3 Statement Model'!Q70/'3 Statement Model'!Q$74</f>
        <v>0.20939505988237847</v>
      </c>
      <c r="R69" s="503">
        <f>'3 Statement Model'!R70/'3 Statement Model'!R$74</f>
        <v>0.21903788798584109</v>
      </c>
      <c r="S69" s="503">
        <f>'3 Statement Model'!S70/'3 Statement Model'!S$74</f>
        <v>0.22388308366408691</v>
      </c>
    </row>
    <row r="70" spans="2:19" ht="14.4" customHeight="1">
      <c r="B70" s="58" t="s">
        <v>9</v>
      </c>
      <c r="C70" s="2"/>
      <c r="D70" s="499">
        <f>'3 Statement Model'!D71/'3 Statement Model'!D$74</f>
        <v>0.1967213114754098</v>
      </c>
      <c r="E70" s="499">
        <f>'3 Statement Model'!E71/'3 Statement Model'!E$74</f>
        <v>0.15934664246823954</v>
      </c>
      <c r="F70" s="499">
        <f>'3 Statement Model'!F71/'3 Statement Model'!F$74</f>
        <v>0.14898029726927062</v>
      </c>
      <c r="G70" s="499">
        <f>'3 Statement Model'!G71/'3 Statement Model'!G$74</f>
        <v>0.11862942700835011</v>
      </c>
      <c r="H70" s="499">
        <f>'3 Statement Model'!H71/'3 Statement Model'!H$74</f>
        <v>8.8263037326505853E-2</v>
      </c>
      <c r="I70" s="499">
        <f>'3 Statement Model'!I71/'3 Statement Model'!I$74</f>
        <v>0.21587910769968818</v>
      </c>
      <c r="J70" s="499">
        <f>'3 Statement Model'!J71/'3 Statement Model'!J$74</f>
        <v>0.19328728104386222</v>
      </c>
      <c r="K70" s="499">
        <f>'3 Statement Model'!K71/'3 Statement Model'!K$74</f>
        <v>0.20326317503459332</v>
      </c>
      <c r="L70" s="499">
        <f>'3 Statement Model'!L71/'3 Statement Model'!L$74</f>
        <v>0.20164223549432328</v>
      </c>
      <c r="M70" s="499">
        <f>'3 Statement Model'!M71/'3 Statement Model'!M$74</f>
        <v>0.19484002724168772</v>
      </c>
      <c r="N70" s="499">
        <f>'3 Statement Model'!N71/'3 Statement Model'!N$74</f>
        <v>0.18842748828805919</v>
      </c>
      <c r="O70" s="499">
        <f>'3 Statement Model'!O71/'3 Statement Model'!O$74</f>
        <v>0.19844899899469431</v>
      </c>
      <c r="P70" s="499">
        <f>'3 Statement Model'!P71/'3 Statement Model'!P$74</f>
        <v>0.18873557099597105</v>
      </c>
      <c r="Q70" s="499">
        <f>'3 Statement Model'!Q71/'3 Statement Model'!Q$74</f>
        <v>0.1959722996335081</v>
      </c>
      <c r="R70" s="499">
        <f>'3 Statement Model'!R71/'3 Statement Model'!R$74</f>
        <v>0.20291580993612185</v>
      </c>
      <c r="S70" s="499">
        <f>'3 Statement Model'!S71/'3 Statement Model'!S$74</f>
        <v>0.20953160394203005</v>
      </c>
    </row>
    <row r="71" spans="2:19" ht="14.4" customHeight="1">
      <c r="B71" s="59" t="s">
        <v>10</v>
      </c>
      <c r="C71" s="359"/>
      <c r="D71" s="502">
        <f>'3 Statement Model'!D72/'3 Statement Model'!D$74</f>
        <v>0.63614554178328675</v>
      </c>
      <c r="E71" s="502">
        <f>'3 Statement Model'!E72/'3 Statement Model'!E$74</f>
        <v>0.60544464609800375</v>
      </c>
      <c r="F71" s="502">
        <f>'3 Statement Model'!F72/'3 Statement Model'!F$74</f>
        <v>0.60577255444175604</v>
      </c>
      <c r="G71" s="502">
        <f>'3 Statement Model'!G72/'3 Statement Model'!G$74</f>
        <v>0.5499568096746329</v>
      </c>
      <c r="H71" s="502">
        <f>'3 Statement Model'!H72/'3 Statement Model'!H$74</f>
        <v>0.53941517315725651</v>
      </c>
      <c r="I71" s="502">
        <f>'3 Statement Model'!I72/'3 Statement Model'!I$74</f>
        <v>0.60961861357639735</v>
      </c>
      <c r="J71" s="502">
        <f>'3 Statement Model'!J72/'3 Statement Model'!J$74</f>
        <v>0.63532653601174094</v>
      </c>
      <c r="K71" s="502">
        <f>'3 Statement Model'!K72/'3 Statement Model'!K$74</f>
        <v>0.66024296562307438</v>
      </c>
      <c r="L71" s="502">
        <f>'3 Statement Model'!L72/'3 Statement Model'!L$74</f>
        <v>0.67580945951404703</v>
      </c>
      <c r="M71" s="502">
        <f>'3 Statement Model'!M72/'3 Statement Model'!M$74</f>
        <v>0.6944255995021531</v>
      </c>
      <c r="N71" s="502">
        <f>'3 Statement Model'!N72/'3 Statement Model'!N$74</f>
        <v>0.70594858071307032</v>
      </c>
      <c r="O71" s="502">
        <f>'3 Statement Model'!O72/'3 Statement Model'!O$74</f>
        <v>0.71510281819434596</v>
      </c>
      <c r="P71" s="502">
        <f>'3 Statement Model'!P72/'3 Statement Model'!P$74</f>
        <v>0.72314384015305933</v>
      </c>
      <c r="Q71" s="502">
        <f>'3 Statement Model'!Q72/'3 Statement Model'!Q$74</f>
        <v>0.73027159048314982</v>
      </c>
      <c r="R71" s="502">
        <f>'3 Statement Model'!R72/'3 Statement Model'!R$74</f>
        <v>0.74001149082873796</v>
      </c>
      <c r="S71" s="502">
        <f>'3 Statement Model'!S72/'3 Statement Model'!S$74</f>
        <v>0.75505384668221087</v>
      </c>
    </row>
    <row r="72" spans="2:19" ht="14.4" customHeight="1">
      <c r="B72" s="58"/>
      <c r="C72" s="2"/>
      <c r="D72" s="185"/>
      <c r="E72" s="185"/>
      <c r="F72" s="185"/>
      <c r="G72" s="185"/>
      <c r="H72" s="185"/>
      <c r="I72" s="185"/>
      <c r="J72" s="5"/>
      <c r="K72" s="5"/>
      <c r="L72" s="5"/>
      <c r="M72" s="5"/>
      <c r="N72" s="5"/>
      <c r="O72" s="5"/>
      <c r="P72" s="5"/>
      <c r="Q72" s="5"/>
      <c r="R72" s="5"/>
      <c r="S72" s="5"/>
    </row>
    <row r="73" spans="2:19" ht="14.4" customHeight="1" thickBot="1">
      <c r="B73" s="69" t="s">
        <v>12</v>
      </c>
      <c r="C73" s="6"/>
      <c r="D73" s="505">
        <f>'3 Statement Model'!D74/'3 Statement Model'!D$74</f>
        <v>1</v>
      </c>
      <c r="E73" s="505">
        <f>'3 Statement Model'!E74/'3 Statement Model'!E$74</f>
        <v>1</v>
      </c>
      <c r="F73" s="505">
        <f>'3 Statement Model'!F74/'3 Statement Model'!F$74</f>
        <v>1</v>
      </c>
      <c r="G73" s="505">
        <f>'3 Statement Model'!G74/'3 Statement Model'!G$74</f>
        <v>1</v>
      </c>
      <c r="H73" s="505">
        <f>'3 Statement Model'!H74/'3 Statement Model'!H$74</f>
        <v>1</v>
      </c>
      <c r="I73" s="505">
        <f>'3 Statement Model'!I74/'3 Statement Model'!I$74</f>
        <v>1</v>
      </c>
      <c r="J73" s="505">
        <f>'3 Statement Model'!J74/'3 Statement Model'!J$74</f>
        <v>1</v>
      </c>
      <c r="K73" s="505">
        <f>'3 Statement Model'!K74/'3 Statement Model'!K$74</f>
        <v>1</v>
      </c>
      <c r="L73" s="505">
        <f>'3 Statement Model'!L74/'3 Statement Model'!L$74</f>
        <v>1</v>
      </c>
      <c r="M73" s="505">
        <f>'3 Statement Model'!M74/'3 Statement Model'!M$74</f>
        <v>1</v>
      </c>
      <c r="N73" s="505">
        <f>'3 Statement Model'!N74/'3 Statement Model'!N$74</f>
        <v>1</v>
      </c>
      <c r="O73" s="505">
        <f>'3 Statement Model'!O74/'3 Statement Model'!O$74</f>
        <v>1</v>
      </c>
      <c r="P73" s="505">
        <f>'3 Statement Model'!P74/'3 Statement Model'!P$74</f>
        <v>1</v>
      </c>
      <c r="Q73" s="505">
        <f>'3 Statement Model'!Q74/'3 Statement Model'!Q$74</f>
        <v>1</v>
      </c>
      <c r="R73" s="505">
        <f>'3 Statement Model'!R74/'3 Statement Model'!R$74</f>
        <v>1</v>
      </c>
      <c r="S73" s="505">
        <f>'3 Statement Model'!S74/'3 Statement Model'!S$74</f>
        <v>1</v>
      </c>
    </row>
    <row r="74" spans="2:19" ht="14.4" customHeight="1">
      <c r="B74" s="3"/>
      <c r="C74" s="2"/>
      <c r="D74" s="185" t="b">
        <v>1</v>
      </c>
      <c r="E74" s="185" t="b">
        <v>1</v>
      </c>
      <c r="F74" s="185" t="b">
        <v>1</v>
      </c>
      <c r="G74" s="185" t="b">
        <v>1</v>
      </c>
      <c r="H74" s="185" t="b">
        <v>1</v>
      </c>
      <c r="I74" s="185" t="b">
        <v>1</v>
      </c>
      <c r="J74" s="185" t="b">
        <v>1</v>
      </c>
      <c r="K74" s="452" t="b">
        <v>1</v>
      </c>
      <c r="L74" s="452" t="b">
        <v>1</v>
      </c>
      <c r="M74" s="452" t="b">
        <v>1</v>
      </c>
      <c r="N74" s="452" t="b">
        <v>1</v>
      </c>
      <c r="O74" s="452" t="b">
        <v>1</v>
      </c>
      <c r="P74" s="452" t="b">
        <v>1</v>
      </c>
      <c r="Q74" s="452" t="b">
        <v>1</v>
      </c>
      <c r="R74" s="452" t="b">
        <v>1</v>
      </c>
      <c r="S74" s="452" t="b">
        <v>1</v>
      </c>
    </row>
    <row r="75" spans="2:19" ht="14.4" customHeight="1">
      <c r="B75" s="3"/>
      <c r="C75" s="2"/>
      <c r="D75" s="185"/>
      <c r="E75" s="185"/>
      <c r="F75" s="185"/>
      <c r="G75" s="185"/>
      <c r="H75" s="185"/>
      <c r="I75" s="185"/>
      <c r="J75" s="5"/>
      <c r="K75" s="5"/>
      <c r="L75" s="5"/>
      <c r="M75" s="5"/>
      <c r="N75" s="5"/>
      <c r="O75" s="5"/>
      <c r="P75" s="5"/>
      <c r="Q75" s="5"/>
      <c r="R75" s="5"/>
      <c r="S75" s="5"/>
    </row>
    <row r="76" spans="2:19" ht="14.4" customHeight="1">
      <c r="B76" s="495" t="s">
        <v>204</v>
      </c>
      <c r="C76" s="2"/>
      <c r="D76" s="185"/>
      <c r="E76" s="185"/>
      <c r="F76" s="185"/>
      <c r="G76" s="185"/>
      <c r="H76" s="185"/>
      <c r="I76" s="185"/>
      <c r="J76" s="5"/>
      <c r="K76" s="5"/>
      <c r="L76" s="5"/>
      <c r="M76" s="5"/>
      <c r="N76" s="5"/>
      <c r="O76" s="5"/>
      <c r="P76" s="5"/>
      <c r="Q76" s="5"/>
      <c r="R76" s="5"/>
      <c r="S76" s="5"/>
    </row>
    <row r="77" spans="2:19" ht="14.4" customHeight="1">
      <c r="B77" s="90"/>
      <c r="C77" s="2"/>
      <c r="D77" s="185"/>
      <c r="E77" s="185"/>
      <c r="F77" s="185"/>
      <c r="G77" s="185"/>
      <c r="H77" s="185"/>
      <c r="I77" s="185"/>
      <c r="J77" s="5"/>
      <c r="K77" s="5"/>
      <c r="L77" s="5"/>
      <c r="M77" s="5"/>
      <c r="N77" s="5"/>
      <c r="O77" s="5"/>
      <c r="P77" s="5"/>
      <c r="Q77" s="5"/>
      <c r="R77" s="5"/>
      <c r="S77" s="5"/>
    </row>
    <row r="78" spans="2:19" ht="14.4" customHeight="1">
      <c r="B78" s="61" t="s">
        <v>205</v>
      </c>
      <c r="C78" s="2"/>
      <c r="D78" s="185"/>
      <c r="E78" s="185"/>
      <c r="F78" s="185"/>
      <c r="G78" s="185"/>
      <c r="H78" s="185"/>
      <c r="I78" s="185"/>
      <c r="J78" s="5"/>
      <c r="K78" s="5"/>
      <c r="L78" s="5"/>
      <c r="M78" s="5"/>
      <c r="N78" s="5"/>
      <c r="O78" s="5"/>
      <c r="P78" s="5"/>
      <c r="Q78" s="5"/>
      <c r="R78" s="5"/>
      <c r="S78" s="5"/>
    </row>
    <row r="79" spans="2:19" ht="14.4" customHeight="1">
      <c r="B79" s="84" t="s">
        <v>206</v>
      </c>
      <c r="C79" s="2"/>
      <c r="D79" s="503">
        <f>'3 Statement Model'!D80/'3 Statement Model'!D$108</f>
        <v>2.5789684126349459E-2</v>
      </c>
      <c r="E79" s="503">
        <f>'3 Statement Model'!E80/'3 Statement Model'!E$108</f>
        <v>2.3411978221415608E-2</v>
      </c>
      <c r="F79" s="503">
        <f>'3 Statement Model'!F80/'3 Statement Model'!F$108</f>
        <v>2.229519529899758E-2</v>
      </c>
      <c r="G79" s="503">
        <f>'3 Statement Model'!G80/'3 Statement Model'!G$108</f>
        <v>1.8571839907860641E-2</v>
      </c>
      <c r="H79" s="503">
        <f>'3 Statement Model'!H80/'3 Statement Model'!H$108</f>
        <v>1.7383102007815659E-2</v>
      </c>
      <c r="I79" s="503">
        <f>'3 Statement Model'!I80/'3 Statement Model'!I$108</f>
        <v>1.5471336051810987E-2</v>
      </c>
      <c r="J79" s="503">
        <f>'3 Statement Model'!J80/'3 Statement Model'!J$108</f>
        <v>1.4424193652038314E-2</v>
      </c>
      <c r="K79" s="503">
        <f>'3 Statement Model'!K80/'3 Statement Model'!K$108</f>
        <v>1.3364450631119611E-2</v>
      </c>
      <c r="L79" s="503">
        <f>'3 Statement Model'!L80/'3 Statement Model'!L$108</f>
        <v>1.2635142648225467E-2</v>
      </c>
      <c r="M79" s="503">
        <f>'3 Statement Model'!M80/'3 Statement Model'!M$108</f>
        <v>1.1756726392798747E-2</v>
      </c>
      <c r="N79" s="503">
        <f>'3 Statement Model'!N80/'3 Statement Model'!N$108</f>
        <v>1.1074471935777645E-2</v>
      </c>
      <c r="O79" s="503">
        <f>'3 Statement Model'!O80/'3 Statement Model'!O$108</f>
        <v>1.0413810193441907E-2</v>
      </c>
      <c r="P79" s="503">
        <f>'3 Statement Model'!P80/'3 Statement Model'!P$108</f>
        <v>9.7272296002171577E-3</v>
      </c>
      <c r="Q79" s="503">
        <f>'3 Statement Model'!Q80/'3 Statement Model'!Q$108</f>
        <v>9.0180382671969511E-3</v>
      </c>
      <c r="R79" s="503">
        <f>'3 Statement Model'!R80/'3 Statement Model'!R$108</f>
        <v>8.33710455893397E-3</v>
      </c>
      <c r="S79" s="503">
        <f>'3 Statement Model'!S80/'3 Statement Model'!S$108</f>
        <v>7.6865397447687086E-3</v>
      </c>
    </row>
    <row r="80" spans="2:19" ht="14.4" customHeight="1">
      <c r="B80" s="84" t="s">
        <v>207</v>
      </c>
      <c r="C80" s="2"/>
      <c r="D80" s="503">
        <f>'3 Statement Model'!D81/'3 Statement Model'!D$108</f>
        <v>0.57856857257097161</v>
      </c>
      <c r="E80" s="503">
        <f>'3 Statement Model'!E81/'3 Statement Model'!E$108</f>
        <v>0.56460980036297637</v>
      </c>
      <c r="F80" s="503">
        <f>'3 Statement Model'!F81/'3 Statement Model'!F$108</f>
        <v>0.55634289664707914</v>
      </c>
      <c r="G80" s="503">
        <f>'3 Statement Model'!G81/'3 Statement Model'!G$108</f>
        <v>0.52836164699107402</v>
      </c>
      <c r="H80" s="503">
        <f>'3 Statement Model'!H81/'3 Statement Model'!H$108</f>
        <v>0.49898935453442933</v>
      </c>
      <c r="I80" s="503">
        <f>'3 Statement Model'!I81/'3 Statement Model'!I$108</f>
        <v>0.46126169345166707</v>
      </c>
      <c r="J80" s="504">
        <f>'3 Statement Model'!J81/'3 Statement Model'!J$108</f>
        <v>0.4639716709280669</v>
      </c>
      <c r="K80" s="504">
        <f>'3 Statement Model'!K81/'3 Statement Model'!K$108</f>
        <v>0.4656710314782061</v>
      </c>
      <c r="L80" s="504">
        <f>'3 Statement Model'!L81/'3 Statement Model'!L$108</f>
        <v>0.47878001343166199</v>
      </c>
      <c r="M80" s="504">
        <f>'3 Statement Model'!M81/'3 Statement Model'!M$108</f>
        <v>0.49093475753519872</v>
      </c>
      <c r="N80" s="504">
        <f>'3 Statement Model'!N81/'3 Statement Model'!N$108</f>
        <v>0.49882386089878733</v>
      </c>
      <c r="O80" s="504">
        <f>'3 Statement Model'!O81/'3 Statement Model'!O$108</f>
        <v>0.50764880235466137</v>
      </c>
      <c r="P80" s="504">
        <f>'3 Statement Model'!P81/'3 Statement Model'!P$108</f>
        <v>0.5146117229724938</v>
      </c>
      <c r="Q80" s="504">
        <f>'3 Statement Model'!Q81/'3 Statement Model'!Q$108</f>
        <v>0.51906977597027559</v>
      </c>
      <c r="R80" s="504">
        <f>'3 Statement Model'!R81/'3 Statement Model'!R$108</f>
        <v>0.52335737531915549</v>
      </c>
      <c r="S80" s="504">
        <f>'3 Statement Model'!S81/'3 Statement Model'!S$108</f>
        <v>0.52748033201010214</v>
      </c>
    </row>
    <row r="81" spans="2:19" ht="14.4" customHeight="1">
      <c r="B81" s="422" t="s">
        <v>211</v>
      </c>
      <c r="C81" s="423"/>
      <c r="D81" s="508">
        <f>'3 Statement Model'!D82/'3 Statement Model'!D$108</f>
        <v>0.60435825669732102</v>
      </c>
      <c r="E81" s="508">
        <f>'3 Statement Model'!E82/'3 Statement Model'!E$108</f>
        <v>0.58802177858439197</v>
      </c>
      <c r="F81" s="508">
        <f>'3 Statement Model'!F82/'3 Statement Model'!F$108</f>
        <v>0.57863809194607674</v>
      </c>
      <c r="G81" s="508">
        <f>'3 Statement Model'!G82/'3 Statement Model'!G$108</f>
        <v>0.54693348689893462</v>
      </c>
      <c r="H81" s="508">
        <f>'3 Statement Model'!H82/'3 Statement Model'!H$108</f>
        <v>0.51637245654224495</v>
      </c>
      <c r="I81" s="508">
        <f>'3 Statement Model'!I82/'3 Statement Model'!I$108</f>
        <v>0.47673302950347807</v>
      </c>
      <c r="J81" s="506">
        <f>'3 Statement Model'!J82/'3 Statement Model'!J$108</f>
        <v>0.47839586458010519</v>
      </c>
      <c r="K81" s="506">
        <f>'3 Statement Model'!K82/'3 Statement Model'!K$108</f>
        <v>0.47903548210932573</v>
      </c>
      <c r="L81" s="506">
        <f>'3 Statement Model'!L82/'3 Statement Model'!L$108</f>
        <v>0.49141515607988745</v>
      </c>
      <c r="M81" s="506">
        <f>'3 Statement Model'!M82/'3 Statement Model'!M$108</f>
        <v>0.50269148392799745</v>
      </c>
      <c r="N81" s="506">
        <f>'3 Statement Model'!N82/'3 Statement Model'!N$108</f>
        <v>0.50989833283456498</v>
      </c>
      <c r="O81" s="506">
        <f>'3 Statement Model'!O82/'3 Statement Model'!O$108</f>
        <v>0.51806261254810326</v>
      </c>
      <c r="P81" s="506">
        <f>'3 Statement Model'!P82/'3 Statement Model'!P$108</f>
        <v>0.52433895257271101</v>
      </c>
      <c r="Q81" s="506">
        <f>'3 Statement Model'!Q82/'3 Statement Model'!Q$108</f>
        <v>0.52808781423747253</v>
      </c>
      <c r="R81" s="506">
        <f>'3 Statement Model'!R82/'3 Statement Model'!R$108</f>
        <v>0.53169447987808949</v>
      </c>
      <c r="S81" s="506">
        <f>'3 Statement Model'!S82/'3 Statement Model'!S$108</f>
        <v>0.53516687175487088</v>
      </c>
    </row>
    <row r="82" spans="2:19" ht="14.4" customHeight="1">
      <c r="B82" s="101" t="s">
        <v>690</v>
      </c>
      <c r="C82" s="100"/>
      <c r="D82" s="499">
        <f>'3 Statement Model'!D83/'3 Statement Model'!D$108</f>
        <v>2.5989604158336665E-3</v>
      </c>
      <c r="E82" s="499">
        <f>'3 Statement Model'!E83/'3 Statement Model'!E$108</f>
        <v>3.2667876588021779E-3</v>
      </c>
      <c r="F82" s="499">
        <f>'3 Statement Model'!F83/'3 Statement Model'!F$108</f>
        <v>9.8513653646733496E-3</v>
      </c>
      <c r="G82" s="499">
        <f>'3 Statement Model'!G83/'3 Statement Model'!G$108</f>
        <v>2.2602936942124965E-2</v>
      </c>
      <c r="H82" s="499">
        <f>'3 Statement Model'!H83/'3 Statement Model'!H$108</f>
        <v>4.5411669586309121E-2</v>
      </c>
      <c r="I82" s="499">
        <f>'3 Statement Model'!I83/'3 Statement Model'!I$108</f>
        <v>3.490045574478292E-2</v>
      </c>
      <c r="J82" s="507">
        <f>'3 Statement Model'!J83/'3 Statement Model'!J$108</f>
        <v>3.2538297308086432E-2</v>
      </c>
      <c r="K82" s="507">
        <f>'3 Statement Model'!K83/'3 Statement Model'!K$108</f>
        <v>3.0147714214386102E-2</v>
      </c>
      <c r="L82" s="507">
        <f>'3 Statement Model'!L83/'3 Statement Model'!L$108</f>
        <v>2.8502531090183029E-2</v>
      </c>
      <c r="M82" s="507">
        <f>'3 Statement Model'!M83/'3 Statement Model'!M$108</f>
        <v>2.6520987444220427E-2</v>
      </c>
      <c r="N82" s="507">
        <f>'3 Statement Model'!N83/'3 Statement Model'!N$108</f>
        <v>2.4981948320242597E-2</v>
      </c>
      <c r="O82" s="507">
        <f>'3 Statement Model'!O83/'3 Statement Model'!O$108</f>
        <v>2.3491618343345698E-2</v>
      </c>
      <c r="P82" s="507">
        <f>'3 Statement Model'!P83/'3 Statement Model'!P$108</f>
        <v>2.1942820260954982E-2</v>
      </c>
      <c r="Q82" s="507">
        <f>'3 Statement Model'!Q83/'3 Statement Model'!Q$108</f>
        <v>2.034301655623498E-2</v>
      </c>
      <c r="R82" s="507">
        <f>'3 Statement Model'!R83/'3 Statement Model'!R$108</f>
        <v>1.8806956795734769E-2</v>
      </c>
      <c r="S82" s="507">
        <f>'3 Statement Model'!S83/'3 Statement Model'!S$108</f>
        <v>1.7339403610292202E-2</v>
      </c>
    </row>
    <row r="83" spans="2:19" ht="14.4" customHeight="1">
      <c r="B83" s="425" t="s">
        <v>213</v>
      </c>
      <c r="C83" s="426"/>
      <c r="D83" s="498">
        <f>'3 Statement Model'!D84/'3 Statement Model'!D$108</f>
        <v>0.60695721711315476</v>
      </c>
      <c r="E83" s="498">
        <f>'3 Statement Model'!E84/'3 Statement Model'!E$108</f>
        <v>0.59128856624319415</v>
      </c>
      <c r="F83" s="498">
        <f>'3 Statement Model'!F84/'3 Statement Model'!F$108</f>
        <v>0.58848945731075009</v>
      </c>
      <c r="G83" s="498">
        <f>'3 Statement Model'!G84/'3 Statement Model'!G$108</f>
        <v>0.56953642384105962</v>
      </c>
      <c r="H83" s="498">
        <f>'3 Statement Model'!H84/'3 Statement Model'!H$108</f>
        <v>0.56178412612855411</v>
      </c>
      <c r="I83" s="498">
        <f>'3 Statement Model'!I84/'3 Statement Model'!I$108</f>
        <v>0.51163348524826102</v>
      </c>
      <c r="J83" s="506">
        <f>'3 Statement Model'!J84/'3 Statement Model'!J$108</f>
        <v>0.51093416188819163</v>
      </c>
      <c r="K83" s="506">
        <f>'3 Statement Model'!K84/'3 Statement Model'!K$108</f>
        <v>0.50918319632371178</v>
      </c>
      <c r="L83" s="506">
        <f>'3 Statement Model'!L84/'3 Statement Model'!L$108</f>
        <v>0.51991768717007047</v>
      </c>
      <c r="M83" s="506">
        <f>'3 Statement Model'!M84/'3 Statement Model'!M$108</f>
        <v>0.52921247137221794</v>
      </c>
      <c r="N83" s="506">
        <f>'3 Statement Model'!N84/'3 Statement Model'!N$108</f>
        <v>0.53488028115480757</v>
      </c>
      <c r="O83" s="506">
        <f>'3 Statement Model'!O84/'3 Statement Model'!O$108</f>
        <v>0.54155423089144905</v>
      </c>
      <c r="P83" s="506">
        <f>'3 Statement Model'!P84/'3 Statement Model'!P$108</f>
        <v>0.54628177283366597</v>
      </c>
      <c r="Q83" s="506">
        <f>'3 Statement Model'!Q84/'3 Statement Model'!Q$108</f>
        <v>0.54843083079370747</v>
      </c>
      <c r="R83" s="506">
        <f>'3 Statement Model'!R84/'3 Statement Model'!R$108</f>
        <v>0.55050143667382423</v>
      </c>
      <c r="S83" s="506">
        <f>'3 Statement Model'!S84/'3 Statement Model'!S$108</f>
        <v>0.55250627536516306</v>
      </c>
    </row>
    <row r="84" spans="2:19" ht="14.4" customHeight="1">
      <c r="B84" s="3"/>
      <c r="C84" s="2"/>
      <c r="D84" s="185"/>
      <c r="E84" s="185"/>
      <c r="F84" s="185"/>
      <c r="G84" s="185"/>
      <c r="H84" s="185"/>
      <c r="I84" s="185"/>
      <c r="J84" s="424"/>
      <c r="K84" s="5"/>
      <c r="L84" s="5"/>
      <c r="M84" s="5"/>
      <c r="N84" s="5"/>
      <c r="O84" s="5"/>
      <c r="P84" s="5"/>
      <c r="Q84" s="5"/>
      <c r="R84" s="5"/>
      <c r="S84" s="5"/>
    </row>
    <row r="85" spans="2:19" ht="14.4" customHeight="1">
      <c r="B85" s="61" t="s">
        <v>215</v>
      </c>
      <c r="C85" s="2"/>
      <c r="D85" s="185"/>
      <c r="E85" s="185"/>
      <c r="F85" s="185"/>
      <c r="G85" s="185"/>
      <c r="H85" s="185"/>
      <c r="I85" s="185"/>
      <c r="J85" s="5"/>
      <c r="K85" s="5"/>
      <c r="L85" s="5"/>
      <c r="M85" s="5"/>
      <c r="N85" s="5"/>
      <c r="O85" s="5"/>
      <c r="P85" s="5"/>
      <c r="Q85" s="5"/>
      <c r="R85" s="5"/>
      <c r="S85" s="5"/>
    </row>
    <row r="86" spans="2:19" ht="14.4" customHeight="1">
      <c r="B86" s="90"/>
      <c r="C86" s="2"/>
      <c r="D86" s="185"/>
      <c r="E86" s="185"/>
      <c r="F86" s="185"/>
      <c r="G86" s="185"/>
      <c r="H86" s="185"/>
      <c r="I86" s="185"/>
      <c r="J86" s="5"/>
      <c r="K86" s="5"/>
      <c r="L86" s="5"/>
      <c r="M86" s="5"/>
      <c r="N86" s="5"/>
      <c r="O86" s="5"/>
      <c r="P86" s="5"/>
      <c r="Q86" s="5"/>
      <c r="R86" s="5"/>
      <c r="S86" s="5"/>
    </row>
    <row r="87" spans="2:19" ht="14.4" customHeight="1">
      <c r="B87" t="s">
        <v>691</v>
      </c>
      <c r="C87" s="2"/>
      <c r="D87" s="503">
        <f>'3 Statement Model'!D88/'3 Statement Model'!D$108</f>
        <v>1.9992003198720512E-3</v>
      </c>
      <c r="E87" s="503">
        <f>'3 Statement Model'!E88/'3 Statement Model'!E$108</f>
        <v>1.4519056261343012E-3</v>
      </c>
      <c r="F87" s="503">
        <f>'3 Statement Model'!F88/'3 Statement Model'!F$108</f>
        <v>0</v>
      </c>
      <c r="G87" s="503">
        <f>'3 Statement Model'!G88/'3 Statement Model'!G$108</f>
        <v>2.8793550244745177E-4</v>
      </c>
      <c r="H87" s="503">
        <f>'3 Statement Model'!H88/'3 Statement Model'!H$108</f>
        <v>0</v>
      </c>
      <c r="I87" s="503">
        <f>'3 Statement Model'!I88/'3 Statement Model'!I$108</f>
        <v>0</v>
      </c>
      <c r="J87" s="504">
        <f>'3 Statement Model'!J88/'3 Statement Model'!J$108</f>
        <v>0</v>
      </c>
      <c r="K87" s="504">
        <f>'3 Statement Model'!K88/'3 Statement Model'!K$108</f>
        <v>0</v>
      </c>
      <c r="L87" s="504">
        <f>'3 Statement Model'!L88/'3 Statement Model'!L$108</f>
        <v>0</v>
      </c>
      <c r="M87" s="504">
        <f>'3 Statement Model'!M88/'3 Statement Model'!M$108</f>
        <v>0</v>
      </c>
      <c r="N87" s="504">
        <f>'3 Statement Model'!N88/'3 Statement Model'!N$108</f>
        <v>0</v>
      </c>
      <c r="O87" s="504">
        <f>'3 Statement Model'!O88/'3 Statement Model'!O$108</f>
        <v>0</v>
      </c>
      <c r="P87" s="504">
        <f>'3 Statement Model'!P88/'3 Statement Model'!P$108</f>
        <v>0</v>
      </c>
      <c r="Q87" s="504">
        <f>'3 Statement Model'!Q88/'3 Statement Model'!Q$108</f>
        <v>0</v>
      </c>
      <c r="R87" s="504">
        <f>'3 Statement Model'!R88/'3 Statement Model'!R$108</f>
        <v>0</v>
      </c>
      <c r="S87" s="504">
        <f>'3 Statement Model'!S88/'3 Statement Model'!S$108</f>
        <v>0</v>
      </c>
    </row>
    <row r="88" spans="2:19" ht="14.4" customHeight="1">
      <c r="B88" t="s">
        <v>692</v>
      </c>
      <c r="C88" s="2"/>
      <c r="D88" s="503">
        <f>'3 Statement Model'!D89/'3 Statement Model'!D$108</f>
        <v>0</v>
      </c>
      <c r="E88" s="503">
        <f>'3 Statement Model'!E89/'3 Statement Model'!E$108</f>
        <v>0</v>
      </c>
      <c r="F88" s="503">
        <f>'3 Statement Model'!F89/'3 Statement Model'!F$108</f>
        <v>1.5727618389215346E-2</v>
      </c>
      <c r="G88" s="503">
        <f>'3 Statement Model'!G89/'3 Statement Model'!G$108</f>
        <v>1.3101065361359056E-2</v>
      </c>
      <c r="H88" s="503">
        <f>'3 Statement Model'!H89/'3 Statement Model'!H$108</f>
        <v>1.4014283789246733E-2</v>
      </c>
      <c r="I88" s="503">
        <f>'3 Statement Model'!I89/'3 Statement Model'!I$108</f>
        <v>1.4871671863756297E-2</v>
      </c>
      <c r="J88" s="504">
        <f>'3 Statement Model'!J89/'3 Statement Model'!J$108</f>
        <v>1.3865116378703496E-2</v>
      </c>
      <c r="K88" s="504">
        <f>'3 Statement Model'!K89/'3 Statement Model'!K$108</f>
        <v>1.2846448668673115E-2</v>
      </c>
      <c r="L88" s="504">
        <f>'3 Statement Model'!L89/'3 Statement Model'!L$108</f>
        <v>1.2145408437053936E-2</v>
      </c>
      <c r="M88" s="504">
        <f>'3 Statement Model'!M89/'3 Statement Model'!M$108</f>
        <v>1.1301039323310422E-2</v>
      </c>
      <c r="N88" s="504">
        <f>'3 Statement Model'!N89/'3 Statement Model'!N$108</f>
        <v>1.064522883749169E-2</v>
      </c>
      <c r="O88" s="504">
        <f>'3 Statement Model'!O89/'3 Statement Model'!O$108</f>
        <v>1.0010174139432532E-2</v>
      </c>
      <c r="P88" s="504">
        <f>'3 Statement Model'!P89/'3 Statement Model'!P$108</f>
        <v>9.3502051971079657E-3</v>
      </c>
      <c r="Q88" s="504">
        <f>'3 Statement Model'!Q89/'3 Statement Model'!Q$108</f>
        <v>8.6685019002513321E-3</v>
      </c>
      <c r="R88" s="504">
        <f>'3 Statement Model'!R89/'3 Statement Model'!R$108</f>
        <v>8.0139609713783897E-3</v>
      </c>
      <c r="S88" s="504">
        <f>'3 Statement Model'!S89/'3 Statement Model'!S$108</f>
        <v>7.3886118476846506E-3</v>
      </c>
    </row>
    <row r="89" spans="2:19" ht="14.4" customHeight="1">
      <c r="B89" t="s">
        <v>693</v>
      </c>
      <c r="C89" s="2"/>
      <c r="D89" s="503">
        <f>'3 Statement Model'!D90/'3 Statement Model'!D$108</f>
        <v>2.8788484606157537E-2</v>
      </c>
      <c r="E89" s="503">
        <f>'3 Statement Model'!E90/'3 Statement Model'!E$108</f>
        <v>2.2141560798548093E-2</v>
      </c>
      <c r="F89" s="503">
        <f>'3 Statement Model'!F90/'3 Statement Model'!F$108</f>
        <v>1.7283097131005876E-4</v>
      </c>
      <c r="G89" s="503">
        <f>'3 Statement Model'!G90/'3 Statement Model'!G$108</f>
        <v>3.8295421825511086E-2</v>
      </c>
      <c r="H89" s="503">
        <f>'3 Statement Model'!H90/'3 Statement Model'!H$108</f>
        <v>5.45748551408166E-2</v>
      </c>
      <c r="I89" s="503">
        <f>'3 Statement Model'!I90/'3 Statement Model'!I$108</f>
        <v>0.14523866634684576</v>
      </c>
      <c r="J89" s="504">
        <f>'3 Statement Model'!J90/'3 Statement Model'!J$108</f>
        <v>0.13540851560169301</v>
      </c>
      <c r="K89" s="504">
        <f>'3 Statement Model'!K90/'3 Statement Model'!K$108</f>
        <v>0.12546007530454148</v>
      </c>
      <c r="L89" s="504">
        <f>'3 Statement Model'!L90/'3 Statement Model'!L$108</f>
        <v>0.11861362594574448</v>
      </c>
      <c r="M89" s="504">
        <f>'3 Statement Model'!M90/'3 Statement Model'!M$108</f>
        <v>0.11036740823007195</v>
      </c>
      <c r="N89" s="504">
        <f>'3 Statement Model'!N90/'3 Statement Model'!N$108</f>
        <v>0.10396267840485837</v>
      </c>
      <c r="O89" s="504">
        <f>'3 Statement Model'!O90/'3 Statement Model'!O$108</f>
        <v>9.7760652281070934E-2</v>
      </c>
      <c r="P89" s="504">
        <f>'3 Statement Model'!P90/'3 Statement Model'!P$108</f>
        <v>9.1315310433046332E-2</v>
      </c>
      <c r="Q89" s="504">
        <f>'3 Statement Model'!Q90/'3 Statement Model'!Q$108</f>
        <v>8.4657708074228732E-2</v>
      </c>
      <c r="R89" s="504">
        <f>'3 Statement Model'!R90/'3 Statement Model'!R$108</f>
        <v>7.826537690596154E-2</v>
      </c>
      <c r="S89" s="504">
        <f>'3 Statement Model'!S90/'3 Statement Model'!S$108</f>
        <v>7.2158136673758963E-2</v>
      </c>
    </row>
    <row r="90" spans="2:19" ht="14.4" customHeight="1">
      <c r="B90" t="s">
        <v>694</v>
      </c>
      <c r="C90" s="2"/>
      <c r="D90" s="503">
        <f>'3 Statement Model'!D91/'3 Statement Model'!D$108</f>
        <v>0</v>
      </c>
      <c r="E90" s="503">
        <f>'3 Statement Model'!E91/'3 Statement Model'!E$108</f>
        <v>1.8148820326678765E-4</v>
      </c>
      <c r="F90" s="503">
        <f>'3 Statement Model'!F91/'3 Statement Model'!F$108</f>
        <v>0</v>
      </c>
      <c r="G90" s="503">
        <f>'3 Statement Model'!G91/'3 Statement Model'!G$108</f>
        <v>5.7587100489490354E-4</v>
      </c>
      <c r="H90" s="503">
        <f>'3 Statement Model'!H91/'3 Statement Model'!H$108</f>
        <v>1.3475272874275703E-4</v>
      </c>
      <c r="I90" s="503">
        <f>'3 Statement Model'!I91/'3 Statement Model'!I$108</f>
        <v>1.1993283761093787E-4</v>
      </c>
      <c r="J90" s="504">
        <f>'3 Statement Model'!J91/'3 Statement Model'!J$108</f>
        <v>1.1181545466696368E-4</v>
      </c>
      <c r="K90" s="504">
        <f>'3 Statement Model'!K91/'3 Statement Model'!K$108</f>
        <v>1.0360039248929932E-4</v>
      </c>
      <c r="L90" s="504">
        <f>'3 Statement Model'!L91/'3 Statement Model'!L$108</f>
        <v>9.7946842234305939E-5</v>
      </c>
      <c r="M90" s="504">
        <f>'3 Statement Model'!M91/'3 Statement Model'!M$108</f>
        <v>9.1137413897664696E-5</v>
      </c>
      <c r="N90" s="504">
        <f>'3 Statement Model'!N91/'3 Statement Model'!N$108</f>
        <v>8.584861965719106E-5</v>
      </c>
      <c r="O90" s="504">
        <f>'3 Statement Model'!O91/'3 Statement Model'!O$108</f>
        <v>8.0727210801875252E-5</v>
      </c>
      <c r="P90" s="504">
        <f>'3 Statement Model'!P91/'3 Statement Model'!P$108</f>
        <v>7.5404880621838429E-5</v>
      </c>
      <c r="Q90" s="504">
        <f>'3 Statement Model'!Q91/'3 Statement Model'!Q$108</f>
        <v>6.9907273389123643E-5</v>
      </c>
      <c r="R90" s="504">
        <f>'3 Statement Model'!R91/'3 Statement Model'!R$108</f>
        <v>6.4628717511116052E-5</v>
      </c>
      <c r="S90" s="504">
        <f>'3 Statement Model'!S91/'3 Statement Model'!S$108</f>
        <v>5.9585579416811696E-5</v>
      </c>
    </row>
    <row r="91" spans="2:19" ht="14.4" customHeight="1">
      <c r="B91" s="84" t="s">
        <v>221</v>
      </c>
      <c r="C91" s="2"/>
      <c r="D91" s="503">
        <f>'3 Statement Model'!D92/'3 Statement Model'!D$108</f>
        <v>4.1983206717313079E-3</v>
      </c>
      <c r="E91" s="503">
        <f>'3 Statement Model'!E92/'3 Statement Model'!E$108</f>
        <v>4.3557168784029042E-3</v>
      </c>
      <c r="F91" s="503">
        <f>'3 Statement Model'!F92/'3 Statement Model'!F$108</f>
        <v>4.6664362253715863E-3</v>
      </c>
      <c r="G91" s="503">
        <f>'3 Statement Model'!G92/'3 Statement Model'!G$108</f>
        <v>2.8793550244745176E-3</v>
      </c>
      <c r="H91" s="503">
        <f>'3 Statement Model'!H92/'3 Statement Model'!H$108</f>
        <v>2.5603018461123838E-3</v>
      </c>
      <c r="I91" s="503">
        <f>'3 Statement Model'!I92/'3 Statement Model'!I$108</f>
        <v>3.2381866154953228E-3</v>
      </c>
      <c r="J91" s="504">
        <f>'3 Statement Model'!J92/'3 Statement Model'!J$108</f>
        <v>3.0190172760080191E-3</v>
      </c>
      <c r="K91" s="504">
        <f>'3 Statement Model'!K92/'3 Statement Model'!K$108</f>
        <v>2.7972105972110814E-3</v>
      </c>
      <c r="L91" s="504">
        <f>'3 Statement Model'!L92/'3 Statement Model'!L$108</f>
        <v>2.6445647403262602E-3</v>
      </c>
      <c r="M91" s="504">
        <f>'3 Statement Model'!M92/'3 Statement Model'!M$108</f>
        <v>2.460710175236947E-3</v>
      </c>
      <c r="N91" s="504">
        <f>'3 Statement Model'!N92/'3 Statement Model'!N$108</f>
        <v>2.3179127307441584E-3</v>
      </c>
      <c r="O91" s="504">
        <f>'3 Statement Model'!O92/'3 Statement Model'!O$108</f>
        <v>2.1796346916506319E-3</v>
      </c>
      <c r="P91" s="504">
        <f>'3 Statement Model'!P92/'3 Statement Model'!P$108</f>
        <v>2.0359317767896378E-3</v>
      </c>
      <c r="Q91" s="504">
        <f>'3 Statement Model'!Q92/'3 Statement Model'!Q$108</f>
        <v>1.8874963815063385E-3</v>
      </c>
      <c r="R91" s="504">
        <f>'3 Statement Model'!R92/'3 Statement Model'!R$108</f>
        <v>1.7449753728001334E-3</v>
      </c>
      <c r="S91" s="504">
        <f>'3 Statement Model'!S92/'3 Statement Model'!S$108</f>
        <v>1.6088106442539159E-3</v>
      </c>
    </row>
    <row r="92" spans="2:19" ht="14.4" customHeight="1">
      <c r="B92" t="s">
        <v>695</v>
      </c>
      <c r="C92" s="2"/>
      <c r="D92" s="503">
        <f>'3 Statement Model'!D93/'3 Statement Model'!D$108</f>
        <v>1.1995201919232307E-3</v>
      </c>
      <c r="E92" s="503">
        <f>'3 Statement Model'!E93/'3 Statement Model'!E$108</f>
        <v>1.5245009074410164E-2</v>
      </c>
      <c r="F92" s="503">
        <f>'3 Statement Model'!F93/'3 Statement Model'!F$108</f>
        <v>1.8838575872796404E-2</v>
      </c>
      <c r="G92" s="503">
        <f>'3 Statement Model'!G93/'3 Statement Model'!G$108</f>
        <v>2.5626259717823209E-2</v>
      </c>
      <c r="H92" s="503">
        <f>'3 Statement Model'!H93/'3 Statement Model'!H$108</f>
        <v>3.7596011319229211E-2</v>
      </c>
      <c r="I92" s="503">
        <f>'3 Statement Model'!I93/'3 Statement Model'!I$108</f>
        <v>2.9743343727512594E-2</v>
      </c>
      <c r="J92" s="504">
        <f>'3 Statement Model'!J93/'3 Statement Model'!J$108</f>
        <v>2.7730232757406992E-2</v>
      </c>
      <c r="K92" s="504">
        <f>'3 Statement Model'!K93/'3 Statement Model'!K$108</f>
        <v>2.569289733734623E-2</v>
      </c>
      <c r="L92" s="504">
        <f>'3 Statement Model'!L93/'3 Statement Model'!L$108</f>
        <v>2.4290816874107873E-2</v>
      </c>
      <c r="M92" s="504">
        <f>'3 Statement Model'!M93/'3 Statement Model'!M$108</f>
        <v>2.2602078646620845E-2</v>
      </c>
      <c r="N92" s="504">
        <f>'3 Statement Model'!N93/'3 Statement Model'!N$108</f>
        <v>2.129045767498338E-2</v>
      </c>
      <c r="O92" s="504">
        <f>'3 Statement Model'!O93/'3 Statement Model'!O$108</f>
        <v>2.0020348278865063E-2</v>
      </c>
      <c r="P92" s="504">
        <f>'3 Statement Model'!P93/'3 Statement Model'!P$108</f>
        <v>1.8700410394215931E-2</v>
      </c>
      <c r="Q92" s="504">
        <f>'3 Statement Model'!Q93/'3 Statement Model'!Q$108</f>
        <v>1.7337003800502664E-2</v>
      </c>
      <c r="R92" s="504">
        <f>'3 Statement Model'!R93/'3 Statement Model'!R$108</f>
        <v>1.6027921942756779E-2</v>
      </c>
      <c r="S92" s="504">
        <f>'3 Statement Model'!S93/'3 Statement Model'!S$108</f>
        <v>1.4777223695369301E-2</v>
      </c>
    </row>
    <row r="93" spans="2:19" ht="14.4" customHeight="1">
      <c r="B93" s="428" t="s">
        <v>223</v>
      </c>
      <c r="C93" s="359"/>
      <c r="D93" s="508">
        <f>'3 Statement Model'!D94/'3 Statement Model'!D$108</f>
        <v>3.6185525789684127E-2</v>
      </c>
      <c r="E93" s="508">
        <f>'3 Statement Model'!E94/'3 Statement Model'!E$108</f>
        <v>4.3375680580762251E-2</v>
      </c>
      <c r="F93" s="508">
        <f>'3 Statement Model'!F94/'3 Statement Model'!F$108</f>
        <v>3.9405461458693399E-2</v>
      </c>
      <c r="G93" s="508">
        <f>'3 Statement Model'!G94/'3 Statement Model'!G$108</f>
        <v>8.0765908436510228E-2</v>
      </c>
      <c r="H93" s="508">
        <f>'3 Statement Model'!H94/'3 Statement Model'!H$108</f>
        <v>0.10888020482414769</v>
      </c>
      <c r="I93" s="508">
        <f>'3 Statement Model'!I94/'3 Statement Model'!I$108</f>
        <v>0.19321180139122091</v>
      </c>
      <c r="J93" s="506">
        <f>'3 Statement Model'!J94/'3 Statement Model'!J$108</f>
        <v>0.18013469746847849</v>
      </c>
      <c r="K93" s="506">
        <f>'3 Statement Model'!K94/'3 Statement Model'!K$108</f>
        <v>0.16690023230026119</v>
      </c>
      <c r="L93" s="506">
        <f>'3 Statement Model'!L94/'3 Statement Model'!L$108</f>
        <v>0.15779236283946688</v>
      </c>
      <c r="M93" s="506">
        <f>'3 Statement Model'!M94/'3 Statement Model'!M$108</f>
        <v>0.14682237378913784</v>
      </c>
      <c r="N93" s="506">
        <f>'3 Statement Model'!N94/'3 Statement Model'!N$108</f>
        <v>0.13830212626773478</v>
      </c>
      <c r="O93" s="506">
        <f>'3 Statement Model'!O94/'3 Statement Model'!O$108</f>
        <v>0.13005153660182103</v>
      </c>
      <c r="P93" s="506">
        <f>'3 Statement Model'!P94/'3 Statement Model'!P$108</f>
        <v>0.1214772626817817</v>
      </c>
      <c r="Q93" s="506">
        <f>'3 Statement Model'!Q94/'3 Statement Model'!Q$108</f>
        <v>0.11262061742987819</v>
      </c>
      <c r="R93" s="506">
        <f>'3 Statement Model'!R94/'3 Statement Model'!R$108</f>
        <v>0.10411686391040796</v>
      </c>
      <c r="S93" s="506">
        <f>'3 Statement Model'!S94/'3 Statement Model'!S$108</f>
        <v>9.5992368440483644E-2</v>
      </c>
    </row>
    <row r="94" spans="2:19" ht="14.4" customHeight="1">
      <c r="J94" s="5"/>
      <c r="K94" s="5"/>
      <c r="L94" s="5"/>
      <c r="M94" s="5"/>
      <c r="N94" s="5"/>
      <c r="O94" s="5"/>
      <c r="P94" s="5"/>
      <c r="Q94" s="5"/>
      <c r="R94" s="5"/>
      <c r="S94" s="5"/>
    </row>
    <row r="95" spans="2:19" ht="14.4" customHeight="1">
      <c r="B95" s="61" t="s">
        <v>590</v>
      </c>
      <c r="E95" s="185"/>
      <c r="F95" s="185"/>
      <c r="G95" s="185"/>
      <c r="H95" s="185"/>
      <c r="I95" s="185"/>
      <c r="J95" s="5"/>
      <c r="K95" s="5"/>
      <c r="L95" s="5"/>
      <c r="M95" s="5"/>
      <c r="N95" s="5"/>
      <c r="O95" s="5"/>
      <c r="P95" s="5"/>
      <c r="Q95" s="5"/>
      <c r="R95" s="5"/>
      <c r="S95" s="5"/>
    </row>
    <row r="96" spans="2:19" ht="14.4" customHeight="1">
      <c r="C96" s="2"/>
      <c r="D96" s="185"/>
      <c r="E96" s="185"/>
      <c r="F96" s="185"/>
      <c r="G96" s="185"/>
      <c r="H96" s="185"/>
      <c r="I96" s="185"/>
      <c r="J96" s="5"/>
      <c r="K96" s="5"/>
      <c r="L96" s="5"/>
      <c r="M96" s="5"/>
      <c r="N96" s="5"/>
      <c r="O96" s="5"/>
      <c r="P96" s="5"/>
      <c r="Q96" s="5"/>
      <c r="R96" s="5"/>
      <c r="S96" s="5"/>
    </row>
    <row r="97" spans="2:19" ht="14.4" customHeight="1">
      <c r="B97" t="s">
        <v>587</v>
      </c>
      <c r="C97" s="2"/>
      <c r="D97" s="503">
        <f>'3 Statement Model'!D98/'3 Statement Model'!D$108</f>
        <v>0.1955217912834866</v>
      </c>
      <c r="E97" s="503">
        <f>'3 Statement Model'!E98/'3 Statement Model'!E$108</f>
        <v>0.20580762250453721</v>
      </c>
      <c r="F97" s="503">
        <f>'3 Statement Model'!F98/'3 Statement Model'!F$108</f>
        <v>0.23228482544071899</v>
      </c>
      <c r="G97" s="503">
        <f>'3 Statement Model'!G98/'3 Statement Model'!G$108</f>
        <v>0.20904117477685</v>
      </c>
      <c r="H97" s="503">
        <f>'3 Statement Model'!H98/'3 Statement Model'!H$108</f>
        <v>0.21304406414229887</v>
      </c>
      <c r="I97" s="503">
        <f>'3 Statement Model'!I98/'3 Statement Model'!I$108</f>
        <v>0.16346845766370832</v>
      </c>
      <c r="J97" s="504">
        <f>'3 Statement Model'!J98/'3 Statement Model'!J$108</f>
        <v>0.17331089129667954</v>
      </c>
      <c r="K97" s="504">
        <f>'3 Statement Model'!K98/'3 Statement Model'!K$108</f>
        <v>0.19135269630919416</v>
      </c>
      <c r="L97" s="504">
        <f>'3 Statement Model'!L98/'3 Statement Model'!L$108</f>
        <v>0.20533334684838353</v>
      </c>
      <c r="M97" s="504">
        <f>'3 Statement Model'!M98/'3 Statement Model'!M$108</f>
        <v>0.20972734743580149</v>
      </c>
      <c r="N97" s="504">
        <f>'3 Statement Model'!N98/'3 Statement Model'!N$108</f>
        <v>0.21370312005628486</v>
      </c>
      <c r="O97" s="504">
        <f>'3 Statement Model'!O98/'3 Statement Model'!O$108</f>
        <v>0.22506891453321048</v>
      </c>
      <c r="P97" s="504">
        <f>'3 Statement Model'!P98/'3 Statement Model'!P$108</f>
        <v>0.23084096256845771</v>
      </c>
      <c r="Q97" s="504">
        <f>'3 Statement Model'!Q98/'3 Statement Model'!Q$108</f>
        <v>0.2396921473012574</v>
      </c>
      <c r="R97" s="504">
        <f>'3 Statement Model'!R98/'3 Statement Model'!R$108</f>
        <v>0.24818469904124485</v>
      </c>
      <c r="S97" s="504">
        <f>'3 Statement Model'!S98/'3 Statement Model'!S$108</f>
        <v>0.25627642360815811</v>
      </c>
    </row>
    <row r="98" spans="2:19" ht="14.4" customHeight="1">
      <c r="B98" t="s">
        <v>696</v>
      </c>
      <c r="C98" s="2"/>
      <c r="D98" s="503">
        <f>'3 Statement Model'!D99/'3 Statement Model'!D$108</f>
        <v>6.4974010395841664E-2</v>
      </c>
      <c r="E98" s="503">
        <f>'3 Statement Model'!E99/'3 Statement Model'!E$108</f>
        <v>6.1705989110707807E-2</v>
      </c>
      <c r="F98" s="503">
        <f>'3 Statement Model'!F99/'3 Statement Model'!F$108</f>
        <v>5.9626685101970271E-2</v>
      </c>
      <c r="G98" s="503">
        <f>'3 Statement Model'!G99/'3 Statement Model'!G$108</f>
        <v>6.8096746328822344E-2</v>
      </c>
      <c r="H98" s="503">
        <f>'3 Statement Model'!H99/'3 Statement Model'!H$108</f>
        <v>5.1610295108475944E-2</v>
      </c>
      <c r="I98" s="503">
        <f>'3 Statement Model'!I99/'3 Statement Model'!I$108</f>
        <v>4.5454545454545456E-2</v>
      </c>
      <c r="J98" s="504">
        <f>'3 Statement Model'!J99/'3 Statement Model'!J$108</f>
        <v>5.5224937441103503E-2</v>
      </c>
      <c r="K98" s="504">
        <f>'3 Statement Model'!K99/'3 Statement Model'!K$108</f>
        <v>5.807519286702667E-2</v>
      </c>
      <c r="L98" s="504">
        <f>'3 Statement Model'!L99/'3 Statement Model'!L$108</f>
        <v>4.6532823575613058E-2</v>
      </c>
      <c r="M98" s="504">
        <f>'3 Statement Model'!M99/'3 Statement Model'!M$108</f>
        <v>4.8710006810421931E-2</v>
      </c>
      <c r="N98" s="504">
        <f>'3 Statement Model'!N99/'3 Statement Model'!N$108</f>
        <v>5.13893149876525E-2</v>
      </c>
      <c r="O98" s="504">
        <f>'3 Statement Model'!O99/'3 Statement Model'!O$108</f>
        <v>4.5282453406971158E-2</v>
      </c>
      <c r="P98" s="504">
        <f>'3 Statement Model'!P99/'3 Statement Model'!P$108</f>
        <v>4.7183892748992762E-2</v>
      </c>
      <c r="Q98" s="504">
        <f>'3 Statement Model'!Q99/'3 Statement Model'!Q$108</f>
        <v>4.8993074908377024E-2</v>
      </c>
      <c r="R98" s="504">
        <f>'3 Statement Model'!R99/'3 Statement Model'!R$108</f>
        <v>5.0728952484030462E-2</v>
      </c>
      <c r="S98" s="504">
        <f>'3 Statement Model'!S99/'3 Statement Model'!S$108</f>
        <v>5.2382900985507512E-2</v>
      </c>
    </row>
    <row r="99" spans="2:19" ht="14.4" customHeight="1">
      <c r="B99" t="s">
        <v>692</v>
      </c>
      <c r="C99" s="2"/>
      <c r="D99" s="503">
        <f>'3 Statement Model'!D100/'3 Statement Model'!D$108</f>
        <v>0</v>
      </c>
      <c r="E99" s="503">
        <f>'3 Statement Model'!E100/'3 Statement Model'!E$108</f>
        <v>0</v>
      </c>
      <c r="F99" s="503">
        <f>'3 Statement Model'!F100/'3 Statement Model'!F$108</f>
        <v>7.4317317663325265E-3</v>
      </c>
      <c r="G99" s="503">
        <f>'3 Statement Model'!G100/'3 Statement Model'!G$108</f>
        <v>6.0466455513964873E-3</v>
      </c>
      <c r="H99" s="503">
        <f>'3 Statement Model'!H100/'3 Statement Model'!H$108</f>
        <v>5.5248618784530384E-3</v>
      </c>
      <c r="I99" s="503">
        <f>'3 Statement Model'!I100/'3 Statement Model'!I$108</f>
        <v>6.1165747181578314E-3</v>
      </c>
      <c r="J99" s="504">
        <f>'3 Statement Model'!J100/'3 Statement Model'!J$108</f>
        <v>5.7025881880151475E-3</v>
      </c>
      <c r="K99" s="504">
        <f>'3 Statement Model'!K100/'3 Statement Model'!K$108</f>
        <v>5.2836200169542654E-3</v>
      </c>
      <c r="L99" s="504">
        <f>'3 Statement Model'!L100/'3 Statement Model'!L$108</f>
        <v>4.995288953949603E-3</v>
      </c>
      <c r="M99" s="504">
        <f>'3 Statement Model'!M100/'3 Statement Model'!M$108</f>
        <v>4.6480081087808996E-3</v>
      </c>
      <c r="N99" s="504">
        <f>'3 Statement Model'!N100/'3 Statement Model'!N$108</f>
        <v>4.3782796025167436E-3</v>
      </c>
      <c r="O99" s="504">
        <f>'3 Statement Model'!O100/'3 Statement Model'!O$108</f>
        <v>4.1170877508956375E-3</v>
      </c>
      <c r="P99" s="504">
        <f>'3 Statement Model'!P100/'3 Statement Model'!P$108</f>
        <v>3.8456489117137597E-3</v>
      </c>
      <c r="Q99" s="504">
        <f>'3 Statement Model'!Q100/'3 Statement Model'!Q$108</f>
        <v>3.5652709428453059E-3</v>
      </c>
      <c r="R99" s="504">
        <f>'3 Statement Model'!R100/'3 Statement Model'!R$108</f>
        <v>3.2960645930669185E-3</v>
      </c>
      <c r="S99" s="504">
        <f>'3 Statement Model'!S100/'3 Statement Model'!S$108</f>
        <v>3.0388645502573966E-3</v>
      </c>
    </row>
    <row r="100" spans="2:19" ht="14.4" customHeight="1">
      <c r="B100" t="s">
        <v>697</v>
      </c>
      <c r="C100" s="2"/>
      <c r="D100" s="503">
        <f>'3 Statement Model'!D101/'3 Statement Model'!D$108</f>
        <v>1.5793682526989206E-2</v>
      </c>
      <c r="E100" s="503">
        <f>'3 Statement Model'!E101/'3 Statement Model'!E$108</f>
        <v>1.4882032667876587E-2</v>
      </c>
      <c r="F100" s="503">
        <f>'3 Statement Model'!F101/'3 Statement Model'!F$108</f>
        <v>7.7773937089526445E-3</v>
      </c>
      <c r="G100" s="503">
        <f>'3 Statement Model'!G101/'3 Statement Model'!G$108</f>
        <v>5.7587100489490351E-3</v>
      </c>
      <c r="H100" s="503">
        <f>'3 Statement Model'!H101/'3 Statement Model'!H$108</f>
        <v>7.9504109958226654E-3</v>
      </c>
      <c r="I100" s="503">
        <f>'3 Statement Model'!I101/'3 Statement Model'!I$108</f>
        <v>2.7704485488126648E-2</v>
      </c>
      <c r="J100" s="504">
        <f>'3 Statement Model'!J101/'3 Statement Model'!J$108</f>
        <v>2.5829370028068611E-2</v>
      </c>
      <c r="K100" s="504">
        <f>'3 Statement Model'!K101/'3 Statement Model'!K$108</f>
        <v>2.3931690665028142E-2</v>
      </c>
      <c r="L100" s="504">
        <f>'3 Statement Model'!L101/'3 Statement Model'!L$108</f>
        <v>2.2625720556124673E-2</v>
      </c>
      <c r="M100" s="504">
        <f>'3 Statement Model'!M101/'3 Statement Model'!M$108</f>
        <v>2.1052742610360546E-2</v>
      </c>
      <c r="N100" s="504">
        <f>'3 Statement Model'!N101/'3 Statement Model'!N$108</f>
        <v>1.9831031140811133E-2</v>
      </c>
      <c r="O100" s="504">
        <f>'3 Statement Model'!O101/'3 Statement Model'!O$108</f>
        <v>1.8647985695233182E-2</v>
      </c>
      <c r="P100" s="504">
        <f>'3 Statement Model'!P101/'3 Statement Model'!P$108</f>
        <v>1.7418527423644678E-2</v>
      </c>
      <c r="Q100" s="504">
        <f>'3 Statement Model'!Q101/'3 Statement Model'!Q$108</f>
        <v>1.6148580152887563E-2</v>
      </c>
      <c r="R100" s="504">
        <f>'3 Statement Model'!R101/'3 Statement Model'!R$108</f>
        <v>1.4929233745067808E-2</v>
      </c>
      <c r="S100" s="504">
        <f>'3 Statement Model'!S101/'3 Statement Model'!S$108</f>
        <v>1.3764268845283503E-2</v>
      </c>
    </row>
    <row r="101" spans="2:19" ht="14.4" customHeight="1">
      <c r="B101" t="s">
        <v>14</v>
      </c>
      <c r="C101" s="2"/>
      <c r="D101" s="503">
        <f>'3 Statement Model'!D102/'3 Statement Model'!D$108</f>
        <v>4.3382646941223513E-2</v>
      </c>
      <c r="E101" s="503">
        <f>'3 Statement Model'!E102/'3 Statement Model'!E$108</f>
        <v>5.2087114337568061E-2</v>
      </c>
      <c r="F101" s="503">
        <f>'3 Statement Model'!F102/'3 Statement Model'!F$108</f>
        <v>3.8714137573453163E-2</v>
      </c>
      <c r="G101" s="503">
        <f>'3 Statement Model'!G102/'3 Statement Model'!G$108</f>
        <v>3.1241002015548518E-2</v>
      </c>
      <c r="H101" s="503">
        <f>'3 Statement Model'!H102/'3 Statement Model'!H$108</f>
        <v>2.8432825764721736E-2</v>
      </c>
      <c r="I101" s="503">
        <f>'3 Statement Model'!I102/'3 Statement Model'!I$108</f>
        <v>2.7824418325737586E-2</v>
      </c>
      <c r="J101" s="504">
        <f>'3 Statement Model'!J102/'3 Statement Model'!J$108</f>
        <v>2.5941185482735572E-2</v>
      </c>
      <c r="K101" s="504">
        <f>'3 Statement Model'!K102/'3 Statement Model'!K$108</f>
        <v>2.4035291057517442E-2</v>
      </c>
      <c r="L101" s="504">
        <f>'3 Statement Model'!L102/'3 Statement Model'!L$108</f>
        <v>2.2723667398358977E-2</v>
      </c>
      <c r="M101" s="504">
        <f>'3 Statement Model'!M102/'3 Statement Model'!M$108</f>
        <v>2.114388002425821E-2</v>
      </c>
      <c r="N101" s="504">
        <f>'3 Statement Model'!N102/'3 Statement Model'!N$108</f>
        <v>1.9916879760468326E-2</v>
      </c>
      <c r="O101" s="504">
        <f>'3 Statement Model'!O102/'3 Statement Model'!O$108</f>
        <v>1.8728712906035058E-2</v>
      </c>
      <c r="P101" s="504">
        <f>'3 Statement Model'!P102/'3 Statement Model'!P$108</f>
        <v>1.7493932304266515E-2</v>
      </c>
      <c r="Q101" s="504">
        <f>'3 Statement Model'!Q102/'3 Statement Model'!Q$108</f>
        <v>1.6218487426276688E-2</v>
      </c>
      <c r="R101" s="504">
        <f>'3 Statement Model'!R102/'3 Statement Model'!R$108</f>
        <v>1.4993862462578923E-2</v>
      </c>
      <c r="S101" s="504">
        <f>'3 Statement Model'!S102/'3 Statement Model'!S$108</f>
        <v>1.3823854424700313E-2</v>
      </c>
    </row>
    <row r="102" spans="2:19" ht="14.4" customHeight="1">
      <c r="B102" t="s">
        <v>220</v>
      </c>
      <c r="C102" s="2"/>
      <c r="D102" s="503">
        <f>'3 Statement Model'!D103/'3 Statement Model'!D$108</f>
        <v>1.1595361855257898E-2</v>
      </c>
      <c r="E102" s="503">
        <f>'3 Statement Model'!E103/'3 Statement Model'!E$108</f>
        <v>3.629764065335753E-3</v>
      </c>
      <c r="F102" s="503">
        <f>'3 Statement Model'!F103/'3 Statement Model'!F$108</f>
        <v>3.6294503975112342E-3</v>
      </c>
      <c r="G102" s="503">
        <f>'3 Statement Model'!G103/'3 Statement Model'!G$108</f>
        <v>6.3345810538439386E-3</v>
      </c>
      <c r="H102" s="503">
        <f>'3 Statement Model'!H103/'3 Statement Model'!H$108</f>
        <v>9.4326910119929932E-4</v>
      </c>
      <c r="I102" s="503">
        <f>'3 Statement Model'!I103/'3 Statement Model'!I$108</f>
        <v>2.5185895898296954E-3</v>
      </c>
      <c r="J102" s="504">
        <f>'3 Statement Model'!J103/'3 Statement Model'!J$108</f>
        <v>2.3481245480062372E-3</v>
      </c>
      <c r="K102" s="504">
        <f>'3 Statement Model'!K103/'3 Statement Model'!K$108</f>
        <v>2.1756082422752857E-3</v>
      </c>
      <c r="L102" s="504">
        <f>'3 Statement Model'!L103/'3 Statement Model'!L$108</f>
        <v>2.0568836869204249E-3</v>
      </c>
      <c r="M102" s="504">
        <f>'3 Statement Model'!M103/'3 Statement Model'!M$108</f>
        <v>1.9138856918509588E-3</v>
      </c>
      <c r="N102" s="504">
        <f>'3 Statement Model'!N103/'3 Statement Model'!N$108</f>
        <v>1.8028210128010122E-3</v>
      </c>
      <c r="O102" s="504">
        <f>'3 Statement Model'!O103/'3 Statement Model'!O$108</f>
        <v>1.6952714268393804E-3</v>
      </c>
      <c r="P102" s="504">
        <f>'3 Statement Model'!P103/'3 Statement Model'!P$108</f>
        <v>1.5835024930586071E-3</v>
      </c>
      <c r="Q102" s="504">
        <f>'3 Statement Model'!Q103/'3 Statement Model'!Q$108</f>
        <v>1.4680527411715966E-3</v>
      </c>
      <c r="R102" s="504">
        <f>'3 Statement Model'!R103/'3 Statement Model'!R$108</f>
        <v>1.3572030677334371E-3</v>
      </c>
      <c r="S102" s="504">
        <f>'3 Statement Model'!S103/'3 Statement Model'!S$108</f>
        <v>1.2512971677530456E-3</v>
      </c>
    </row>
    <row r="103" spans="2:19" ht="14.4" customHeight="1">
      <c r="B103" s="215" t="s">
        <v>221</v>
      </c>
      <c r="C103" s="2"/>
      <c r="D103" s="503">
        <f>'3 Statement Model'!D104/'3 Statement Model'!D$108</f>
        <v>1.0795681727309077E-2</v>
      </c>
      <c r="E103" s="503">
        <f>'3 Statement Model'!E104/'3 Statement Model'!E$108</f>
        <v>1.4156079854809437E-2</v>
      </c>
      <c r="F103" s="503">
        <f>'3 Statement Model'!F104/'3 Statement Model'!F$108</f>
        <v>1.1061182163843761E-2</v>
      </c>
      <c r="G103" s="503">
        <f>'3 Statement Model'!G104/'3 Statement Model'!G$108</f>
        <v>1.0653613590555715E-2</v>
      </c>
      <c r="H103" s="503">
        <f>'3 Statement Model'!H104/'3 Statement Model'!H$108</f>
        <v>1.0645465570677807E-2</v>
      </c>
      <c r="I103" s="503">
        <f>'3 Statement Model'!I104/'3 Statement Model'!I$108</f>
        <v>1.1033821060206284E-2</v>
      </c>
      <c r="J103" s="504">
        <f>'3 Statement Model'!J104/'3 Statement Model'!J$108</f>
        <v>1.0287021829360659E-2</v>
      </c>
      <c r="K103" s="504">
        <f>'3 Statement Model'!K104/'3 Statement Model'!K$108</f>
        <v>9.5312361090155364E-3</v>
      </c>
      <c r="L103" s="504">
        <f>'3 Statement Model'!L104/'3 Statement Model'!L$108</f>
        <v>9.0111094855561454E-3</v>
      </c>
      <c r="M103" s="504">
        <f>'3 Statement Model'!M104/'3 Statement Model'!M$108</f>
        <v>8.3846420785851535E-3</v>
      </c>
      <c r="N103" s="504">
        <f>'3 Statement Model'!N104/'3 Statement Model'!N$108</f>
        <v>7.8980730084615772E-3</v>
      </c>
      <c r="O103" s="504">
        <f>'3 Statement Model'!O104/'3 Statement Model'!O$108</f>
        <v>7.4269033937725236E-3</v>
      </c>
      <c r="P103" s="504">
        <f>'3 Statement Model'!P104/'3 Statement Model'!P$108</f>
        <v>6.9372490172091355E-3</v>
      </c>
      <c r="Q103" s="504">
        <f>'3 Statement Model'!Q104/'3 Statement Model'!Q$108</f>
        <v>6.4314691517993756E-3</v>
      </c>
      <c r="R103" s="504">
        <f>'3 Statement Model'!R104/'3 Statement Model'!R$108</f>
        <v>5.9458420110226765E-3</v>
      </c>
      <c r="S103" s="504">
        <f>'3 Statement Model'!S104/'3 Statement Model'!S$108</f>
        <v>5.4818733063466763E-3</v>
      </c>
    </row>
    <row r="104" spans="2:19" ht="14.4" customHeight="1">
      <c r="B104" t="s">
        <v>698</v>
      </c>
      <c r="C104" s="2"/>
      <c r="D104" s="503">
        <f>'3 Statement Model'!D105/'3 Statement Model'!D$108</f>
        <v>1.479408236705318E-2</v>
      </c>
      <c r="E104" s="503">
        <f>'3 Statement Model'!E105/'3 Statement Model'!E$108</f>
        <v>1.3067150635208712E-2</v>
      </c>
      <c r="F104" s="503">
        <f>'3 Statement Model'!F105/'3 Statement Model'!F$108</f>
        <v>1.1579675077773938E-2</v>
      </c>
      <c r="G104" s="503">
        <f>'3 Statement Model'!G105/'3 Statement Model'!G$108</f>
        <v>1.2525194356464152E-2</v>
      </c>
      <c r="H104" s="503">
        <f>'3 Statement Model'!H105/'3 Statement Model'!H$108</f>
        <v>1.1184476485648834E-2</v>
      </c>
      <c r="I104" s="503">
        <f>'3 Statement Model'!I105/'3 Statement Model'!I$108</f>
        <v>1.1033821060206284E-2</v>
      </c>
      <c r="J104" s="504">
        <f>'3 Statement Model'!J105/'3 Statement Model'!J$108</f>
        <v>1.0287021829360659E-2</v>
      </c>
      <c r="K104" s="504">
        <f>'3 Statement Model'!K105/'3 Statement Model'!K$108</f>
        <v>9.5312361090155364E-3</v>
      </c>
      <c r="L104" s="504">
        <f>'3 Statement Model'!L105/'3 Statement Model'!L$108</f>
        <v>9.0111094855561454E-3</v>
      </c>
      <c r="M104" s="504">
        <f>'3 Statement Model'!M105/'3 Statement Model'!M$108</f>
        <v>8.3846420785851535E-3</v>
      </c>
      <c r="N104" s="504">
        <f>'3 Statement Model'!N105/'3 Statement Model'!N$108</f>
        <v>7.8980730084615772E-3</v>
      </c>
      <c r="O104" s="504">
        <f>'3 Statement Model'!O105/'3 Statement Model'!O$108</f>
        <v>7.4269033937725236E-3</v>
      </c>
      <c r="P104" s="504">
        <f>'3 Statement Model'!P105/'3 Statement Model'!P$108</f>
        <v>6.9372490172091355E-3</v>
      </c>
      <c r="Q104" s="504">
        <f>'3 Statement Model'!Q105/'3 Statement Model'!Q$108</f>
        <v>6.4314691517993756E-3</v>
      </c>
      <c r="R104" s="504">
        <f>'3 Statement Model'!R105/'3 Statement Model'!R$108</f>
        <v>5.9458420110226765E-3</v>
      </c>
      <c r="S104" s="504">
        <f>'3 Statement Model'!S105/'3 Statement Model'!S$108</f>
        <v>5.4818733063466763E-3</v>
      </c>
    </row>
    <row r="105" spans="2:19" ht="14.4" customHeight="1">
      <c r="B105" s="428" t="s">
        <v>699</v>
      </c>
      <c r="C105" s="359"/>
      <c r="D105" s="508">
        <f>'3 Statement Model'!D106/'3 Statement Model'!D$108</f>
        <v>0.35685725709716115</v>
      </c>
      <c r="E105" s="508">
        <f>'3 Statement Model'!E106/'3 Statement Model'!E$108</f>
        <v>0.36533575317604355</v>
      </c>
      <c r="F105" s="508">
        <f>'3 Statement Model'!F106/'3 Statement Model'!F$108</f>
        <v>0.37210508123055652</v>
      </c>
      <c r="G105" s="508">
        <f>'3 Statement Model'!G106/'3 Statement Model'!G$108</f>
        <v>0.34969766772243016</v>
      </c>
      <c r="H105" s="508">
        <f>'3 Statement Model'!H106/'3 Statement Model'!H$108</f>
        <v>0.32933566904729822</v>
      </c>
      <c r="I105" s="508">
        <f>'3 Statement Model'!I106/'3 Statement Model'!I$108</f>
        <v>0.29515471336051813</v>
      </c>
      <c r="J105" s="506">
        <f>'3 Statement Model'!J106/'3 Statement Model'!J$108</f>
        <v>0.30893114064332988</v>
      </c>
      <c r="K105" s="506">
        <f>'3 Statement Model'!K106/'3 Statement Model'!K$108</f>
        <v>0.32391657137602703</v>
      </c>
      <c r="L105" s="506">
        <f>'3 Statement Model'!L106/'3 Statement Model'!L$108</f>
        <v>0.32228994999046257</v>
      </c>
      <c r="M105" s="506">
        <f>'3 Statement Model'!M106/'3 Statement Model'!M$108</f>
        <v>0.32396515483864435</v>
      </c>
      <c r="N105" s="506">
        <f>'3 Statement Model'!N106/'3 Statement Model'!N$108</f>
        <v>0.32681759257745774</v>
      </c>
      <c r="O105" s="506">
        <f>'3 Statement Model'!O106/'3 Statement Model'!O$108</f>
        <v>0.32839423250672994</v>
      </c>
      <c r="P105" s="506">
        <f>'3 Statement Model'!P106/'3 Statement Model'!P$108</f>
        <v>0.33224096448455231</v>
      </c>
      <c r="Q105" s="506">
        <f>'3 Statement Model'!Q106/'3 Statement Model'!Q$108</f>
        <v>0.33894855177641431</v>
      </c>
      <c r="R105" s="506">
        <f>'3 Statement Model'!R106/'3 Statement Model'!R$108</f>
        <v>0.3453816994157678</v>
      </c>
      <c r="S105" s="506">
        <f>'3 Statement Model'!S106/'3 Statement Model'!S$108</f>
        <v>0.35150135619435324</v>
      </c>
    </row>
    <row r="106" spans="2:19" ht="14.4" customHeight="1">
      <c r="B106" s="3"/>
      <c r="C106" s="2"/>
      <c r="D106" s="185"/>
      <c r="E106" s="185"/>
      <c r="F106" s="185"/>
      <c r="G106" s="185"/>
      <c r="H106" s="185"/>
      <c r="I106" s="185"/>
      <c r="J106" s="5"/>
      <c r="K106" s="5"/>
      <c r="L106" s="5"/>
      <c r="M106" s="5"/>
      <c r="N106" s="5"/>
      <c r="O106" s="5"/>
      <c r="P106" s="5"/>
      <c r="Q106" s="5"/>
      <c r="R106" s="5"/>
      <c r="S106" s="5"/>
    </row>
    <row r="107" spans="2:19" ht="14.4" customHeight="1" thickBot="1">
      <c r="B107" s="69" t="s">
        <v>700</v>
      </c>
      <c r="C107" s="6"/>
      <c r="D107" s="505">
        <f>'3 Statement Model'!D108/'3 Statement Model'!D$108</f>
        <v>1</v>
      </c>
      <c r="E107" s="505">
        <f>'3 Statement Model'!E108/'3 Statement Model'!E$108</f>
        <v>1</v>
      </c>
      <c r="F107" s="505">
        <f>'3 Statement Model'!F108/'3 Statement Model'!F$108</f>
        <v>1</v>
      </c>
      <c r="G107" s="505">
        <f>'3 Statement Model'!G108/'3 Statement Model'!G$108</f>
        <v>1</v>
      </c>
      <c r="H107" s="505">
        <f>'3 Statement Model'!H108/'3 Statement Model'!H$108</f>
        <v>1</v>
      </c>
      <c r="I107" s="505">
        <f>'3 Statement Model'!I108/'3 Statement Model'!I$108</f>
        <v>1</v>
      </c>
      <c r="J107" s="505">
        <f>'3 Statement Model'!J108/'3 Statement Model'!J$108</f>
        <v>1</v>
      </c>
      <c r="K107" s="505">
        <f>'3 Statement Model'!K108/'3 Statement Model'!K$108</f>
        <v>1</v>
      </c>
      <c r="L107" s="505">
        <f>'3 Statement Model'!L108/'3 Statement Model'!L$108</f>
        <v>1</v>
      </c>
      <c r="M107" s="505">
        <f>'3 Statement Model'!M108/'3 Statement Model'!M$108</f>
        <v>1</v>
      </c>
      <c r="N107" s="505">
        <f>'3 Statement Model'!N108/'3 Statement Model'!N$108</f>
        <v>1</v>
      </c>
      <c r="O107" s="505">
        <f>'3 Statement Model'!O108/'3 Statement Model'!O$108</f>
        <v>1</v>
      </c>
      <c r="P107" s="505">
        <f>'3 Statement Model'!P108/'3 Statement Model'!P$108</f>
        <v>1</v>
      </c>
      <c r="Q107" s="505">
        <f>'3 Statement Model'!Q108/'3 Statement Model'!Q$108</f>
        <v>1</v>
      </c>
      <c r="R107" s="505">
        <f>'3 Statement Model'!R108/'3 Statement Model'!R$108</f>
        <v>1</v>
      </c>
      <c r="S107" s="505">
        <f>'3 Statement Model'!S108/'3 Statement Model'!S$108</f>
        <v>1</v>
      </c>
    </row>
    <row r="108" spans="2:19" ht="14.4" customHeight="1">
      <c r="B108" s="3"/>
      <c r="C108" s="2"/>
      <c r="D108" s="185" t="b">
        <v>1</v>
      </c>
      <c r="E108" s="185" t="b">
        <v>1</v>
      </c>
      <c r="F108" s="185" t="b">
        <v>1</v>
      </c>
      <c r="G108" s="185" t="b">
        <v>1</v>
      </c>
      <c r="H108" s="185" t="b">
        <v>1</v>
      </c>
      <c r="I108" s="185" t="b">
        <v>1</v>
      </c>
      <c r="J108" s="185" t="b">
        <v>1</v>
      </c>
      <c r="K108" s="185" t="b">
        <v>1</v>
      </c>
      <c r="L108" s="185" t="b">
        <v>1</v>
      </c>
      <c r="M108" s="185" t="b">
        <v>1</v>
      </c>
      <c r="N108" s="185" t="b">
        <v>1</v>
      </c>
      <c r="O108" s="185" t="b">
        <v>1</v>
      </c>
      <c r="P108" s="185" t="b">
        <v>1</v>
      </c>
      <c r="Q108" s="185" t="b">
        <v>1</v>
      </c>
      <c r="R108" s="185" t="b">
        <v>1</v>
      </c>
      <c r="S108" s="185" t="b">
        <v>1</v>
      </c>
    </row>
    <row r="109" spans="2:19" ht="14.4" customHeight="1">
      <c r="B109" s="16" t="s">
        <v>73</v>
      </c>
      <c r="C109" s="16"/>
      <c r="D109" s="182">
        <v>1397.0000000000009</v>
      </c>
      <c r="E109" s="182">
        <v>1323.0000000000009</v>
      </c>
      <c r="F109" s="182">
        <v>1352.0000000000009</v>
      </c>
      <c r="G109" s="182">
        <v>1391.0000000000009</v>
      </c>
      <c r="H109" s="182">
        <v>1559.0000000000009</v>
      </c>
      <c r="I109" s="182">
        <v>2622.0000000000009</v>
      </c>
      <c r="J109" s="182">
        <v>2919.213353000001</v>
      </c>
      <c r="K109" s="182">
        <v>3246.6985764050009</v>
      </c>
      <c r="L109" s="182">
        <v>3511.4770643122438</v>
      </c>
      <c r="M109" s="182">
        <v>3842.7006230116731</v>
      </c>
      <c r="N109" s="182">
        <v>4175.7059114839712</v>
      </c>
      <c r="O109" s="182">
        <v>4175.7059114839712</v>
      </c>
      <c r="P109" s="182">
        <v>4175.7059114839712</v>
      </c>
      <c r="Q109" s="182">
        <v>4175.7059114839712</v>
      </c>
      <c r="R109" s="182">
        <v>4175.7059114839712</v>
      </c>
      <c r="S109" s="182">
        <v>4175.7059114839712</v>
      </c>
    </row>
    <row r="110" spans="2:19" ht="14.4" customHeight="1">
      <c r="B110" s="16" t="s">
        <v>74</v>
      </c>
      <c r="C110" s="16"/>
      <c r="D110" s="494">
        <v>0</v>
      </c>
      <c r="E110" s="494">
        <v>21.021061133200796</v>
      </c>
      <c r="F110" s="494">
        <v>19.953742640874683</v>
      </c>
      <c r="G110" s="494">
        <v>31.158080704629253</v>
      </c>
      <c r="H110" s="494">
        <v>39.400186470527295</v>
      </c>
      <c r="I110" s="494">
        <v>39.42849229064722</v>
      </c>
      <c r="J110" s="494">
        <v>45</v>
      </c>
      <c r="K110" s="494">
        <v>45</v>
      </c>
      <c r="L110" s="494">
        <v>42</v>
      </c>
      <c r="M110" s="494">
        <v>42</v>
      </c>
      <c r="N110" s="494">
        <v>40</v>
      </c>
      <c r="O110" s="494">
        <v>40</v>
      </c>
      <c r="P110" s="494">
        <v>40</v>
      </c>
      <c r="Q110" s="494">
        <v>40</v>
      </c>
      <c r="R110" s="494">
        <v>40</v>
      </c>
      <c r="S110" s="494">
        <v>40</v>
      </c>
    </row>
    <row r="111" spans="2:19" ht="14.4" customHeight="1">
      <c r="B111" s="16" t="s">
        <v>75</v>
      </c>
      <c r="C111" s="16"/>
      <c r="D111" s="494">
        <v>0</v>
      </c>
      <c r="E111" s="494">
        <v>56.827162027833005</v>
      </c>
      <c r="F111" s="494">
        <v>48.694806560134566</v>
      </c>
      <c r="G111" s="494">
        <v>49.288457599344532</v>
      </c>
      <c r="H111" s="494">
        <v>48.41836734693878</v>
      </c>
      <c r="I111" s="494">
        <v>43.32079217062136</v>
      </c>
      <c r="J111" s="494">
        <v>47</v>
      </c>
      <c r="K111" s="494">
        <v>47</v>
      </c>
      <c r="L111" s="494">
        <v>46</v>
      </c>
      <c r="M111" s="494">
        <v>46</v>
      </c>
      <c r="N111" s="494">
        <v>46</v>
      </c>
      <c r="O111" s="494">
        <v>46</v>
      </c>
      <c r="P111" s="494">
        <v>46</v>
      </c>
      <c r="Q111" s="494">
        <v>46</v>
      </c>
      <c r="R111" s="494">
        <v>46</v>
      </c>
      <c r="S111" s="494">
        <v>46</v>
      </c>
    </row>
    <row r="112" spans="2:19" ht="14.4" customHeight="1">
      <c r="B112" s="16" t="s">
        <v>777</v>
      </c>
      <c r="C112" s="16"/>
      <c r="D112" s="494">
        <v>0</v>
      </c>
      <c r="E112" s="494">
        <v>90.266978922716632</v>
      </c>
      <c r="F112" s="494">
        <v>83.192604856512148</v>
      </c>
      <c r="G112" s="494">
        <v>95.359745841898715</v>
      </c>
      <c r="H112" s="494">
        <v>116.58013900589721</v>
      </c>
      <c r="I112" s="494">
        <v>99.71789161098738</v>
      </c>
      <c r="J112" s="494">
        <v>105</v>
      </c>
      <c r="K112" s="494">
        <v>105</v>
      </c>
      <c r="L112" s="494">
        <v>105</v>
      </c>
      <c r="M112" s="494">
        <v>102</v>
      </c>
      <c r="N112" s="494">
        <v>102</v>
      </c>
      <c r="O112" s="494">
        <v>102</v>
      </c>
      <c r="P112" s="494">
        <v>102</v>
      </c>
      <c r="Q112" s="494">
        <v>102</v>
      </c>
      <c r="R112" s="494">
        <v>102</v>
      </c>
      <c r="S112" s="494">
        <v>102</v>
      </c>
    </row>
    <row r="113" spans="2:14" ht="14.4" customHeight="1">
      <c r="D113" s="46"/>
      <c r="E113" s="46"/>
      <c r="F113" s="46"/>
      <c r="G113" s="46"/>
      <c r="H113" s="46"/>
      <c r="I113" s="46"/>
      <c r="J113" s="46"/>
      <c r="K113" s="46"/>
      <c r="L113" s="46"/>
      <c r="M113" s="46"/>
      <c r="N113" s="46"/>
    </row>
    <row r="114" spans="2:14" ht="14.4" customHeight="1">
      <c r="E114" s="194"/>
      <c r="F114" s="194"/>
      <c r="G114" s="194"/>
      <c r="H114" s="194"/>
      <c r="I114" s="194"/>
      <c r="J114" s="194"/>
    </row>
    <row r="117" spans="2:14" ht="14.4" customHeight="1">
      <c r="D117" s="194"/>
      <c r="E117" s="194"/>
      <c r="F117" s="194"/>
      <c r="G117" s="194"/>
      <c r="H117" s="194"/>
      <c r="I117" s="194"/>
    </row>
    <row r="118" spans="2:14" ht="14.4" customHeight="1">
      <c r="B118" s="284"/>
      <c r="D118" s="194"/>
      <c r="E118" s="194"/>
      <c r="F118" s="194"/>
      <c r="G118" s="194"/>
      <c r="H118" s="194"/>
      <c r="I118" s="194"/>
    </row>
    <row r="119" spans="2:14" ht="14.4" customHeight="1">
      <c r="B119" s="284"/>
      <c r="E119" s="101"/>
    </row>
    <row r="120" spans="2:14" ht="14.4" customHeight="1">
      <c r="E120" s="84"/>
    </row>
  </sheetData>
  <mergeCells count="4">
    <mergeCell ref="O7:P7"/>
    <mergeCell ref="D8:I8"/>
    <mergeCell ref="J8:N8"/>
    <mergeCell ref="O8:S8"/>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8130" r:id="rId4" name="Drop Down 2">
              <controlPr defaultSize="0" autoLine="0" autoPict="0">
                <anchor moveWithCells="1">
                  <from>
                    <xdr:col>11</xdr:col>
                    <xdr:colOff>45720</xdr:colOff>
                    <xdr:row>3</xdr:row>
                    <xdr:rowOff>7620</xdr:rowOff>
                  </from>
                  <to>
                    <xdr:col>12</xdr:col>
                    <xdr:colOff>464820</xdr:colOff>
                    <xdr:row>4</xdr:row>
                    <xdr:rowOff>45720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AE592-C778-431C-84F3-01228F742267}">
  <sheetPr codeName="Sheet8">
    <pageSetUpPr autoPageBreaks="0"/>
  </sheetPr>
  <dimension ref="A2:U91"/>
  <sheetViews>
    <sheetView showGridLines="0" zoomScale="96" zoomScaleNormal="96" workbookViewId="0">
      <pane xSplit="2" ySplit="9" topLeftCell="C10" activePane="bottomRight" state="frozen"/>
      <selection pane="topRight" activeCell="C1" sqref="C1"/>
      <selection pane="bottomLeft" activeCell="A10" sqref="A10"/>
      <selection pane="bottomRight" activeCell="E22" sqref="E22"/>
    </sheetView>
  </sheetViews>
  <sheetFormatPr defaultRowHeight="14.4" customHeight="1" outlineLevelCol="1"/>
  <cols>
    <col min="1" max="1" width="1.88671875" customWidth="1"/>
    <col min="2" max="2" width="41.33203125" customWidth="1"/>
    <col min="3" max="3" width="12.5546875" bestFit="1" customWidth="1"/>
    <col min="4" max="4" width="8.33203125" bestFit="1" customWidth="1"/>
    <col min="5" max="9" width="12.77734375" customWidth="1" outlineLevel="1"/>
    <col min="10" max="20" width="12.77734375" customWidth="1"/>
    <col min="21" max="21" width="0.5546875" customWidth="1"/>
  </cols>
  <sheetData>
    <row r="2" spans="1:20" ht="19.95" customHeight="1">
      <c r="B2" s="10" t="str">
        <f>'Input Sheet'!C5</f>
        <v xml:space="preserve">Marico Ltd </v>
      </c>
      <c r="C2" s="10"/>
      <c r="D2" s="7"/>
      <c r="E2" s="7"/>
      <c r="F2" s="7"/>
      <c r="G2" s="7"/>
      <c r="H2" s="7"/>
      <c r="I2" s="7"/>
      <c r="R2" s="333" t="s">
        <v>130</v>
      </c>
    </row>
    <row r="3" spans="1:20" ht="14.4" customHeight="1">
      <c r="B3" s="9" t="s">
        <v>87</v>
      </c>
      <c r="C3" s="9"/>
      <c r="R3" s="333" t="s">
        <v>131</v>
      </c>
    </row>
    <row r="4" spans="1:20" ht="14.4" customHeight="1">
      <c r="J4" t="s">
        <v>25</v>
      </c>
      <c r="R4" s="333" t="s">
        <v>132</v>
      </c>
    </row>
    <row r="8" spans="1:20" ht="14.4" customHeight="1">
      <c r="E8" s="677" t="s">
        <v>19</v>
      </c>
      <c r="F8" s="677"/>
      <c r="G8" s="677"/>
      <c r="H8" s="677"/>
      <c r="I8" s="677"/>
      <c r="J8" s="677"/>
      <c r="K8" s="678" t="s">
        <v>20</v>
      </c>
      <c r="L8" s="678"/>
      <c r="M8" s="678"/>
      <c r="N8" s="678"/>
      <c r="O8" s="678"/>
      <c r="P8" s="674" t="s">
        <v>1142</v>
      </c>
      <c r="Q8" s="674"/>
      <c r="R8" s="674"/>
      <c r="S8" s="674"/>
      <c r="T8" s="674"/>
    </row>
    <row r="9" spans="1:20" ht="14.4" customHeight="1">
      <c r="B9" s="28" t="s">
        <v>18</v>
      </c>
      <c r="C9" s="28"/>
      <c r="D9" s="8"/>
      <c r="E9" s="562">
        <f>'3 Statement Model'!D9</f>
        <v>2020</v>
      </c>
      <c r="F9" s="562">
        <f>'3 Statement Model'!E9</f>
        <v>2021</v>
      </c>
      <c r="G9" s="562">
        <f>'3 Statement Model'!F9</f>
        <v>2022</v>
      </c>
      <c r="H9" s="562">
        <f>'3 Statement Model'!G9</f>
        <v>2023</v>
      </c>
      <c r="I9" s="562">
        <f>'3 Statement Model'!H9</f>
        <v>2024</v>
      </c>
      <c r="J9" s="562">
        <f>'3 Statement Model'!I9</f>
        <v>2025</v>
      </c>
      <c r="K9" s="474">
        <f>'3 Statement Model'!J9</f>
        <v>2026</v>
      </c>
      <c r="L9" s="474">
        <f>'3 Statement Model'!K9</f>
        <v>2027</v>
      </c>
      <c r="M9" s="474">
        <f>'3 Statement Model'!L9</f>
        <v>2028</v>
      </c>
      <c r="N9" s="474">
        <f>'3 Statement Model'!M9</f>
        <v>2029</v>
      </c>
      <c r="O9" s="474">
        <f>'3 Statement Model'!N9</f>
        <v>2030</v>
      </c>
      <c r="P9" s="474">
        <f>'3 Statement Model'!O9</f>
        <v>2031</v>
      </c>
      <c r="Q9" s="474">
        <f>'3 Statement Model'!P9</f>
        <v>2032</v>
      </c>
      <c r="R9" s="474">
        <f>'3 Statement Model'!Q9</f>
        <v>2033</v>
      </c>
      <c r="S9" s="474">
        <f>'3 Statement Model'!R9</f>
        <v>2034</v>
      </c>
      <c r="T9" s="474">
        <f>'3 Statement Model'!S9</f>
        <v>2035</v>
      </c>
    </row>
    <row r="10" spans="1:20" ht="14.4" customHeight="1">
      <c r="B10" s="55"/>
      <c r="C10" s="55"/>
      <c r="J10" s="56"/>
      <c r="K10" s="56"/>
      <c r="L10" s="56"/>
      <c r="M10" s="56"/>
      <c r="N10" s="56"/>
      <c r="O10" s="56"/>
      <c r="P10" s="56"/>
      <c r="Q10" s="56"/>
      <c r="R10" s="56"/>
      <c r="S10" s="56"/>
      <c r="T10" s="56"/>
    </row>
    <row r="11" spans="1:20" s="7" customFormat="1" ht="18" customHeight="1">
      <c r="A11" s="7" t="s">
        <v>21</v>
      </c>
      <c r="B11" s="25" t="s">
        <v>129</v>
      </c>
      <c r="C11" s="25"/>
      <c r="D11" s="67"/>
      <c r="E11" s="67"/>
      <c r="F11" s="67"/>
      <c r="G11" s="67"/>
      <c r="H11" s="67"/>
      <c r="I11" s="67"/>
      <c r="J11" s="68"/>
      <c r="K11" s="68"/>
      <c r="L11" s="68"/>
      <c r="M11" s="68"/>
      <c r="N11" s="68"/>
      <c r="O11" s="68"/>
      <c r="P11" s="68"/>
      <c r="Q11" s="68"/>
      <c r="R11" s="68"/>
      <c r="S11" s="68"/>
      <c r="T11" s="68"/>
    </row>
    <row r="13" spans="1:20" ht="14.4" customHeight="1">
      <c r="B13" t="s">
        <v>59</v>
      </c>
      <c r="E13" s="47">
        <f>'3 Statement Model'!D25</f>
        <v>1440.0000000000009</v>
      </c>
      <c r="F13" s="47">
        <f>'3 Statement Model'!E25</f>
        <v>1602</v>
      </c>
      <c r="G13" s="47">
        <f>'3 Statement Model'!F25</f>
        <v>1681</v>
      </c>
      <c r="H13" s="47">
        <f>'3 Statement Model'!G25</f>
        <v>1810</v>
      </c>
      <c r="I13" s="47">
        <f>'3 Statement Model'!H25</f>
        <v>2026</v>
      </c>
      <c r="J13" s="47">
        <f>'3 Statement Model'!I25</f>
        <v>2139</v>
      </c>
      <c r="K13" s="47">
        <f>'3 Statement Model'!J25</f>
        <v>2086.7004599999996</v>
      </c>
      <c r="L13" s="47">
        <f>'3 Statement Model'!K25</f>
        <v>2368.4050220999989</v>
      </c>
      <c r="M13" s="47">
        <f>'3 Statement Model'!L25</f>
        <v>2676.2976749729996</v>
      </c>
      <c r="N13" s="47">
        <f>'3 Statement Model'!M25</f>
        <v>3367.1467049771245</v>
      </c>
      <c r="O13" s="47">
        <f>'3 Statement Model'!N25</f>
        <v>3771.2043095743802</v>
      </c>
      <c r="P13" s="47">
        <f>'3 Statement Model'!O25</f>
        <v>4223.7488267233075</v>
      </c>
      <c r="Q13" s="47">
        <f>'3 Statement Model'!P25</f>
        <v>4730.5986859301047</v>
      </c>
      <c r="R13" s="47">
        <f>'3 Statement Model'!Q25</f>
        <v>5298.2705282417173</v>
      </c>
      <c r="S13" s="47">
        <f>'3 Statement Model'!R25</f>
        <v>5934.0629916307225</v>
      </c>
      <c r="T13" s="47">
        <f>'3 Statement Model'!S25</f>
        <v>6646.1505506264111</v>
      </c>
    </row>
    <row r="14" spans="1:20" ht="14.4" customHeight="1">
      <c r="B14" s="40" t="s">
        <v>44</v>
      </c>
      <c r="C14" s="40"/>
      <c r="E14" s="47">
        <f>'3 Statement Model'!D29*-1</f>
        <v>-140</v>
      </c>
      <c r="F14" s="47">
        <f>'3 Statement Model'!E29*-1</f>
        <v>-139</v>
      </c>
      <c r="G14" s="47">
        <f>'3 Statement Model'!F29*-1</f>
        <v>-139</v>
      </c>
      <c r="H14" s="47">
        <f>'3 Statement Model'!G29*-1</f>
        <v>-155</v>
      </c>
      <c r="I14" s="47">
        <f>'3 Statement Model'!H29*-1</f>
        <v>-158</v>
      </c>
      <c r="J14" s="47">
        <f>'3 Statement Model'!I29*-1</f>
        <v>-178</v>
      </c>
      <c r="K14" s="47">
        <f>'3 Statement Model'!J29*-1</f>
        <v>-191.17049600000001</v>
      </c>
      <c r="L14" s="47">
        <f>'3 Statement Model'!K29*-1</f>
        <v>-206.11900896</v>
      </c>
      <c r="M14" s="47">
        <f>'3 Statement Model'!L29*-1</f>
        <v>-223.0108286048</v>
      </c>
      <c r="N14" s="47">
        <f>'3 Statement Model'!M29*-1</f>
        <v>-242.0141257052</v>
      </c>
      <c r="O14" s="47">
        <f>'3 Statement Model'!N29*-1</f>
        <v>-226.96758766062001</v>
      </c>
      <c r="P14" s="47">
        <f>'3 Statement Model'!O29*-1</f>
        <v>-231.31546505069042</v>
      </c>
      <c r="Q14" s="47">
        <f>'3 Statement Model'!P29*-1</f>
        <v>-258.01372923936117</v>
      </c>
      <c r="R14" s="47">
        <f>'3 Statement Model'!Q29*-1</f>
        <v>-289.78466362387945</v>
      </c>
      <c r="S14" s="47">
        <f>'3 Statement Model'!R29*-1</f>
        <v>-322.2283942659522</v>
      </c>
      <c r="T14" s="47">
        <f>'3 Statement Model'!S29*-1</f>
        <v>-351.53240903943725</v>
      </c>
    </row>
    <row r="15" spans="1:20" ht="14.4" customHeight="1">
      <c r="B15" s="20" t="s">
        <v>60</v>
      </c>
      <c r="C15" s="20"/>
      <c r="D15" s="20"/>
      <c r="E15" s="181">
        <f>SUM(E13:E14)</f>
        <v>1300.0000000000009</v>
      </c>
      <c r="F15" s="181">
        <f t="shared" ref="F15:O15" si="0">SUM(F13:F14)</f>
        <v>1463</v>
      </c>
      <c r="G15" s="181">
        <f t="shared" si="0"/>
        <v>1542</v>
      </c>
      <c r="H15" s="181">
        <f t="shared" si="0"/>
        <v>1655</v>
      </c>
      <c r="I15" s="181">
        <f t="shared" si="0"/>
        <v>1868</v>
      </c>
      <c r="J15" s="181">
        <f t="shared" si="0"/>
        <v>1961</v>
      </c>
      <c r="K15" s="181">
        <f t="shared" si="0"/>
        <v>1895.5299639999996</v>
      </c>
      <c r="L15" s="181">
        <f t="shared" si="0"/>
        <v>2162.2860131399989</v>
      </c>
      <c r="M15" s="181">
        <f t="shared" si="0"/>
        <v>2453.2868463681998</v>
      </c>
      <c r="N15" s="181">
        <f t="shared" si="0"/>
        <v>3125.1325792719244</v>
      </c>
      <c r="O15" s="181">
        <f t="shared" si="0"/>
        <v>3544.23672191376</v>
      </c>
      <c r="P15" s="181">
        <f t="shared" ref="P15:T15" si="1">SUM(P13:P14)</f>
        <v>3992.4333616726171</v>
      </c>
      <c r="Q15" s="181">
        <f t="shared" si="1"/>
        <v>4472.5849566907436</v>
      </c>
      <c r="R15" s="181">
        <f t="shared" si="1"/>
        <v>5008.4858646178382</v>
      </c>
      <c r="S15" s="181">
        <f t="shared" si="1"/>
        <v>5611.8345973647702</v>
      </c>
      <c r="T15" s="181">
        <f t="shared" si="1"/>
        <v>6294.6181415869742</v>
      </c>
    </row>
    <row r="16" spans="1:20" ht="14.4" customHeight="1">
      <c r="B16" s="40" t="s">
        <v>125</v>
      </c>
      <c r="C16" s="40"/>
      <c r="E16" s="47">
        <f>'3 Statement Model'!D38*-1</f>
        <v>-331</v>
      </c>
      <c r="F16" s="47">
        <f>'3 Statement Model'!E38*-1</f>
        <v>-324</v>
      </c>
      <c r="G16" s="47">
        <f>'3 Statement Model'!F38*-1</f>
        <v>-346</v>
      </c>
      <c r="H16" s="47">
        <f>'3 Statement Model'!G38*-1</f>
        <v>-421</v>
      </c>
      <c r="I16" s="47">
        <f>'3 Statement Model'!H38*-1</f>
        <v>-435</v>
      </c>
      <c r="J16" s="47">
        <f>'3 Statement Model'!I38*-1</f>
        <v>-458</v>
      </c>
      <c r="K16" s="47">
        <f>'3 Statement Model'!J38*-1</f>
        <v>-508.97747455679985</v>
      </c>
      <c r="L16" s="47">
        <f>'3 Statement Model'!K38*-1</f>
        <v>-579.41680200676774</v>
      </c>
      <c r="M16" s="47">
        <f>'3 Statement Model'!L38*-1</f>
        <v>-659.67627758584081</v>
      </c>
      <c r="N16" s="47">
        <f>'3 Statement Model'!M38*-1</f>
        <v>-836.31251343246799</v>
      </c>
      <c r="O16" s="47">
        <f>'3 Statement Model'!N38*-1</f>
        <v>-947.70768523586082</v>
      </c>
      <c r="P16" s="47">
        <f>'3 Statement Model'!O38*-1</f>
        <v>-1068.9013538338388</v>
      </c>
      <c r="Q16" s="47">
        <f>'3 Statement Model'!P38*-1</f>
        <v>-1199.194204423414</v>
      </c>
      <c r="R16" s="47">
        <f>'3 Statement Model'!Q38*-1</f>
        <v>-1342.933512598627</v>
      </c>
      <c r="S16" s="47">
        <f>'3 Statement Model'!R38*-1</f>
        <v>-1504.6709378734515</v>
      </c>
      <c r="T16" s="47">
        <f>'3 Statement Model'!S38*-1</f>
        <v>-1687.5835346239196</v>
      </c>
    </row>
    <row r="17" spans="1:21" ht="14.4" customHeight="1">
      <c r="B17" s="565" t="s">
        <v>126</v>
      </c>
      <c r="C17" s="78"/>
      <c r="D17" s="20"/>
      <c r="E17" s="181">
        <f>SUM(E15:E16)</f>
        <v>969.00000000000091</v>
      </c>
      <c r="F17" s="181">
        <f t="shared" ref="F17:O17" si="2">SUM(F15:F16)</f>
        <v>1139</v>
      </c>
      <c r="G17" s="181">
        <f t="shared" si="2"/>
        <v>1196</v>
      </c>
      <c r="H17" s="181">
        <f t="shared" si="2"/>
        <v>1234</v>
      </c>
      <c r="I17" s="181">
        <f t="shared" si="2"/>
        <v>1433</v>
      </c>
      <c r="J17" s="181">
        <f t="shared" si="2"/>
        <v>1503</v>
      </c>
      <c r="K17" s="181">
        <f t="shared" si="2"/>
        <v>1386.5524894431996</v>
      </c>
      <c r="L17" s="181">
        <f t="shared" si="2"/>
        <v>1582.8692111332311</v>
      </c>
      <c r="M17" s="181">
        <f t="shared" si="2"/>
        <v>1793.610568782359</v>
      </c>
      <c r="N17" s="181">
        <f t="shared" si="2"/>
        <v>2288.8200658394562</v>
      </c>
      <c r="O17" s="181">
        <f t="shared" si="2"/>
        <v>2596.5290366778991</v>
      </c>
      <c r="P17" s="181">
        <f t="shared" ref="P17:T17" si="3">SUM(P15:P16)</f>
        <v>2923.5320078387786</v>
      </c>
      <c r="Q17" s="181">
        <f t="shared" si="3"/>
        <v>3273.3907522673298</v>
      </c>
      <c r="R17" s="181">
        <f t="shared" si="3"/>
        <v>3665.552352019211</v>
      </c>
      <c r="S17" s="181">
        <f t="shared" si="3"/>
        <v>4107.1636594913189</v>
      </c>
      <c r="T17" s="181">
        <f t="shared" si="3"/>
        <v>4607.0346069630541</v>
      </c>
    </row>
    <row r="18" spans="1:21" ht="14.4" customHeight="1">
      <c r="B18" s="40" t="s">
        <v>1070</v>
      </c>
      <c r="C18" s="40"/>
      <c r="E18" s="47">
        <f>E14*-1</f>
        <v>140</v>
      </c>
      <c r="F18" s="47">
        <f t="shared" ref="F18:O18" si="4">F14*-1</f>
        <v>139</v>
      </c>
      <c r="G18" s="47">
        <f t="shared" si="4"/>
        <v>139</v>
      </c>
      <c r="H18" s="47">
        <f t="shared" si="4"/>
        <v>155</v>
      </c>
      <c r="I18" s="47">
        <f t="shared" si="4"/>
        <v>158</v>
      </c>
      <c r="J18" s="47">
        <f t="shared" si="4"/>
        <v>178</v>
      </c>
      <c r="K18" s="47">
        <f t="shared" si="4"/>
        <v>191.17049600000001</v>
      </c>
      <c r="L18" s="47">
        <f t="shared" si="4"/>
        <v>206.11900896</v>
      </c>
      <c r="M18" s="47">
        <f t="shared" si="4"/>
        <v>223.0108286048</v>
      </c>
      <c r="N18" s="47">
        <f t="shared" si="4"/>
        <v>242.0141257052</v>
      </c>
      <c r="O18" s="47">
        <f t="shared" si="4"/>
        <v>226.96758766062001</v>
      </c>
      <c r="P18" s="47">
        <f t="shared" ref="P18:T18" si="5">P14*-1</f>
        <v>231.31546505069042</v>
      </c>
      <c r="Q18" s="47">
        <f t="shared" si="5"/>
        <v>258.01372923936117</v>
      </c>
      <c r="R18" s="47">
        <f t="shared" si="5"/>
        <v>289.78466362387945</v>
      </c>
      <c r="S18" s="47">
        <f t="shared" si="5"/>
        <v>322.2283942659522</v>
      </c>
      <c r="T18" s="47">
        <f t="shared" si="5"/>
        <v>351.53240903943725</v>
      </c>
    </row>
    <row r="19" spans="1:21" ht="14.4" customHeight="1">
      <c r="B19" s="565" t="s">
        <v>1071</v>
      </c>
      <c r="C19" s="78"/>
      <c r="D19" s="20"/>
      <c r="E19" s="181">
        <f>SUM(E17:E18)</f>
        <v>1109.0000000000009</v>
      </c>
      <c r="F19" s="181">
        <f t="shared" ref="F19:O19" si="6">SUM(F17:F18)</f>
        <v>1278</v>
      </c>
      <c r="G19" s="181">
        <f t="shared" si="6"/>
        <v>1335</v>
      </c>
      <c r="H19" s="181">
        <f t="shared" si="6"/>
        <v>1389</v>
      </c>
      <c r="I19" s="181">
        <f t="shared" si="6"/>
        <v>1591</v>
      </c>
      <c r="J19" s="181">
        <f t="shared" si="6"/>
        <v>1681</v>
      </c>
      <c r="K19" s="181">
        <f t="shared" si="6"/>
        <v>1577.7229854431996</v>
      </c>
      <c r="L19" s="181">
        <f t="shared" si="6"/>
        <v>1788.9882200932311</v>
      </c>
      <c r="M19" s="181">
        <f t="shared" si="6"/>
        <v>2016.621397387159</v>
      </c>
      <c r="N19" s="181">
        <f t="shared" si="6"/>
        <v>2530.8341915446563</v>
      </c>
      <c r="O19" s="181">
        <f t="shared" si="6"/>
        <v>2823.4966243385193</v>
      </c>
      <c r="P19" s="181">
        <f t="shared" ref="P19:T19" si="7">SUM(P17:P18)</f>
        <v>3154.8474728894689</v>
      </c>
      <c r="Q19" s="181">
        <f t="shared" si="7"/>
        <v>3531.4044815066909</v>
      </c>
      <c r="R19" s="181">
        <f t="shared" si="7"/>
        <v>3955.3370156430906</v>
      </c>
      <c r="S19" s="181">
        <f t="shared" si="7"/>
        <v>4429.3920537572712</v>
      </c>
      <c r="T19" s="181">
        <f t="shared" si="7"/>
        <v>4958.5670160024911</v>
      </c>
    </row>
    <row r="20" spans="1:21" ht="14.4" customHeight="1">
      <c r="B20" s="233" t="s">
        <v>127</v>
      </c>
      <c r="C20" s="79"/>
      <c r="E20" s="46"/>
      <c r="F20" s="46"/>
      <c r="G20" s="46"/>
      <c r="H20" s="46"/>
      <c r="I20" s="46"/>
      <c r="J20" s="46"/>
      <c r="K20" s="46"/>
      <c r="L20" s="46"/>
      <c r="M20" s="46"/>
      <c r="N20" s="46"/>
      <c r="O20" s="46"/>
      <c r="P20" s="46"/>
      <c r="Q20" s="46"/>
      <c r="R20" s="46"/>
      <c r="S20" s="46"/>
      <c r="T20" s="46"/>
    </row>
    <row r="21" spans="1:21" ht="14.4" customHeight="1">
      <c r="B21" s="80" t="s">
        <v>128</v>
      </c>
      <c r="C21" s="80"/>
      <c r="E21" s="47">
        <f>'3 Statement Model'!D121</f>
        <v>33</v>
      </c>
      <c r="F21" s="47">
        <f>'3 Statement Model'!E121</f>
        <v>730</v>
      </c>
      <c r="G21" s="47">
        <f>'3 Statement Model'!F121</f>
        <v>-342</v>
      </c>
      <c r="H21" s="47">
        <f>'3 Statement Model'!G121</f>
        <v>-59</v>
      </c>
      <c r="I21" s="47">
        <f>'3 Statement Model'!H121</f>
        <v>-226</v>
      </c>
      <c r="J21" s="47">
        <f>'3 Statement Model'!I121</f>
        <v>-293</v>
      </c>
      <c r="K21" s="47">
        <f>'3 Statement Model'!J121</f>
        <v>-347.86124383561764</v>
      </c>
      <c r="L21" s="47">
        <f>'3 Statement Model'!K121</f>
        <v>-356.4584213424655</v>
      </c>
      <c r="M21" s="47">
        <f>'3 Statement Model'!L121</f>
        <v>-133.00952130862902</v>
      </c>
      <c r="N21" s="47">
        <f>'3 Statement Model'!M121</f>
        <v>-351.58633715847941</v>
      </c>
      <c r="O21" s="47">
        <f>'3 Statement Model'!N121</f>
        <v>-384.36120779096882</v>
      </c>
      <c r="P21" s="47">
        <f>'3 Statement Model'!O121</f>
        <v>-297.04496240170465</v>
      </c>
      <c r="Q21" s="47">
        <f>'3 Statement Model'!P121</f>
        <v>-388.52943783441424</v>
      </c>
      <c r="R21" s="47">
        <f>'3 Statement Model'!Q121</f>
        <v>-393.81245855598127</v>
      </c>
      <c r="S21" s="47">
        <f>'3 Statement Model'!R121</f>
        <v>-533.84825028656269</v>
      </c>
      <c r="T21" s="47">
        <f>'3 Statement Model'!S121</f>
        <v>-697.00463431034495</v>
      </c>
    </row>
    <row r="22" spans="1:21" ht="14.4" customHeight="1">
      <c r="B22" s="80" t="s">
        <v>1072</v>
      </c>
      <c r="C22" s="80"/>
      <c r="E22" s="47">
        <f>'3 Statement Model'!D125</f>
        <v>-186</v>
      </c>
      <c r="F22" s="47">
        <f>'3 Statement Model'!E125</f>
        <v>-137</v>
      </c>
      <c r="G22" s="47">
        <f>'3 Statement Model'!F125</f>
        <v>-129</v>
      </c>
      <c r="H22" s="47">
        <f>'3 Statement Model'!G125</f>
        <v>-157</v>
      </c>
      <c r="I22" s="47">
        <f>'3 Statement Model'!H125</f>
        <v>-135</v>
      </c>
      <c r="J22" s="47">
        <f>'3 Statement Model'!I125</f>
        <v>-122</v>
      </c>
      <c r="K22" s="47">
        <f>'3 Statement Model'!J125</f>
        <v>-197.55744000000004</v>
      </c>
      <c r="L22" s="47">
        <f>'3 Statement Model'!K125</f>
        <v>-224.22769440000005</v>
      </c>
      <c r="M22" s="47">
        <f>'3 Statement Model'!L125</f>
        <v>-253.37729467200003</v>
      </c>
      <c r="N22" s="47">
        <f>'3 Statement Model'!M125</f>
        <v>-285.04945650600001</v>
      </c>
      <c r="O22" s="47">
        <f>'3 Statement Model'!N125</f>
        <v>-299.30192933130002</v>
      </c>
      <c r="P22" s="47">
        <f>'3 Statement Model'!O125</f>
        <v>-335.2181608510561</v>
      </c>
      <c r="Q22" s="47">
        <f>'3 Statement Model'!P125</f>
        <v>-400.47396283006174</v>
      </c>
      <c r="R22" s="47">
        <f>'3 Statement Model'!Q125</f>
        <v>-476.56401576777353</v>
      </c>
      <c r="S22" s="47">
        <f>'3 Statement Model'!R125</f>
        <v>-486.65595963109109</v>
      </c>
      <c r="T22" s="47">
        <f>'3 Statement Model'!S125</f>
        <v>-439.56022160227587</v>
      </c>
    </row>
    <row r="23" spans="1:21" ht="14.4" customHeight="1">
      <c r="B23" s="20" t="s">
        <v>129</v>
      </c>
      <c r="C23" s="20"/>
      <c r="D23" s="20"/>
      <c r="E23" s="181">
        <f>E19+SUM(E21:E22)</f>
        <v>956.00000000000091</v>
      </c>
      <c r="F23" s="181">
        <f t="shared" ref="F23:O23" si="8">F19+SUM(F21:F22)</f>
        <v>1871</v>
      </c>
      <c r="G23" s="181">
        <f t="shared" si="8"/>
        <v>864</v>
      </c>
      <c r="H23" s="181">
        <f t="shared" si="8"/>
        <v>1173</v>
      </c>
      <c r="I23" s="181">
        <f t="shared" si="8"/>
        <v>1230</v>
      </c>
      <c r="J23" s="181">
        <f t="shared" si="8"/>
        <v>1266</v>
      </c>
      <c r="K23" s="181">
        <f t="shared" si="8"/>
        <v>1032.3043016075819</v>
      </c>
      <c r="L23" s="181">
        <f t="shared" si="8"/>
        <v>1208.3021043507656</v>
      </c>
      <c r="M23" s="181">
        <f t="shared" si="8"/>
        <v>1630.23458140653</v>
      </c>
      <c r="N23" s="181">
        <f t="shared" si="8"/>
        <v>1894.1983978801768</v>
      </c>
      <c r="O23" s="181">
        <f t="shared" si="8"/>
        <v>2139.8334872162504</v>
      </c>
      <c r="P23" s="181">
        <f t="shared" ref="P23:T23" si="9">P19+SUM(P21:P22)</f>
        <v>2522.5843496367079</v>
      </c>
      <c r="Q23" s="181">
        <f t="shared" si="9"/>
        <v>2742.4010808422149</v>
      </c>
      <c r="R23" s="181">
        <f t="shared" si="9"/>
        <v>3084.9605413193358</v>
      </c>
      <c r="S23" s="181">
        <f t="shared" si="9"/>
        <v>3408.8878438396177</v>
      </c>
      <c r="T23" s="181">
        <f t="shared" si="9"/>
        <v>3822.0021600898704</v>
      </c>
    </row>
    <row r="25" spans="1:21" ht="14.4" customHeight="1">
      <c r="B25" s="80" t="s">
        <v>133</v>
      </c>
      <c r="C25" s="642" t="s">
        <v>1073</v>
      </c>
      <c r="D25" s="606" t="s">
        <v>131</v>
      </c>
      <c r="E25" s="19"/>
      <c r="F25" s="19"/>
      <c r="G25" s="19"/>
      <c r="H25" s="19"/>
      <c r="I25" s="19"/>
      <c r="K25" s="77">
        <f>IF(D25="Yes",(K9-J9)/2,K9-J9)</f>
        <v>0.5</v>
      </c>
      <c r="L25" s="77">
        <f>K25+1</f>
        <v>1.5</v>
      </c>
      <c r="M25" s="77">
        <f t="shared" ref="M25:O25" si="10">L25+1</f>
        <v>2.5</v>
      </c>
      <c r="N25" s="77">
        <f t="shared" si="10"/>
        <v>3.5</v>
      </c>
      <c r="O25" s="77">
        <f t="shared" si="10"/>
        <v>4.5</v>
      </c>
      <c r="P25" s="77">
        <f t="shared" ref="P25" si="11">O25+1</f>
        <v>5.5</v>
      </c>
      <c r="Q25" s="77">
        <f t="shared" ref="Q25" si="12">P25+1</f>
        <v>6.5</v>
      </c>
      <c r="R25" s="77">
        <f t="shared" ref="R25" si="13">Q25+1</f>
        <v>7.5</v>
      </c>
      <c r="S25" s="77">
        <f t="shared" ref="S25" si="14">R25+1</f>
        <v>8.5</v>
      </c>
      <c r="T25" s="77">
        <f t="shared" ref="T25" si="15">S25+1</f>
        <v>9.5</v>
      </c>
    </row>
    <row r="26" spans="1:21" ht="14.4" customHeight="1">
      <c r="B26" s="80" t="s">
        <v>134</v>
      </c>
      <c r="C26" s="641">
        <f>WACC!E24</f>
        <v>9.9999999999999992E-2</v>
      </c>
    </row>
    <row r="27" spans="1:21" ht="14.4" customHeight="1">
      <c r="B27" s="80" t="s">
        <v>135</v>
      </c>
      <c r="K27" s="563">
        <f>1/(1+$C$26)^K25</f>
        <v>0.95346258924559224</v>
      </c>
      <c r="L27" s="563">
        <f t="shared" ref="L27:O27" si="16">1/(1+$C$26)^L25</f>
        <v>0.86678417204144742</v>
      </c>
      <c r="M27" s="563">
        <f t="shared" si="16"/>
        <v>0.78798561094677033</v>
      </c>
      <c r="N27" s="563">
        <f t="shared" si="16"/>
        <v>0.71635055540615489</v>
      </c>
      <c r="O27" s="563">
        <f t="shared" si="16"/>
        <v>0.65122777764195883</v>
      </c>
      <c r="P27" s="563">
        <f t="shared" ref="P27:T27" si="17">1/(1+$C$26)^P25</f>
        <v>0.59202525240178083</v>
      </c>
      <c r="Q27" s="563">
        <f t="shared" si="17"/>
        <v>0.53820477491070973</v>
      </c>
      <c r="R27" s="563">
        <f t="shared" si="17"/>
        <v>0.48927706810064514</v>
      </c>
      <c r="S27" s="563">
        <f t="shared" si="17"/>
        <v>0.44479733463695009</v>
      </c>
      <c r="T27" s="563">
        <f t="shared" si="17"/>
        <v>0.4043612133063183</v>
      </c>
    </row>
    <row r="29" spans="1:21" ht="14.4" customHeight="1" thickBot="1">
      <c r="B29" s="564" t="s">
        <v>136</v>
      </c>
      <c r="C29" s="81"/>
      <c r="D29" s="81"/>
      <c r="E29" s="81"/>
      <c r="F29" s="81"/>
      <c r="G29" s="81"/>
      <c r="H29" s="81"/>
      <c r="I29" s="81"/>
      <c r="J29" s="81"/>
      <c r="K29" s="436">
        <f>K23*K27</f>
        <v>984.26353230012785</v>
      </c>
      <c r="L29" s="436">
        <f t="shared" ref="L29:O29" si="18">L23*L27</f>
        <v>1047.337139095617</v>
      </c>
      <c r="M29" s="436">
        <f t="shared" si="18"/>
        <v>1284.601392616177</v>
      </c>
      <c r="N29" s="436">
        <f t="shared" si="18"/>
        <v>1356.9100743709134</v>
      </c>
      <c r="O29" s="436">
        <f t="shared" si="18"/>
        <v>1393.5190064036817</v>
      </c>
      <c r="P29" s="436">
        <f t="shared" ref="P29:T29" si="19">P23*P27</f>
        <v>1493.4336362984541</v>
      </c>
      <c r="Q29" s="436">
        <f t="shared" si="19"/>
        <v>1475.9733564295714</v>
      </c>
      <c r="R29" s="436">
        <f t="shared" si="19"/>
        <v>1509.4004488629037</v>
      </c>
      <c r="S29" s="436">
        <f t="shared" si="19"/>
        <v>1516.2642270161616</v>
      </c>
      <c r="T29" s="436">
        <f t="shared" si="19"/>
        <v>1545.4694307133093</v>
      </c>
      <c r="U29" s="367"/>
    </row>
    <row r="32" spans="1:21" ht="18" customHeight="1">
      <c r="A32" s="7" t="s">
        <v>21</v>
      </c>
      <c r="B32" s="25" t="s">
        <v>140</v>
      </c>
      <c r="C32" s="25"/>
      <c r="D32" s="67"/>
      <c r="E32" s="67"/>
      <c r="F32" s="67"/>
      <c r="G32" s="67"/>
      <c r="H32" s="67"/>
      <c r="I32" s="67"/>
      <c r="J32" s="68"/>
      <c r="K32" s="68"/>
      <c r="L32" s="68"/>
      <c r="M32" s="68"/>
      <c r="N32" s="68"/>
      <c r="O32" s="68"/>
      <c r="P32" s="68"/>
      <c r="Q32" s="68"/>
      <c r="R32" s="68"/>
      <c r="S32" s="68"/>
      <c r="T32" s="68"/>
    </row>
    <row r="34" spans="2:3" ht="14.4" customHeight="1">
      <c r="B34" t="s">
        <v>141</v>
      </c>
      <c r="C34" s="53">
        <f>WACC!E7</f>
        <v>4.3490141762224932E-2</v>
      </c>
    </row>
    <row r="35" spans="2:3" ht="14.4" customHeight="1">
      <c r="B35" t="s">
        <v>142</v>
      </c>
      <c r="C35" s="46">
        <f>T23*(1+C34)</f>
        <v>3988.2215758477087</v>
      </c>
    </row>
    <row r="36" spans="2:3" ht="14.4" customHeight="1">
      <c r="B36" s="20" t="s">
        <v>143</v>
      </c>
      <c r="C36" s="567">
        <f>C35/(C26-C34)</f>
        <v>70575.678301413762</v>
      </c>
    </row>
    <row r="37" spans="2:3" ht="14.4" customHeight="1">
      <c r="B37" t="s">
        <v>144</v>
      </c>
      <c r="C37" s="242">
        <f>C36*T27</f>
        <v>28538.066907876069</v>
      </c>
    </row>
    <row r="38" spans="2:3" ht="14.4" customHeight="1">
      <c r="B38" t="s">
        <v>145</v>
      </c>
      <c r="C38" s="242">
        <f>SUM(K29:T29)</f>
        <v>13607.172244106916</v>
      </c>
    </row>
    <row r="39" spans="2:3" ht="14.4" customHeight="1">
      <c r="B39" s="20" t="s">
        <v>146</v>
      </c>
      <c r="C39" s="567">
        <f>SUM(C37:C38)</f>
        <v>42145.239151982983</v>
      </c>
    </row>
    <row r="40" spans="2:3" ht="14.4" customHeight="1">
      <c r="B40" s="566" t="s">
        <v>147</v>
      </c>
      <c r="C40" s="609">
        <f>C39/T13</f>
        <v>6.341300701954566</v>
      </c>
    </row>
    <row r="41" spans="2:3" ht="14.4" customHeight="1">
      <c r="B41" s="566" t="s">
        <v>148</v>
      </c>
      <c r="C41" s="609">
        <f>C39/'3 Statement Model'!I25</f>
        <v>19.703244110323975</v>
      </c>
    </row>
    <row r="42" spans="2:3" ht="14.4" customHeight="1">
      <c r="B42" s="18" t="s">
        <v>149</v>
      </c>
      <c r="C42" s="47">
        <f>SUM('3 Statement Model'!I99,'3 Statement Model'!I88)*-1</f>
        <v>-379</v>
      </c>
    </row>
    <row r="43" spans="2:3" ht="14.4" customHeight="1">
      <c r="B43" s="18" t="s">
        <v>1148</v>
      </c>
      <c r="C43" s="47">
        <f>'3 Statement Model'!I67</f>
        <v>321.00000000000091</v>
      </c>
    </row>
    <row r="44" spans="2:3" ht="14.4" customHeight="1">
      <c r="B44" t="s">
        <v>1074</v>
      </c>
      <c r="C44" s="47">
        <f>'3 Statement Model'!I83*-1</f>
        <v>-291</v>
      </c>
    </row>
    <row r="45" spans="2:3" ht="14.4" customHeight="1">
      <c r="B45" t="s">
        <v>1075</v>
      </c>
      <c r="C45" s="47">
        <f>'3 Statement Model'!I60</f>
        <v>243</v>
      </c>
    </row>
    <row r="46" spans="2:3" ht="14.4" customHeight="1">
      <c r="B46" s="20" t="s">
        <v>150</v>
      </c>
      <c r="C46" s="567">
        <f>SUM(C39,C42:C45)</f>
        <v>42039.239151982983</v>
      </c>
    </row>
    <row r="47" spans="2:3" ht="14.4" customHeight="1">
      <c r="B47" t="s">
        <v>1076</v>
      </c>
      <c r="C47" s="47">
        <f ca="1">'Option Value'!E28*-1</f>
        <v>-26.005868045054974</v>
      </c>
    </row>
    <row r="48" spans="2:3" ht="14.4" customHeight="1">
      <c r="B48" s="20" t="s">
        <v>1077</v>
      </c>
      <c r="C48" s="567">
        <f ca="1">SUM(C46:C47)</f>
        <v>42013.233283937931</v>
      </c>
    </row>
    <row r="50" spans="1:20" ht="18" customHeight="1">
      <c r="A50" s="7" t="s">
        <v>21</v>
      </c>
      <c r="B50" s="25" t="s">
        <v>151</v>
      </c>
      <c r="C50" s="25"/>
      <c r="D50" s="67"/>
      <c r="E50" s="67"/>
      <c r="F50" s="67"/>
      <c r="G50" s="67"/>
      <c r="H50" s="67"/>
      <c r="I50" s="67"/>
      <c r="J50" s="68"/>
      <c r="K50" s="68"/>
      <c r="L50" s="68"/>
      <c r="M50" s="68"/>
      <c r="N50" s="68"/>
      <c r="O50" s="68"/>
      <c r="P50" s="68"/>
      <c r="Q50" s="68"/>
      <c r="R50" s="68"/>
      <c r="S50" s="68"/>
      <c r="T50" s="68"/>
    </row>
    <row r="52" spans="1:20" ht="14.4" customHeight="1">
      <c r="B52" t="s">
        <v>152</v>
      </c>
      <c r="C52" s="603">
        <v>36</v>
      </c>
    </row>
    <row r="53" spans="1:20" ht="14.4" customHeight="1">
      <c r="B53" t="s">
        <v>153</v>
      </c>
      <c r="C53" s="242">
        <f>T13</f>
        <v>6646.1505506264111</v>
      </c>
    </row>
    <row r="54" spans="1:20" ht="14.4" customHeight="1">
      <c r="B54" s="20" t="s">
        <v>143</v>
      </c>
      <c r="C54" s="567">
        <f>C53*C52</f>
        <v>239261.41982255079</v>
      </c>
    </row>
    <row r="55" spans="1:20" ht="14.4" customHeight="1">
      <c r="B55" t="s">
        <v>144</v>
      </c>
      <c r="C55" s="242">
        <f>C54*T27</f>
        <v>96748.038016839026</v>
      </c>
    </row>
    <row r="56" spans="1:20" ht="14.4" customHeight="1">
      <c r="B56" t="s">
        <v>145</v>
      </c>
      <c r="C56" s="242">
        <f>SUM(K29:T29)</f>
        <v>13607.172244106916</v>
      </c>
    </row>
    <row r="57" spans="1:20" ht="14.4" customHeight="1">
      <c r="B57" s="20" t="s">
        <v>146</v>
      </c>
      <c r="C57" s="567">
        <f>SUM(C55:C56)</f>
        <v>110355.21026094594</v>
      </c>
      <c r="I57" s="610"/>
    </row>
    <row r="58" spans="1:20" ht="14.4" customHeight="1">
      <c r="B58" s="40" t="s">
        <v>147</v>
      </c>
      <c r="C58" s="82">
        <f>C57/T13</f>
        <v>16.604380147624667</v>
      </c>
    </row>
    <row r="59" spans="1:20" ht="14.4" customHeight="1">
      <c r="B59" s="40" t="s">
        <v>148</v>
      </c>
      <c r="C59" s="635">
        <f>C57/'3 Statement Model'!I25</f>
        <v>51.591963656356214</v>
      </c>
    </row>
    <row r="60" spans="1:20" ht="14.4" customHeight="1">
      <c r="B60" s="18" t="s">
        <v>149</v>
      </c>
      <c r="C60" s="46">
        <f>C42</f>
        <v>-379</v>
      </c>
    </row>
    <row r="61" spans="1:20" ht="14.4" customHeight="1">
      <c r="B61" s="18" t="s">
        <v>1148</v>
      </c>
      <c r="C61" s="46">
        <f>C43</f>
        <v>321.00000000000091</v>
      </c>
    </row>
    <row r="62" spans="1:20" ht="14.4" customHeight="1">
      <c r="B62" t="s">
        <v>1074</v>
      </c>
      <c r="C62" s="46">
        <f>C44</f>
        <v>-291</v>
      </c>
    </row>
    <row r="63" spans="1:20" ht="14.4" customHeight="1">
      <c r="B63" t="s">
        <v>1075</v>
      </c>
      <c r="C63" s="46">
        <f>C45</f>
        <v>243</v>
      </c>
    </row>
    <row r="64" spans="1:20" ht="14.4" customHeight="1">
      <c r="B64" s="20" t="s">
        <v>150</v>
      </c>
      <c r="C64" s="567">
        <f>SUM(C57,C60:C63)</f>
        <v>110249.21026094594</v>
      </c>
    </row>
    <row r="65" spans="1:20" ht="14.4" customHeight="1">
      <c r="B65" t="s">
        <v>1076</v>
      </c>
      <c r="C65" s="46">
        <f ca="1">C47</f>
        <v>-26.005868045054974</v>
      </c>
    </row>
    <row r="66" spans="1:20" ht="14.4" customHeight="1">
      <c r="B66" s="20" t="s">
        <v>1077</v>
      </c>
      <c r="C66" s="567">
        <f ca="1">SUM(C64:C65)</f>
        <v>110223.20439290088</v>
      </c>
    </row>
    <row r="69" spans="1:20" ht="18.600000000000001" customHeight="1">
      <c r="A69" s="7" t="s">
        <v>21</v>
      </c>
      <c r="B69" s="25" t="s">
        <v>1143</v>
      </c>
      <c r="C69" s="25"/>
      <c r="D69" s="67"/>
      <c r="E69" s="67"/>
      <c r="F69" s="67"/>
      <c r="G69" s="67"/>
      <c r="H69" s="67"/>
      <c r="I69" s="67"/>
      <c r="J69" s="68"/>
      <c r="K69" s="68"/>
      <c r="L69" s="68"/>
      <c r="M69" s="68"/>
      <c r="N69" s="68"/>
      <c r="O69" s="68"/>
      <c r="P69" s="68"/>
      <c r="Q69" s="68"/>
      <c r="R69" s="68"/>
      <c r="S69" s="68"/>
      <c r="T69" s="68"/>
    </row>
    <row r="71" spans="1:20" ht="14.4" customHeight="1">
      <c r="E71" s="678" t="s">
        <v>1184</v>
      </c>
      <c r="F71" s="678"/>
      <c r="G71" s="678"/>
      <c r="H71" s="678"/>
      <c r="I71" s="678"/>
      <c r="J71" s="678"/>
    </row>
    <row r="72" spans="1:20" ht="14.4" customHeight="1">
      <c r="D72" s="602">
        <f ca="1">C48</f>
        <v>42013.233283937931</v>
      </c>
      <c r="E72" s="650">
        <v>0.03</v>
      </c>
      <c r="F72" s="650">
        <f>WACC!E7</f>
        <v>4.3490141762224932E-2</v>
      </c>
      <c r="G72" s="650">
        <v>0.05</v>
      </c>
      <c r="H72" s="650">
        <v>0.06</v>
      </c>
      <c r="I72" s="650">
        <v>7.0000000000000007E-2</v>
      </c>
      <c r="J72" s="650">
        <v>0.08</v>
      </c>
      <c r="O72" s="680"/>
      <c r="P72" s="680"/>
      <c r="Q72" s="680"/>
      <c r="R72" s="680"/>
      <c r="S72" s="680"/>
      <c r="T72" s="680"/>
    </row>
    <row r="73" spans="1:20" ht="15" customHeight="1">
      <c r="C73" s="679" t="s">
        <v>1144</v>
      </c>
      <c r="D73" s="650">
        <v>0.09</v>
      </c>
      <c r="E73" s="646">
        <f t="dataTable" ref="E73:J78" dt2D="1" dtr="1" r1="C34" r2="C26" ca="1"/>
        <v>43098.095417024408</v>
      </c>
      <c r="F73" s="647">
        <v>51979.587704876954</v>
      </c>
      <c r="G73" s="647">
        <v>58408.42182162204</v>
      </c>
      <c r="H73" s="647">
        <v>73718.748226219628</v>
      </c>
      <c r="I73" s="647">
        <v>104339.40103541492</v>
      </c>
      <c r="J73" s="647">
        <v>196201.35946300064</v>
      </c>
    </row>
    <row r="74" spans="1:20" ht="15" customHeight="1">
      <c r="C74" s="679"/>
      <c r="D74" s="650">
        <v>0.1</v>
      </c>
      <c r="E74" s="648">
        <v>36215.645142271984</v>
      </c>
      <c r="F74" s="644">
        <v>42013.233283937923</v>
      </c>
      <c r="G74" s="643">
        <v>45930.024421041366</v>
      </c>
      <c r="H74" s="643">
        <v>54430.106289964555</v>
      </c>
      <c r="I74" s="643">
        <v>68596.909404836566</v>
      </c>
      <c r="J74" s="643">
        <v>96930.515634580544</v>
      </c>
      <c r="M74" s="681"/>
    </row>
    <row r="75" spans="1:20" ht="15" customHeight="1">
      <c r="C75" s="679"/>
      <c r="D75" s="650">
        <v>0.11</v>
      </c>
      <c r="E75" s="648">
        <v>31093.185555888616</v>
      </c>
      <c r="F75" s="643">
        <v>35084.22585313359</v>
      </c>
      <c r="G75" s="643">
        <v>37652.136259043458</v>
      </c>
      <c r="H75" s="643">
        <v>42899.296821567325</v>
      </c>
      <c r="I75" s="643">
        <v>50770.037665353135</v>
      </c>
      <c r="J75" s="643">
        <v>63887.939071662804</v>
      </c>
      <c r="M75" s="681"/>
    </row>
    <row r="76" spans="1:20" ht="15" customHeight="1">
      <c r="C76" s="679"/>
      <c r="D76" s="650">
        <v>0.12</v>
      </c>
      <c r="E76" s="648">
        <v>27141.474351622208</v>
      </c>
      <c r="F76" s="643">
        <v>29999.027668260529</v>
      </c>
      <c r="G76" s="643">
        <v>31771.966815069896</v>
      </c>
      <c r="H76" s="643">
        <v>35244.836162655658</v>
      </c>
      <c r="I76" s="643">
        <v>40106.853249275729</v>
      </c>
      <c r="J76" s="643">
        <v>47399.878879205833</v>
      </c>
      <c r="M76" s="681"/>
    </row>
    <row r="77" spans="1:20" ht="15" customHeight="1">
      <c r="C77" s="679"/>
      <c r="D77" s="650">
        <v>0.13</v>
      </c>
      <c r="E77" s="648">
        <v>24007.163827899665</v>
      </c>
      <c r="F77" s="643">
        <v>26116.156504779687</v>
      </c>
      <c r="G77" s="643">
        <v>27388.311719397159</v>
      </c>
      <c r="H77" s="643">
        <v>29803.417356181079</v>
      </c>
      <c r="I77" s="643">
        <v>33023.558205226313</v>
      </c>
      <c r="J77" s="643">
        <v>37531.755393889631</v>
      </c>
      <c r="M77" s="681"/>
    </row>
    <row r="78" spans="1:20" ht="15" customHeight="1">
      <c r="C78" s="679"/>
      <c r="D78" s="650">
        <v>0.14000000000000001</v>
      </c>
      <c r="E78" s="649">
        <v>21465.558928051523</v>
      </c>
      <c r="F78" s="645">
        <v>23060.159231762624</v>
      </c>
      <c r="G78" s="645">
        <v>24000.655411750409</v>
      </c>
      <c r="H78" s="645">
        <v>25743.534244293394</v>
      </c>
      <c r="I78" s="645">
        <v>27984.378457562943</v>
      </c>
      <c r="J78" s="645">
        <v>30972.170741922342</v>
      </c>
      <c r="M78" s="681"/>
    </row>
    <row r="79" spans="1:20" ht="14.4" customHeight="1">
      <c r="M79" s="681"/>
    </row>
    <row r="83" spans="3:13" ht="14.4" customHeight="1">
      <c r="E83" s="678" t="s">
        <v>1185</v>
      </c>
      <c r="F83" s="678"/>
      <c r="G83" s="678"/>
      <c r="H83" s="678"/>
      <c r="I83" s="678"/>
      <c r="J83" s="678"/>
    </row>
    <row r="84" spans="3:13" ht="14.4" customHeight="1">
      <c r="D84" s="602">
        <f ca="1">C66</f>
        <v>110223.20439290088</v>
      </c>
      <c r="E84" s="650">
        <v>0.09</v>
      </c>
      <c r="F84" s="650">
        <v>0.1</v>
      </c>
      <c r="G84" s="650">
        <v>0.11</v>
      </c>
      <c r="H84" s="650">
        <v>0.12</v>
      </c>
      <c r="I84" s="650">
        <v>0.13</v>
      </c>
      <c r="J84" s="650">
        <v>0.14000000000000001</v>
      </c>
    </row>
    <row r="85" spans="3:13" ht="14.4" customHeight="1">
      <c r="C85" s="679" t="s">
        <v>1144</v>
      </c>
      <c r="D85" s="652">
        <v>34</v>
      </c>
      <c r="E85" s="646">
        <f t="dataTable" ref="E85:J90" dt2D="1" dtr="1" r1="C26" r2="C52" ca="1"/>
        <v>113817.58568665512</v>
      </c>
      <c r="F85" s="647">
        <v>104848.31339196539</v>
      </c>
      <c r="G85" s="647">
        <v>96680.184666948393</v>
      </c>
      <c r="H85" s="647">
        <v>89234.798711237527</v>
      </c>
      <c r="I85" s="647">
        <v>82442.054601037962</v>
      </c>
      <c r="J85" s="647">
        <v>76239.20851412043</v>
      </c>
    </row>
    <row r="86" spans="3:13" ht="14.4" customHeight="1">
      <c r="C86" s="679"/>
      <c r="D86" s="652">
        <v>35</v>
      </c>
      <c r="E86" s="648">
        <v>116748.60340892627</v>
      </c>
      <c r="F86" s="643">
        <v>107535.75889243314</v>
      </c>
      <c r="G86" s="643">
        <v>99146.234658628979</v>
      </c>
      <c r="H86" s="643">
        <v>91499.437592894523</v>
      </c>
      <c r="I86" s="643">
        <v>84523.308007769243</v>
      </c>
      <c r="J86" s="643">
        <v>78153.350225422371</v>
      </c>
      <c r="M86" s="681"/>
    </row>
    <row r="87" spans="3:13" ht="14.4" customHeight="1">
      <c r="C87" s="679"/>
      <c r="D87" s="652">
        <v>36</v>
      </c>
      <c r="E87" s="648">
        <v>119679.6211311974</v>
      </c>
      <c r="F87" s="644">
        <v>110223.20439290088</v>
      </c>
      <c r="G87" s="643">
        <v>101612.28465030954</v>
      </c>
      <c r="H87" s="643">
        <v>93764.076474551504</v>
      </c>
      <c r="I87" s="643">
        <v>86604.561414500524</v>
      </c>
      <c r="J87" s="643">
        <v>80067.491936724298</v>
      </c>
      <c r="M87" s="681"/>
    </row>
    <row r="88" spans="3:13" ht="14.4" customHeight="1">
      <c r="C88" s="679"/>
      <c r="D88" s="652">
        <v>37</v>
      </c>
      <c r="E88" s="648">
        <v>122610.63885346855</v>
      </c>
      <c r="F88" s="643">
        <v>112910.64989336864</v>
      </c>
      <c r="G88" s="643">
        <v>104078.33464199012</v>
      </c>
      <c r="H88" s="643">
        <v>96028.715356208486</v>
      </c>
      <c r="I88" s="643">
        <v>88685.814821231819</v>
      </c>
      <c r="J88" s="643">
        <v>81981.63364802624</v>
      </c>
      <c r="M88" s="681"/>
    </row>
    <row r="89" spans="3:13" ht="14.4" customHeight="1">
      <c r="C89" s="679"/>
      <c r="D89" s="652">
        <v>38</v>
      </c>
      <c r="E89" s="648">
        <v>125541.6565757397</v>
      </c>
      <c r="F89" s="643">
        <v>115598.0953938364</v>
      </c>
      <c r="G89" s="643">
        <v>106544.38463367069</v>
      </c>
      <c r="H89" s="643">
        <v>98293.354237865482</v>
      </c>
      <c r="I89" s="643">
        <v>90767.0682279631</v>
      </c>
      <c r="J89" s="643">
        <v>83895.775359328167</v>
      </c>
      <c r="M89" s="681"/>
    </row>
    <row r="90" spans="3:13" ht="14.4" customHeight="1">
      <c r="C90" s="679"/>
      <c r="D90" s="652">
        <v>39</v>
      </c>
      <c r="E90" s="649">
        <v>128472.67429801084</v>
      </c>
      <c r="F90" s="645">
        <v>118285.54089430414</v>
      </c>
      <c r="G90" s="645">
        <v>109010.43462535126</v>
      </c>
      <c r="H90" s="645">
        <v>100557.99311952246</v>
      </c>
      <c r="I90" s="645">
        <v>92848.321634694381</v>
      </c>
      <c r="J90" s="645">
        <v>85809.917070630094</v>
      </c>
      <c r="M90" s="681"/>
    </row>
    <row r="91" spans="3:13" ht="14.4" customHeight="1">
      <c r="D91" s="651"/>
      <c r="M91" s="681"/>
    </row>
  </sheetData>
  <mergeCells count="10">
    <mergeCell ref="E83:J83"/>
    <mergeCell ref="C85:C90"/>
    <mergeCell ref="E8:J8"/>
    <mergeCell ref="K8:O8"/>
    <mergeCell ref="P8:T8"/>
    <mergeCell ref="C73:C78"/>
    <mergeCell ref="E71:J71"/>
    <mergeCell ref="O72:T72"/>
    <mergeCell ref="M74:M79"/>
    <mergeCell ref="M86:M91"/>
  </mergeCells>
  <dataValidations count="1">
    <dataValidation type="list" allowBlank="1" showInputMessage="1" showErrorMessage="1" sqref="D25:I25" xr:uid="{74114884-F74E-41E6-852F-A349730058A8}">
      <formula1>$R$3:$R$4</formula1>
    </dataValidation>
  </dataValidations>
  <pageMargins left="0.7" right="0.7" top="0.75" bottom="0.75" header="0.3" footer="0.3"/>
  <pageSetup orientation="portrait" r:id="rId1"/>
  <ignoredErrors>
    <ignoredError sqref="E16:N16 E18 C64 F18:N18 O16:T16 O18:T18"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8914" r:id="rId4" name="Drop Down 2">
              <controlPr defaultSize="0" autoLine="0" autoPict="0">
                <anchor moveWithCells="1">
                  <from>
                    <xdr:col>10</xdr:col>
                    <xdr:colOff>91440</xdr:colOff>
                    <xdr:row>3</xdr:row>
                    <xdr:rowOff>0</xdr:rowOff>
                  </from>
                  <to>
                    <xdr:col>11</xdr:col>
                    <xdr:colOff>518160</xdr:colOff>
                    <xdr:row>4</xdr:row>
                    <xdr:rowOff>45720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A2E78-982D-4277-8285-3EFA52787EE4}">
  <dimension ref="B2:S37"/>
  <sheetViews>
    <sheetView showGridLines="0" topLeftCell="E1" workbookViewId="0">
      <selection activeCell="I33" sqref="I33"/>
    </sheetView>
  </sheetViews>
  <sheetFormatPr defaultColWidth="11.44140625" defaultRowHeight="11.4"/>
  <cols>
    <col min="1" max="2" width="11.44140625" style="573"/>
    <col min="3" max="3" width="11.5546875" style="573" bestFit="1" customWidth="1"/>
    <col min="4" max="4" width="35.44140625" style="573" customWidth="1"/>
    <col min="5" max="5" width="12.109375" style="573" bestFit="1" customWidth="1"/>
    <col min="6" max="6" width="11.44140625" style="573"/>
    <col min="7" max="7" width="11.5546875" style="573" bestFit="1" customWidth="1"/>
    <col min="8" max="12" width="11.44140625" style="573"/>
    <col min="13" max="13" width="12.77734375" style="573" customWidth="1"/>
    <col min="14" max="14" width="15.6640625" style="573" customWidth="1"/>
    <col min="15" max="15" width="21.44140625" style="573" customWidth="1"/>
    <col min="16" max="16" width="18.33203125" style="573" customWidth="1"/>
    <col min="17" max="17" width="13.21875" style="573" customWidth="1"/>
    <col min="18" max="18" width="16.21875" style="573" customWidth="1"/>
    <col min="19" max="19" width="15.21875" style="573" customWidth="1"/>
    <col min="20" max="16384" width="11.44140625" style="573"/>
  </cols>
  <sheetData>
    <row r="2" spans="2:19" s="570" customFormat="1" ht="17.399999999999999">
      <c r="B2" s="568" t="s">
        <v>1078</v>
      </c>
      <c r="C2" s="568"/>
      <c r="D2" s="568"/>
      <c r="E2" s="569"/>
      <c r="F2" s="568"/>
      <c r="G2" s="568"/>
      <c r="H2" s="568"/>
    </row>
    <row r="3" spans="2:19" ht="14.4">
      <c r="B3" s="571" t="s">
        <v>1079</v>
      </c>
      <c r="C3" s="571"/>
      <c r="D3" s="571"/>
      <c r="E3" s="572">
        <v>730</v>
      </c>
      <c r="F3" s="571"/>
      <c r="G3" s="571"/>
      <c r="H3" s="571"/>
    </row>
    <row r="4" spans="2:19" ht="19.2" customHeight="1">
      <c r="B4" s="571" t="s">
        <v>1080</v>
      </c>
      <c r="C4" s="571"/>
      <c r="D4" s="571"/>
      <c r="E4" s="574">
        <v>456</v>
      </c>
      <c r="F4" s="571"/>
      <c r="G4" s="571"/>
      <c r="H4" s="571"/>
      <c r="M4" s="592" t="s">
        <v>1107</v>
      </c>
      <c r="N4" s="592" t="s">
        <v>1108</v>
      </c>
      <c r="O4" s="592" t="s">
        <v>1109</v>
      </c>
      <c r="P4" s="592" t="s">
        <v>1110</v>
      </c>
      <c r="Q4" s="592" t="s">
        <v>1138</v>
      </c>
      <c r="R4" s="596" t="s">
        <v>1139</v>
      </c>
      <c r="S4" s="597" t="s">
        <v>1140</v>
      </c>
    </row>
    <row r="5" spans="2:19" ht="14.4">
      <c r="B5" s="571" t="s">
        <v>1081</v>
      </c>
      <c r="C5" s="571"/>
      <c r="D5" s="571"/>
      <c r="E5" s="572">
        <v>3.9</v>
      </c>
      <c r="F5" s="571"/>
      <c r="G5" s="571"/>
      <c r="H5" s="571"/>
    </row>
    <row r="6" spans="2:19" ht="14.4">
      <c r="B6" s="571" t="s">
        <v>1082</v>
      </c>
      <c r="C6" s="571"/>
      <c r="D6" s="571"/>
      <c r="E6" s="575">
        <v>0.245</v>
      </c>
      <c r="F6" s="571" t="s">
        <v>1083</v>
      </c>
      <c r="G6" s="571"/>
      <c r="H6" s="571"/>
      <c r="M6" t="s">
        <v>1111</v>
      </c>
      <c r="N6" s="593">
        <v>44651</v>
      </c>
      <c r="O6" s="242">
        <v>26630</v>
      </c>
      <c r="P6">
        <v>357.65</v>
      </c>
      <c r="Q6" s="573">
        <v>3.9</v>
      </c>
      <c r="R6" s="595">
        <v>0.24529999999999999</v>
      </c>
      <c r="S6" s="595">
        <v>1.9E-2</v>
      </c>
    </row>
    <row r="7" spans="2:19" ht="14.4">
      <c r="B7" s="571" t="s">
        <v>1084</v>
      </c>
      <c r="C7" s="571"/>
      <c r="D7" s="571"/>
      <c r="E7" s="576">
        <v>1.9E-2</v>
      </c>
      <c r="F7" s="571"/>
      <c r="G7" s="571"/>
      <c r="H7" s="571"/>
      <c r="M7" t="s">
        <v>1111</v>
      </c>
      <c r="N7" s="593">
        <v>44895</v>
      </c>
      <c r="O7" s="242">
        <v>78570</v>
      </c>
      <c r="P7">
        <v>346</v>
      </c>
      <c r="Q7" s="573">
        <v>3.9</v>
      </c>
      <c r="R7" s="595">
        <v>0.24529999999999999</v>
      </c>
      <c r="S7" s="595">
        <v>1.9E-2</v>
      </c>
    </row>
    <row r="8" spans="2:19" ht="14.4">
      <c r="B8" s="571" t="s">
        <v>1085</v>
      </c>
      <c r="C8" s="571"/>
      <c r="D8" s="571"/>
      <c r="E8" s="576">
        <f>WACC!E7</f>
        <v>4.3490141762224932E-2</v>
      </c>
      <c r="F8" s="571"/>
      <c r="G8" s="571"/>
      <c r="H8" s="571"/>
      <c r="M8" t="s">
        <v>1112</v>
      </c>
      <c r="N8" s="593">
        <v>44895</v>
      </c>
      <c r="O8" s="242">
        <v>43150</v>
      </c>
      <c r="P8">
        <v>372.1</v>
      </c>
      <c r="Q8" s="573">
        <v>3.9</v>
      </c>
      <c r="R8" s="595">
        <v>0.24529999999999999</v>
      </c>
      <c r="S8" s="595">
        <v>1.9E-2</v>
      </c>
    </row>
    <row r="9" spans="2:19" ht="14.4">
      <c r="B9" s="571" t="s">
        <v>1086</v>
      </c>
      <c r="C9" s="571"/>
      <c r="D9" s="571"/>
      <c r="E9" s="572">
        <v>8.4648329999999994E-2</v>
      </c>
      <c r="F9" s="571"/>
      <c r="G9" s="242"/>
      <c r="H9" s="571"/>
      <c r="M9" t="s">
        <v>1113</v>
      </c>
      <c r="N9" s="593">
        <v>45016</v>
      </c>
      <c r="O9" s="242">
        <v>115100</v>
      </c>
      <c r="P9">
        <v>330.38</v>
      </c>
      <c r="Q9" s="573">
        <v>3.9</v>
      </c>
      <c r="R9" s="595">
        <v>0.24529999999999999</v>
      </c>
      <c r="S9" s="595">
        <v>1.9E-2</v>
      </c>
    </row>
    <row r="10" spans="2:19" ht="14.4">
      <c r="B10" s="571" t="s">
        <v>1087</v>
      </c>
      <c r="C10" s="571"/>
      <c r="D10" s="571"/>
      <c r="E10" s="572">
        <v>130</v>
      </c>
      <c r="F10" s="571"/>
      <c r="G10" s="571"/>
      <c r="H10" s="571"/>
      <c r="M10" t="s">
        <v>1114</v>
      </c>
      <c r="N10" s="593">
        <v>45260</v>
      </c>
      <c r="O10">
        <v>808</v>
      </c>
      <c r="P10">
        <v>1</v>
      </c>
      <c r="Q10" s="573">
        <v>3.9</v>
      </c>
      <c r="R10" s="595">
        <v>0.24529999999999999</v>
      </c>
      <c r="S10" s="595">
        <v>1.9E-2</v>
      </c>
    </row>
    <row r="11" spans="2:19" ht="14.4">
      <c r="B11" s="571"/>
      <c r="C11" s="571"/>
      <c r="D11" s="571"/>
      <c r="E11" s="571"/>
      <c r="F11" s="571"/>
      <c r="G11" s="571"/>
      <c r="H11" s="571"/>
      <c r="M11" t="s">
        <v>1115</v>
      </c>
      <c r="N11" s="593">
        <v>45260</v>
      </c>
      <c r="O11" s="573">
        <v>291355</v>
      </c>
      <c r="P11" s="573">
        <v>420</v>
      </c>
      <c r="Q11" s="573">
        <v>3.9</v>
      </c>
      <c r="R11" s="595">
        <v>0.24529999999999999</v>
      </c>
      <c r="S11" s="595">
        <v>1.9E-2</v>
      </c>
    </row>
    <row r="12" spans="2:19" s="579" customFormat="1" ht="14.4">
      <c r="B12" s="577" t="s">
        <v>1088</v>
      </c>
      <c r="C12" s="578"/>
      <c r="D12" s="578"/>
      <c r="E12" s="578"/>
      <c r="F12" s="578"/>
      <c r="G12" s="578"/>
      <c r="H12" s="578"/>
      <c r="M12" t="s">
        <v>1116</v>
      </c>
      <c r="N12" s="593">
        <v>45382</v>
      </c>
      <c r="O12" s="242">
        <v>297940</v>
      </c>
      <c r="P12">
        <v>451.56</v>
      </c>
      <c r="Q12" s="573">
        <v>3.9</v>
      </c>
      <c r="R12" s="595">
        <v>0.24529999999999999</v>
      </c>
      <c r="S12" s="595">
        <v>1.9E-2</v>
      </c>
    </row>
    <row r="13" spans="2:19" s="580" customFormat="1" ht="14.4">
      <c r="B13" s="568" t="s">
        <v>1089</v>
      </c>
      <c r="C13" s="571"/>
      <c r="D13" s="571"/>
      <c r="E13" s="571"/>
      <c r="F13" s="571"/>
      <c r="G13" s="571"/>
      <c r="H13" s="571"/>
      <c r="M13" t="s">
        <v>1117</v>
      </c>
      <c r="N13" s="593">
        <v>45626</v>
      </c>
      <c r="O13" s="580">
        <v>19862</v>
      </c>
      <c r="P13" s="580">
        <v>1</v>
      </c>
      <c r="Q13" s="573">
        <v>3.9</v>
      </c>
      <c r="R13" s="595">
        <v>0.24529999999999999</v>
      </c>
      <c r="S13" s="595">
        <v>1.9E-2</v>
      </c>
    </row>
    <row r="14" spans="2:19" s="580" customFormat="1" ht="14.4">
      <c r="B14" s="571" t="s">
        <v>1090</v>
      </c>
      <c r="C14" s="571"/>
      <c r="D14" s="581">
        <f>E3</f>
        <v>730</v>
      </c>
      <c r="E14" s="571" t="s">
        <v>1091</v>
      </c>
      <c r="F14" s="571"/>
      <c r="G14" s="582">
        <f>E9</f>
        <v>8.4648329999999994E-2</v>
      </c>
      <c r="H14" s="583"/>
      <c r="M14" t="s">
        <v>1118</v>
      </c>
      <c r="N14" s="593">
        <v>45626</v>
      </c>
      <c r="O14" s="580">
        <v>553837</v>
      </c>
      <c r="P14" s="580">
        <v>525</v>
      </c>
      <c r="Q14" s="573">
        <v>3.9</v>
      </c>
      <c r="R14" s="595">
        <v>0.24529999999999999</v>
      </c>
      <c r="S14" s="595">
        <v>1.9E-2</v>
      </c>
    </row>
    <row r="15" spans="2:19" s="580" customFormat="1" ht="14.4">
      <c r="B15" s="571" t="s">
        <v>1092</v>
      </c>
      <c r="C15" s="571"/>
      <c r="D15" s="581">
        <f>E4</f>
        <v>456</v>
      </c>
      <c r="E15" s="571" t="s">
        <v>1093</v>
      </c>
      <c r="F15" s="571"/>
      <c r="G15" s="582">
        <f>E10</f>
        <v>130</v>
      </c>
      <c r="H15" s="583"/>
      <c r="M15" t="s">
        <v>1119</v>
      </c>
      <c r="N15" s="593">
        <v>45382</v>
      </c>
      <c r="O15" s="580">
        <v>270634</v>
      </c>
      <c r="P15" s="580">
        <v>520</v>
      </c>
      <c r="Q15" s="573">
        <v>3.9</v>
      </c>
      <c r="R15" s="595">
        <v>0.24529999999999999</v>
      </c>
      <c r="S15" s="595">
        <v>1.9E-2</v>
      </c>
    </row>
    <row r="16" spans="2:19" s="580" customFormat="1" ht="14.4">
      <c r="B16" s="571" t="s">
        <v>1094</v>
      </c>
      <c r="C16" s="571"/>
      <c r="D16" s="581">
        <f ca="1">(D14*G15+D27*G14)/(G15+G14)</f>
        <v>729.72489134333398</v>
      </c>
      <c r="E16" s="571" t="s">
        <v>1095</v>
      </c>
      <c r="F16" s="571"/>
      <c r="G16" s="584">
        <f>E8</f>
        <v>4.3490141762224932E-2</v>
      </c>
      <c r="H16" s="571"/>
      <c r="M16" t="s">
        <v>1120</v>
      </c>
      <c r="N16" s="593">
        <v>45382</v>
      </c>
      <c r="O16" s="242">
        <v>575837</v>
      </c>
      <c r="P16">
        <v>520.96</v>
      </c>
      <c r="Q16" s="573">
        <v>3.9</v>
      </c>
      <c r="R16" s="595">
        <v>0.24529999999999999</v>
      </c>
      <c r="S16" s="595">
        <v>1.9E-2</v>
      </c>
    </row>
    <row r="17" spans="2:19" s="580" customFormat="1" ht="14.4">
      <c r="B17" s="571" t="s">
        <v>1096</v>
      </c>
      <c r="C17" s="571"/>
      <c r="D17" s="581">
        <f>D15</f>
        <v>456</v>
      </c>
      <c r="E17" s="571" t="s">
        <v>1097</v>
      </c>
      <c r="F17" s="571"/>
      <c r="G17" s="585">
        <f>E6^2</f>
        <v>6.0024999999999995E-2</v>
      </c>
      <c r="H17" s="571"/>
      <c r="M17" t="s">
        <v>1121</v>
      </c>
      <c r="N17" s="593">
        <v>45747</v>
      </c>
      <c r="O17" s="242">
        <v>21898</v>
      </c>
      <c r="P17" s="580">
        <v>1</v>
      </c>
      <c r="Q17" s="573">
        <v>3.9</v>
      </c>
      <c r="R17" s="595">
        <v>0.24529999999999999</v>
      </c>
      <c r="S17" s="595">
        <v>1.9E-2</v>
      </c>
    </row>
    <row r="18" spans="2:19" s="580" customFormat="1" ht="14.4">
      <c r="B18" s="571" t="s">
        <v>1098</v>
      </c>
      <c r="C18" s="571"/>
      <c r="D18" s="581">
        <f>E5</f>
        <v>3.9</v>
      </c>
      <c r="E18" s="571" t="s">
        <v>1099</v>
      </c>
      <c r="F18" s="571"/>
      <c r="G18" s="584">
        <f>E7</f>
        <v>1.9E-2</v>
      </c>
      <c r="H18" s="571"/>
      <c r="M18" t="s">
        <v>1122</v>
      </c>
      <c r="N18" s="593">
        <v>45991</v>
      </c>
      <c r="O18" s="580">
        <v>51541</v>
      </c>
      <c r="P18" s="580">
        <v>1</v>
      </c>
      <c r="Q18" s="573">
        <v>3.9</v>
      </c>
      <c r="R18" s="595">
        <v>0.24529999999999999</v>
      </c>
      <c r="S18" s="595">
        <v>1.9E-2</v>
      </c>
    </row>
    <row r="19" spans="2:19" s="580" customFormat="1" ht="14.4">
      <c r="B19" s="571"/>
      <c r="C19" s="571"/>
      <c r="D19" s="568"/>
      <c r="E19" s="571" t="s">
        <v>1100</v>
      </c>
      <c r="F19" s="571"/>
      <c r="G19" s="586">
        <f>G16-G18</f>
        <v>2.4490141762224932E-2</v>
      </c>
      <c r="H19" s="571"/>
      <c r="M19" t="s">
        <v>1123</v>
      </c>
      <c r="N19" s="593">
        <v>45991</v>
      </c>
      <c r="O19" s="594">
        <v>588740</v>
      </c>
      <c r="P19" s="580">
        <v>500</v>
      </c>
      <c r="Q19" s="573">
        <v>3.9</v>
      </c>
      <c r="R19" s="595">
        <v>0.24529999999999999</v>
      </c>
      <c r="S19" s="595">
        <v>1.9E-2</v>
      </c>
    </row>
    <row r="20" spans="2:19" s="580" customFormat="1" ht="14.4">
      <c r="B20" s="571"/>
      <c r="C20" s="571"/>
      <c r="D20" s="571"/>
      <c r="E20" s="571"/>
      <c r="F20" s="571"/>
      <c r="G20" s="571"/>
      <c r="H20" s="571"/>
      <c r="M20" t="s">
        <v>1124</v>
      </c>
      <c r="N20" s="593">
        <v>45747</v>
      </c>
      <c r="O20" s="242">
        <v>12604</v>
      </c>
      <c r="P20" s="580">
        <v>1</v>
      </c>
      <c r="Q20" s="573">
        <v>3.9</v>
      </c>
      <c r="R20" s="595">
        <v>0.24529999999999999</v>
      </c>
      <c r="S20" s="595">
        <v>1.9E-2</v>
      </c>
    </row>
    <row r="21" spans="2:19" s="580" customFormat="1" ht="14.4">
      <c r="B21" s="571" t="s">
        <v>1101</v>
      </c>
      <c r="C21" s="587">
        <f ca="1">(LN(D16/D17)+(G19+(G17/2))*D18)/(((G17)^(0.5))*(D18^0.5))</f>
        <v>1.4110871597899748</v>
      </c>
      <c r="D21" s="571">
        <f>(D19*G20+D32*G19)/(G20+G19)</f>
        <v>0</v>
      </c>
      <c r="E21" s="571"/>
      <c r="F21" s="571"/>
      <c r="G21" s="571"/>
      <c r="H21" s="571"/>
      <c r="M21" t="s">
        <v>1125</v>
      </c>
      <c r="N21" s="593">
        <v>45747</v>
      </c>
      <c r="O21" s="242">
        <v>176516</v>
      </c>
      <c r="P21">
        <v>498.25</v>
      </c>
      <c r="Q21" s="573">
        <v>3.9</v>
      </c>
      <c r="R21" s="595">
        <v>0.24529999999999999</v>
      </c>
      <c r="S21" s="595">
        <v>1.9E-2</v>
      </c>
    </row>
    <row r="22" spans="2:19" s="580" customFormat="1" ht="14.4">
      <c r="B22" s="571" t="s">
        <v>1102</v>
      </c>
      <c r="C22" s="587">
        <f ca="1">NORMSDIST(C21)</f>
        <v>0.9208905422029886</v>
      </c>
      <c r="D22" s="571"/>
      <c r="E22" s="571"/>
      <c r="F22" s="571"/>
      <c r="G22" s="571"/>
      <c r="H22" s="571"/>
      <c r="M22" t="s">
        <v>1126</v>
      </c>
      <c r="N22" s="593">
        <v>45747</v>
      </c>
      <c r="O22" s="242">
        <v>220893</v>
      </c>
      <c r="P22">
        <v>1</v>
      </c>
      <c r="Q22" s="573">
        <v>3.9</v>
      </c>
      <c r="R22" s="595">
        <v>0.24529999999999999</v>
      </c>
      <c r="S22" s="595">
        <v>1.9E-2</v>
      </c>
    </row>
    <row r="23" spans="2:19" s="580" customFormat="1" ht="14.4">
      <c r="B23" s="571"/>
      <c r="C23" s="588"/>
      <c r="D23" s="571"/>
      <c r="E23" s="571"/>
      <c r="F23" s="571"/>
      <c r="G23" s="571"/>
      <c r="H23" s="571"/>
      <c r="M23" t="s">
        <v>1127</v>
      </c>
      <c r="N23" s="593">
        <v>45747</v>
      </c>
      <c r="O23" s="242">
        <v>958478</v>
      </c>
      <c r="P23">
        <v>483.5</v>
      </c>
      <c r="Q23" s="573">
        <v>3.9</v>
      </c>
      <c r="R23" s="595">
        <v>0.24529999999999999</v>
      </c>
      <c r="S23" s="595">
        <v>1.9E-2</v>
      </c>
    </row>
    <row r="24" spans="2:19" s="580" customFormat="1" ht="15.75" customHeight="1">
      <c r="B24" s="571" t="s">
        <v>1103</v>
      </c>
      <c r="C24" s="587">
        <f ca="1">C21-((G17^0.5)*(D18^(0.5)))</f>
        <v>0.92725092716575308</v>
      </c>
      <c r="D24" s="571"/>
      <c r="E24" s="571"/>
      <c r="F24" s="571"/>
      <c r="G24" s="571"/>
      <c r="H24" s="571"/>
      <c r="M24" t="s">
        <v>1128</v>
      </c>
      <c r="N24" s="593">
        <v>46112</v>
      </c>
      <c r="O24" s="242">
        <v>21867</v>
      </c>
      <c r="P24">
        <v>1</v>
      </c>
      <c r="Q24" s="573">
        <v>3.9</v>
      </c>
      <c r="R24" s="595">
        <v>0.24529999999999999</v>
      </c>
      <c r="S24" s="595">
        <v>1.9E-2</v>
      </c>
    </row>
    <row r="25" spans="2:19" s="580" customFormat="1" ht="14.4">
      <c r="B25" s="571" t="s">
        <v>1104</v>
      </c>
      <c r="C25" s="587">
        <f ca="1">NORMSDIST(C24)</f>
        <v>0.82310186664287555</v>
      </c>
      <c r="D25" s="571"/>
      <c r="E25" s="571"/>
      <c r="F25" s="571"/>
      <c r="G25" s="571"/>
      <c r="H25" s="571"/>
      <c r="M25" t="s">
        <v>1129</v>
      </c>
      <c r="N25" s="593">
        <v>46112</v>
      </c>
      <c r="O25" s="242">
        <v>196560</v>
      </c>
      <c r="P25">
        <v>483.5</v>
      </c>
      <c r="Q25" s="573">
        <v>3.9</v>
      </c>
      <c r="R25" s="595">
        <v>0.24529999999999999</v>
      </c>
      <c r="S25" s="595">
        <v>1.9E-2</v>
      </c>
    </row>
    <row r="26" spans="2:19" ht="15" thickBot="1">
      <c r="B26" s="571"/>
      <c r="C26" s="571"/>
      <c r="D26" s="571"/>
      <c r="E26" s="571"/>
      <c r="F26" s="571"/>
      <c r="G26" s="571"/>
      <c r="H26" s="571"/>
      <c r="M26" t="s">
        <v>1130</v>
      </c>
      <c r="N26" s="593">
        <v>46356</v>
      </c>
      <c r="O26" s="242">
        <v>83324</v>
      </c>
      <c r="P26">
        <v>1</v>
      </c>
      <c r="Q26" s="573">
        <v>3.9</v>
      </c>
      <c r="R26" s="595">
        <v>0.24529999999999999</v>
      </c>
      <c r="S26" s="595">
        <v>1.9E-2</v>
      </c>
    </row>
    <row r="27" spans="2:19" s="580" customFormat="1" ht="15" thickBot="1">
      <c r="B27" s="571" t="s">
        <v>1105</v>
      </c>
      <c r="C27" s="571"/>
      <c r="D27" s="589">
        <f ca="1">((EXP((0-G18)*D18))*D16*C22-D17*(EXP((0-G16)*D18))*C25)</f>
        <v>307.2224584354467</v>
      </c>
      <c r="E27" s="590"/>
      <c r="F27" s="571"/>
      <c r="G27" s="571"/>
      <c r="H27" s="591"/>
      <c r="M27" t="s">
        <v>1131</v>
      </c>
      <c r="N27" s="593">
        <v>46356</v>
      </c>
      <c r="O27" s="242">
        <v>851767</v>
      </c>
      <c r="P27">
        <v>527.67999999999995</v>
      </c>
      <c r="Q27" s="573">
        <v>3.9</v>
      </c>
      <c r="R27" s="595">
        <v>0.24529999999999999</v>
      </c>
      <c r="S27" s="595">
        <v>1.9E-2</v>
      </c>
    </row>
    <row r="28" spans="2:19" s="580" customFormat="1" ht="15" thickBot="1">
      <c r="B28" s="571" t="s">
        <v>1106</v>
      </c>
      <c r="C28" s="571"/>
      <c r="D28" s="571"/>
      <c r="E28" s="601">
        <f ca="1">D27*E9</f>
        <v>26.005868045054974</v>
      </c>
      <c r="F28" s="571"/>
      <c r="G28" s="571"/>
      <c r="H28" s="571"/>
      <c r="M28" t="s">
        <v>1132</v>
      </c>
      <c r="N28" s="593">
        <v>45747</v>
      </c>
      <c r="O28" s="580">
        <v>12600</v>
      </c>
      <c r="P28" s="580">
        <v>1</v>
      </c>
      <c r="Q28" s="573">
        <v>3.9</v>
      </c>
      <c r="R28" s="595">
        <v>0.24529999999999999</v>
      </c>
      <c r="S28" s="595">
        <v>1.9E-2</v>
      </c>
    </row>
    <row r="29" spans="2:19" ht="14.4">
      <c r="B29" s="571"/>
      <c r="C29" s="571"/>
      <c r="D29" s="571"/>
      <c r="E29" s="571"/>
      <c r="F29" s="571"/>
      <c r="G29" s="571"/>
      <c r="H29" s="571"/>
      <c r="M29" t="s">
        <v>1133</v>
      </c>
      <c r="N29" s="593">
        <v>45747</v>
      </c>
      <c r="O29" s="573">
        <v>264361</v>
      </c>
      <c r="P29" s="573">
        <v>530</v>
      </c>
      <c r="Q29" s="573">
        <v>3.9</v>
      </c>
      <c r="R29" s="595">
        <v>0.24529999999999999</v>
      </c>
      <c r="S29" s="595">
        <v>1.9E-2</v>
      </c>
    </row>
    <row r="30" spans="2:19" ht="14.4">
      <c r="B30" s="571"/>
      <c r="C30" s="571"/>
      <c r="D30" s="571"/>
      <c r="E30" s="571"/>
      <c r="F30" s="571"/>
      <c r="G30" s="571"/>
      <c r="H30" s="571"/>
      <c r="M30" t="s">
        <v>1134</v>
      </c>
      <c r="N30" s="593">
        <v>45992</v>
      </c>
      <c r="O30" s="242">
        <v>118782</v>
      </c>
      <c r="P30">
        <v>1</v>
      </c>
      <c r="Q30" s="573">
        <v>3.9</v>
      </c>
      <c r="R30" s="595">
        <v>0.24529999999999999</v>
      </c>
      <c r="S30" s="595">
        <v>1.9E-2</v>
      </c>
    </row>
    <row r="31" spans="2:19" ht="14.4">
      <c r="B31" s="571"/>
      <c r="C31" s="571"/>
      <c r="D31" s="571"/>
      <c r="E31" s="571"/>
      <c r="F31" s="571"/>
      <c r="G31" s="571"/>
      <c r="H31" s="571"/>
      <c r="M31" t="s">
        <v>1134</v>
      </c>
      <c r="N31" s="593">
        <v>45992</v>
      </c>
      <c r="O31" s="242">
        <v>889760</v>
      </c>
      <c r="P31">
        <v>506.17</v>
      </c>
      <c r="Q31" s="573">
        <v>3.9</v>
      </c>
      <c r="R31" s="595">
        <v>0.24529999999999999</v>
      </c>
      <c r="S31" s="595">
        <v>1.9E-2</v>
      </c>
    </row>
    <row r="32" spans="2:19" ht="14.4">
      <c r="B32" s="571"/>
      <c r="C32" s="571"/>
      <c r="D32" s="571"/>
      <c r="E32" s="571"/>
      <c r="F32" s="571"/>
      <c r="G32" s="571"/>
      <c r="H32" s="571"/>
      <c r="M32" t="s">
        <v>1135</v>
      </c>
      <c r="N32" s="593">
        <v>46357</v>
      </c>
      <c r="O32" s="573">
        <v>237327</v>
      </c>
      <c r="P32" s="573">
        <v>300</v>
      </c>
      <c r="Q32" s="573">
        <v>3.9</v>
      </c>
      <c r="R32" s="595">
        <v>0.24529999999999999</v>
      </c>
      <c r="S32" s="595">
        <v>1.9E-2</v>
      </c>
    </row>
    <row r="33" spans="2:19" ht="14.4">
      <c r="B33" s="571"/>
      <c r="C33" s="571"/>
      <c r="D33" s="571"/>
      <c r="E33" s="571"/>
      <c r="F33" s="571"/>
      <c r="G33" s="571"/>
      <c r="H33" s="571"/>
      <c r="M33" t="s">
        <v>1136</v>
      </c>
      <c r="N33" s="593">
        <v>46356</v>
      </c>
      <c r="O33" s="573">
        <v>1967686</v>
      </c>
      <c r="P33" s="573">
        <v>500</v>
      </c>
      <c r="Q33" s="573">
        <v>3.9</v>
      </c>
      <c r="R33" s="595">
        <v>0.24529999999999999</v>
      </c>
      <c r="S33" s="595">
        <v>1.9E-2</v>
      </c>
    </row>
    <row r="34" spans="2:19" ht="14.4">
      <c r="B34" s="571"/>
      <c r="C34" s="571"/>
      <c r="D34" s="571"/>
      <c r="E34" s="571"/>
      <c r="F34" s="571"/>
      <c r="G34" s="571"/>
      <c r="H34" s="571"/>
      <c r="M34" t="s">
        <v>1137</v>
      </c>
      <c r="N34" s="593">
        <v>46112</v>
      </c>
      <c r="O34" s="573">
        <v>67163</v>
      </c>
      <c r="P34" s="573">
        <v>1</v>
      </c>
      <c r="Q34" s="573">
        <v>3.9</v>
      </c>
      <c r="R34" s="595">
        <v>0.24529999999999999</v>
      </c>
      <c r="S34" s="595">
        <v>1.9E-2</v>
      </c>
    </row>
    <row r="35" spans="2:19" ht="14.4">
      <c r="B35" s="571"/>
      <c r="C35" s="571"/>
      <c r="D35" s="571"/>
      <c r="E35" s="571"/>
      <c r="F35" s="571"/>
      <c r="G35" s="571"/>
      <c r="H35" s="571"/>
    </row>
    <row r="36" spans="2:19" ht="14.4">
      <c r="B36" s="571"/>
      <c r="C36" s="571"/>
      <c r="D36" s="571"/>
      <c r="E36" s="571"/>
      <c r="F36" s="571"/>
      <c r="G36" s="571"/>
      <c r="H36" s="571"/>
      <c r="O36" s="598" t="s">
        <v>1141</v>
      </c>
      <c r="P36" s="599">
        <f>SUMPRODUCT(P6:P34,$O$6:$O$34)/SUM($O$6:$O$34)</f>
        <v>456.49539288942816</v>
      </c>
      <c r="Q36" s="599">
        <f t="shared" ref="Q36:R36" si="0">SUMPRODUCT(Q6:Q34,$O$6:$O$34)/SUM($O$6:$O$34)</f>
        <v>3.9000000000000008</v>
      </c>
      <c r="R36" s="600">
        <f t="shared" si="0"/>
        <v>0.24529999999999999</v>
      </c>
      <c r="S36" s="600">
        <f>SUMPRODUCT(S6:S34,$O$6:$O$34)/SUM($O$6:$O$34)</f>
        <v>1.9000000000000003E-2</v>
      </c>
    </row>
    <row r="37" spans="2:19" ht="14.4">
      <c r="B37" s="571"/>
      <c r="C37" s="571"/>
      <c r="D37" s="571"/>
      <c r="E37" s="571"/>
      <c r="F37" s="571"/>
      <c r="G37" s="571"/>
      <c r="H37" s="57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7F327-AD31-4AA0-B7BE-6BDB4B8079F7}">
  <sheetPr codeName="Sheet10">
    <tabColor rgb="FFFF0000"/>
  </sheetPr>
  <dimension ref="H18"/>
  <sheetViews>
    <sheetView workbookViewId="0">
      <selection activeCell="G21" sqref="G21"/>
    </sheetView>
  </sheetViews>
  <sheetFormatPr defaultRowHeight="14.4"/>
  <sheetData>
    <row r="18" spans="8:8">
      <c r="H18" t="s">
        <v>16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F0F6E-07BE-4591-9223-7A9D7186CC41}">
  <sheetPr codeName="Sheet11"/>
  <dimension ref="B1:L88"/>
  <sheetViews>
    <sheetView showGridLines="0" topLeftCell="B1" zoomScale="116" workbookViewId="0">
      <pane ySplit="3" topLeftCell="A22" activePane="bottomLeft" state="frozen"/>
      <selection pane="bottomLeft" activeCell="L35" sqref="L35"/>
    </sheetView>
  </sheetViews>
  <sheetFormatPr defaultRowHeight="14.4"/>
  <cols>
    <col min="1" max="1" width="8.88671875" style="84"/>
    <col min="2" max="2" width="52.6640625" style="84" customWidth="1"/>
    <col min="3" max="3" width="12.44140625" style="84" customWidth="1"/>
    <col min="4" max="4" width="7.6640625" style="84" bestFit="1" customWidth="1"/>
    <col min="5" max="7" width="12.77734375" style="84" customWidth="1"/>
    <col min="8" max="9" width="12.77734375" style="85" customWidth="1"/>
    <col min="10" max="10" width="12.77734375" style="84" customWidth="1"/>
    <col min="11" max="16384" width="8.88671875" style="84"/>
  </cols>
  <sheetData>
    <row r="1" spans="2:11">
      <c r="B1" s="682"/>
      <c r="C1" s="682"/>
      <c r="D1" s="682"/>
      <c r="E1" s="682"/>
    </row>
    <row r="3" spans="2:11" ht="15.6">
      <c r="B3" s="86" t="s">
        <v>154</v>
      </c>
      <c r="C3" s="86"/>
      <c r="D3" s="87">
        <v>43525</v>
      </c>
      <c r="E3" s="87">
        <v>43891</v>
      </c>
      <c r="F3" s="87">
        <v>44256</v>
      </c>
      <c r="G3" s="87">
        <v>44621</v>
      </c>
      <c r="H3" s="87">
        <v>44986</v>
      </c>
      <c r="I3" s="87">
        <v>45382</v>
      </c>
      <c r="J3" s="87">
        <v>45717</v>
      </c>
    </row>
    <row r="4" spans="2:11" ht="15.6">
      <c r="B4" s="88"/>
      <c r="C4" s="88"/>
      <c r="E4" s="89"/>
      <c r="F4" s="89"/>
      <c r="G4" s="89"/>
      <c r="H4" s="89"/>
      <c r="I4" s="89"/>
      <c r="J4" s="89"/>
    </row>
    <row r="5" spans="2:11">
      <c r="B5" s="90" t="s">
        <v>42</v>
      </c>
      <c r="C5" s="90"/>
      <c r="E5" s="85"/>
      <c r="F5" s="85"/>
      <c r="H5" s="84"/>
      <c r="I5" s="84"/>
      <c r="K5" s="84">
        <v>-1</v>
      </c>
    </row>
    <row r="6" spans="2:11" ht="15" thickBot="1">
      <c r="B6" s="91" t="s">
        <v>155</v>
      </c>
      <c r="C6" s="91"/>
      <c r="D6" s="92">
        <v>7334</v>
      </c>
      <c r="E6" s="92">
        <v>7315</v>
      </c>
      <c r="F6" s="92">
        <v>8048</v>
      </c>
      <c r="G6" s="92">
        <v>9512</v>
      </c>
      <c r="H6" s="92">
        <v>9764</v>
      </c>
      <c r="I6" s="92">
        <v>9653</v>
      </c>
      <c r="J6" s="92">
        <v>10831</v>
      </c>
    </row>
    <row r="7" spans="2:11">
      <c r="B7" s="93"/>
      <c r="C7" s="93"/>
      <c r="E7" s="94"/>
      <c r="F7" s="94"/>
      <c r="G7" s="94"/>
      <c r="H7" s="94"/>
      <c r="I7" s="94"/>
      <c r="J7" s="94"/>
    </row>
    <row r="8" spans="2:11">
      <c r="B8" s="95" t="s">
        <v>156</v>
      </c>
      <c r="C8" s="95"/>
      <c r="D8" s="96">
        <f>D6/6322-1</f>
        <v>0.1600759253400823</v>
      </c>
      <c r="E8" s="97">
        <f>E6/D6-1</f>
        <v>-2.5906735751295429E-3</v>
      </c>
      <c r="F8" s="97">
        <f t="shared" ref="F8:J8" si="0">F6/E6-1</f>
        <v>0.10020505809979485</v>
      </c>
      <c r="G8" s="97">
        <f t="shared" si="0"/>
        <v>0.18190854870775341</v>
      </c>
      <c r="H8" s="97">
        <f t="shared" si="0"/>
        <v>2.6492851135407891E-2</v>
      </c>
      <c r="I8" s="97">
        <f t="shared" si="0"/>
        <v>-1.1368291683736209E-2</v>
      </c>
      <c r="J8" s="97">
        <f t="shared" si="0"/>
        <v>0.12203460064228744</v>
      </c>
      <c r="K8" s="98"/>
    </row>
    <row r="9" spans="2:11">
      <c r="B9" s="93"/>
      <c r="C9" s="93"/>
      <c r="E9" s="94"/>
      <c r="F9" s="94"/>
      <c r="G9" s="94"/>
      <c r="H9" s="94"/>
      <c r="I9" s="94"/>
      <c r="J9" s="94"/>
    </row>
    <row r="10" spans="2:11">
      <c r="B10" s="90" t="s">
        <v>157</v>
      </c>
      <c r="C10" s="90"/>
      <c r="E10" s="85"/>
      <c r="F10" s="85"/>
      <c r="H10" s="84"/>
      <c r="I10" s="84"/>
    </row>
    <row r="11" spans="2:11">
      <c r="B11" s="90"/>
      <c r="C11" s="90"/>
      <c r="E11" s="85"/>
      <c r="F11" s="85"/>
      <c r="H11" s="84"/>
      <c r="I11" s="84"/>
    </row>
    <row r="12" spans="2:11">
      <c r="B12" s="90" t="s">
        <v>158</v>
      </c>
      <c r="C12" s="90"/>
      <c r="E12" s="85"/>
      <c r="F12" s="85"/>
      <c r="H12" s="84"/>
      <c r="I12" s="84"/>
    </row>
    <row r="13" spans="2:11">
      <c r="B13" s="84" t="s">
        <v>159</v>
      </c>
      <c r="D13" s="172">
        <v>-3995</v>
      </c>
      <c r="E13" s="173">
        <v>-3428</v>
      </c>
      <c r="F13" s="173">
        <v>-3884</v>
      </c>
      <c r="G13" s="173">
        <v>-5061</v>
      </c>
      <c r="H13" s="173">
        <v>-4649</v>
      </c>
      <c r="I13" s="173">
        <v>-3941</v>
      </c>
      <c r="J13" s="173">
        <v>-4572</v>
      </c>
    </row>
    <row r="14" spans="2:11">
      <c r="B14" s="84" t="s">
        <v>160</v>
      </c>
      <c r="D14" s="172">
        <v>-145</v>
      </c>
      <c r="E14" s="173">
        <v>-177</v>
      </c>
      <c r="F14" s="173">
        <v>-339</v>
      </c>
      <c r="G14" s="173">
        <v>-491</v>
      </c>
      <c r="H14" s="173">
        <v>-541</v>
      </c>
      <c r="I14" s="173">
        <v>-752</v>
      </c>
      <c r="J14" s="173">
        <v>-960</v>
      </c>
    </row>
    <row r="15" spans="2:11">
      <c r="B15" s="101" t="s">
        <v>161</v>
      </c>
      <c r="C15" s="101"/>
      <c r="D15" s="172">
        <v>123</v>
      </c>
      <c r="E15" s="173">
        <v>-140</v>
      </c>
      <c r="F15" s="173">
        <v>-47</v>
      </c>
      <c r="G15" s="173">
        <v>116</v>
      </c>
      <c r="H15" s="173">
        <v>-161</v>
      </c>
      <c r="I15" s="173">
        <v>-55</v>
      </c>
      <c r="J15" s="173">
        <v>144</v>
      </c>
    </row>
    <row r="16" spans="2:11" ht="15" thickBot="1">
      <c r="B16" s="91" t="s">
        <v>162</v>
      </c>
      <c r="C16" s="91"/>
      <c r="D16" s="92">
        <f>SUM(D13:D15)</f>
        <v>-4017</v>
      </c>
      <c r="E16" s="92">
        <f t="shared" ref="E16:J16" si="1">SUM(E13:E15)</f>
        <v>-3745</v>
      </c>
      <c r="F16" s="92">
        <f t="shared" si="1"/>
        <v>-4270</v>
      </c>
      <c r="G16" s="92">
        <f t="shared" si="1"/>
        <v>-5436</v>
      </c>
      <c r="H16" s="92">
        <f t="shared" si="1"/>
        <v>-5351</v>
      </c>
      <c r="I16" s="92">
        <f t="shared" si="1"/>
        <v>-4748</v>
      </c>
      <c r="J16" s="92">
        <f t="shared" si="1"/>
        <v>-5388</v>
      </c>
    </row>
    <row r="17" spans="2:10">
      <c r="B17" s="93"/>
      <c r="C17" s="93"/>
      <c r="E17" s="94"/>
      <c r="F17" s="94"/>
      <c r="G17" s="94"/>
      <c r="H17" s="94"/>
      <c r="I17" s="94"/>
      <c r="J17" s="94"/>
    </row>
    <row r="18" spans="2:10">
      <c r="B18" s="93" t="s">
        <v>1</v>
      </c>
      <c r="C18" s="93"/>
      <c r="D18" s="94">
        <f>D6+D16</f>
        <v>3317</v>
      </c>
      <c r="E18" s="94">
        <f t="shared" ref="E18:J18" si="2">E6+E16</f>
        <v>3570</v>
      </c>
      <c r="F18" s="94">
        <f t="shared" si="2"/>
        <v>3778</v>
      </c>
      <c r="G18" s="94">
        <f t="shared" si="2"/>
        <v>4076</v>
      </c>
      <c r="H18" s="94">
        <f t="shared" si="2"/>
        <v>4413</v>
      </c>
      <c r="I18" s="94">
        <f t="shared" si="2"/>
        <v>4905</v>
      </c>
      <c r="J18" s="94">
        <f t="shared" si="2"/>
        <v>5443</v>
      </c>
    </row>
    <row r="19" spans="2:10">
      <c r="B19" s="93"/>
      <c r="C19" s="93"/>
      <c r="D19" s="94"/>
      <c r="E19" s="94"/>
      <c r="F19" s="94"/>
      <c r="G19" s="94"/>
      <c r="H19" s="94"/>
      <c r="I19" s="94"/>
      <c r="J19" s="94"/>
    </row>
    <row r="20" spans="2:10">
      <c r="B20" s="101" t="s">
        <v>426</v>
      </c>
      <c r="C20" s="93"/>
      <c r="D20" s="178">
        <f>-D13/D16</f>
        <v>-0.99452327607667412</v>
      </c>
      <c r="E20" s="178">
        <f t="shared" ref="E20:J20" si="3">-E13/E16</f>
        <v>-0.91535380507343123</v>
      </c>
      <c r="F20" s="178">
        <f t="shared" si="3"/>
        <v>-0.90960187353629973</v>
      </c>
      <c r="G20" s="178">
        <f t="shared" si="3"/>
        <v>-0.93101545253863138</v>
      </c>
      <c r="H20" s="178">
        <f t="shared" si="3"/>
        <v>-0.86880956830498968</v>
      </c>
      <c r="I20" s="178">
        <f t="shared" si="3"/>
        <v>-0.83003369839932606</v>
      </c>
      <c r="J20" s="178">
        <f t="shared" si="3"/>
        <v>-0.84855233853006684</v>
      </c>
    </row>
    <row r="21" spans="2:10">
      <c r="B21" s="101" t="s">
        <v>413</v>
      </c>
      <c r="C21" s="93"/>
      <c r="D21" s="178">
        <f>-D13/D6</f>
        <v>0.54472320698118348</v>
      </c>
      <c r="E21" s="178">
        <f t="shared" ref="E21:J21" si="4">-E13/E6</f>
        <v>0.46862611073137389</v>
      </c>
      <c r="F21" s="178">
        <f t="shared" si="4"/>
        <v>0.4826043737574553</v>
      </c>
      <c r="G21" s="178">
        <f t="shared" si="4"/>
        <v>0.5320647603027755</v>
      </c>
      <c r="H21" s="178">
        <f t="shared" si="4"/>
        <v>0.47613682916837363</v>
      </c>
      <c r="I21" s="178">
        <f t="shared" si="4"/>
        <v>0.40826686004350982</v>
      </c>
      <c r="J21" s="178">
        <f t="shared" si="4"/>
        <v>0.42212168774813036</v>
      </c>
    </row>
    <row r="22" spans="2:10">
      <c r="B22" s="170" t="s">
        <v>412</v>
      </c>
      <c r="C22" s="170"/>
      <c r="D22" s="29">
        <f>-D16/D6</f>
        <v>0.54772293427870189</v>
      </c>
      <c r="E22" s="29">
        <f t="shared" ref="E22:J22" si="5">-E16/E6</f>
        <v>0.51196172248803828</v>
      </c>
      <c r="F22" s="29">
        <f t="shared" si="5"/>
        <v>0.53056660039761427</v>
      </c>
      <c r="G22" s="29">
        <f t="shared" si="5"/>
        <v>0.57148864592094195</v>
      </c>
      <c r="H22" s="29">
        <f t="shared" si="5"/>
        <v>0.54803359278984021</v>
      </c>
      <c r="I22" s="29">
        <f t="shared" si="5"/>
        <v>0.49186781311509375</v>
      </c>
      <c r="J22" s="29">
        <f t="shared" si="5"/>
        <v>0.49746099159819041</v>
      </c>
    </row>
    <row r="23" spans="2:10">
      <c r="B23" s="170" t="s">
        <v>410</v>
      </c>
      <c r="C23" s="170"/>
      <c r="D23" s="29">
        <f>1-D22</f>
        <v>0.45227706572129811</v>
      </c>
      <c r="E23" s="29">
        <f t="shared" ref="E23:J23" si="6">1-E22</f>
        <v>0.48803827751196172</v>
      </c>
      <c r="F23" s="29">
        <f t="shared" si="6"/>
        <v>0.46943339960238573</v>
      </c>
      <c r="G23" s="29">
        <f t="shared" si="6"/>
        <v>0.42851135407905805</v>
      </c>
      <c r="H23" s="29">
        <f t="shared" si="6"/>
        <v>0.45196640721015979</v>
      </c>
      <c r="I23" s="29">
        <f t="shared" si="6"/>
        <v>0.50813218688490625</v>
      </c>
      <c r="J23" s="29">
        <f t="shared" si="6"/>
        <v>0.50253900840180954</v>
      </c>
    </row>
    <row r="24" spans="2:10">
      <c r="B24" s="170"/>
      <c r="C24" s="170"/>
      <c r="D24" s="174"/>
      <c r="E24" s="174"/>
      <c r="F24" s="174"/>
      <c r="G24" s="174"/>
      <c r="H24" s="174"/>
      <c r="I24" s="174"/>
      <c r="J24" s="174"/>
    </row>
    <row r="25" spans="2:10">
      <c r="B25" s="171" t="s">
        <v>413</v>
      </c>
      <c r="C25" s="170"/>
      <c r="D25" s="29">
        <f>-D13/D6</f>
        <v>0.54472320698118348</v>
      </c>
      <c r="E25" s="29">
        <f t="shared" ref="E25:J25" si="7">-E13/E6</f>
        <v>0.46862611073137389</v>
      </c>
      <c r="F25" s="29">
        <f t="shared" si="7"/>
        <v>0.4826043737574553</v>
      </c>
      <c r="G25" s="29">
        <f t="shared" si="7"/>
        <v>0.5320647603027755</v>
      </c>
      <c r="H25" s="29">
        <f t="shared" si="7"/>
        <v>0.47613682916837363</v>
      </c>
      <c r="I25" s="29">
        <f t="shared" si="7"/>
        <v>0.40826686004350982</v>
      </c>
      <c r="J25" s="29">
        <f t="shared" si="7"/>
        <v>0.42212168774813036</v>
      </c>
    </row>
    <row r="26" spans="2:10">
      <c r="B26" s="171" t="s">
        <v>414</v>
      </c>
      <c r="C26" s="170"/>
      <c r="D26" s="29">
        <f>-D14/D6</f>
        <v>1.977092991546223E-2</v>
      </c>
      <c r="E26" s="29">
        <f t="shared" ref="E26:J26" si="8">-E14/E6</f>
        <v>2.4196855775803144E-2</v>
      </c>
      <c r="F26" s="29">
        <f t="shared" si="8"/>
        <v>4.2122266401590454E-2</v>
      </c>
      <c r="G26" s="29">
        <f t="shared" si="8"/>
        <v>5.161900756938604E-2</v>
      </c>
      <c r="H26" s="29">
        <f t="shared" si="8"/>
        <v>5.5407619827939368E-2</v>
      </c>
      <c r="I26" s="29">
        <f t="shared" si="8"/>
        <v>7.7903242515280219E-2</v>
      </c>
      <c r="J26" s="29">
        <f t="shared" si="8"/>
        <v>8.8634475117717659E-2</v>
      </c>
    </row>
    <row r="27" spans="2:10">
      <c r="B27" s="171" t="s">
        <v>415</v>
      </c>
      <c r="C27" s="170"/>
      <c r="D27" s="29">
        <f>D15/D6</f>
        <v>1.6771202617943824E-2</v>
      </c>
      <c r="E27" s="29">
        <f>-E15/E6</f>
        <v>1.9138755980861243E-2</v>
      </c>
      <c r="F27" s="29">
        <f>-F15/F6</f>
        <v>5.8399602385685884E-3</v>
      </c>
      <c r="G27" s="29">
        <f>G15/G6</f>
        <v>1.2195121951219513E-2</v>
      </c>
      <c r="H27" s="29">
        <f>-H15/H6</f>
        <v>1.6489143793527242E-2</v>
      </c>
      <c r="I27" s="29">
        <f>-I15/I6</f>
        <v>5.69771055630374E-3</v>
      </c>
      <c r="J27" s="29">
        <f>J15/J6</f>
        <v>1.3295171267657649E-2</v>
      </c>
    </row>
    <row r="28" spans="2:10">
      <c r="B28" s="93"/>
      <c r="C28" s="93"/>
      <c r="H28" s="84"/>
      <c r="I28" s="84"/>
    </row>
    <row r="29" spans="2:10">
      <c r="B29" s="90" t="s">
        <v>163</v>
      </c>
      <c r="C29" s="90"/>
      <c r="E29" s="100"/>
      <c r="F29" s="100"/>
      <c r="G29" s="100"/>
      <c r="H29" s="100"/>
      <c r="I29" s="100"/>
      <c r="J29" s="100"/>
    </row>
    <row r="30" spans="2:10">
      <c r="B30" s="101" t="s">
        <v>164</v>
      </c>
      <c r="C30" s="101"/>
      <c r="D30" s="100">
        <v>-466</v>
      </c>
      <c r="E30" s="100">
        <v>-478</v>
      </c>
      <c r="F30" s="100">
        <v>-570</v>
      </c>
      <c r="G30" s="100">
        <v>-586</v>
      </c>
      <c r="H30" s="100">
        <v>-653</v>
      </c>
      <c r="I30" s="100">
        <v>-743</v>
      </c>
      <c r="J30" s="100">
        <v>-831</v>
      </c>
    </row>
    <row r="31" spans="2:10">
      <c r="B31" s="84" t="s">
        <v>165</v>
      </c>
      <c r="D31" s="100">
        <v>-1526</v>
      </c>
      <c r="E31" s="100">
        <v>-1652</v>
      </c>
      <c r="F31" s="100">
        <v>-1606</v>
      </c>
      <c r="G31" s="100">
        <v>-1809</v>
      </c>
      <c r="H31" s="100">
        <v>-1950</v>
      </c>
      <c r="I31" s="100">
        <v>-2136</v>
      </c>
      <c r="J31" s="100">
        <v>-2473</v>
      </c>
    </row>
    <row r="32" spans="2:10" ht="15" thickBot="1">
      <c r="B32" s="91" t="s">
        <v>166</v>
      </c>
      <c r="C32" s="91"/>
      <c r="D32" s="92">
        <f t="shared" ref="D32:I32" si="9">SUM(D30:D31)</f>
        <v>-1992</v>
      </c>
      <c r="E32" s="92">
        <f t="shared" si="9"/>
        <v>-2130</v>
      </c>
      <c r="F32" s="92">
        <f t="shared" si="9"/>
        <v>-2176</v>
      </c>
      <c r="G32" s="92">
        <f t="shared" si="9"/>
        <v>-2395</v>
      </c>
      <c r="H32" s="92">
        <f t="shared" si="9"/>
        <v>-2603</v>
      </c>
      <c r="I32" s="92">
        <f t="shared" si="9"/>
        <v>-2879</v>
      </c>
      <c r="J32" s="92">
        <f>SUM(J30:J31)</f>
        <v>-3304</v>
      </c>
    </row>
    <row r="33" spans="2:12">
      <c r="B33" s="93"/>
      <c r="C33" s="93"/>
      <c r="E33" s="94"/>
      <c r="F33" s="94"/>
      <c r="G33" s="94"/>
      <c r="H33" s="94"/>
      <c r="I33" s="94"/>
      <c r="J33" s="94"/>
    </row>
    <row r="34" spans="2:12" ht="15" thickBot="1">
      <c r="B34" s="91" t="s">
        <v>167</v>
      </c>
      <c r="C34" s="91"/>
      <c r="D34" s="92">
        <f t="shared" ref="D34:J34" si="10">D18+D32</f>
        <v>1325</v>
      </c>
      <c r="E34" s="92">
        <f t="shared" si="10"/>
        <v>1440</v>
      </c>
      <c r="F34" s="92">
        <f t="shared" si="10"/>
        <v>1602</v>
      </c>
      <c r="G34" s="92">
        <f t="shared" si="10"/>
        <v>1681</v>
      </c>
      <c r="H34" s="92">
        <f t="shared" si="10"/>
        <v>1810</v>
      </c>
      <c r="I34" s="92">
        <f t="shared" si="10"/>
        <v>2026</v>
      </c>
      <c r="J34" s="92">
        <f t="shared" si="10"/>
        <v>2139</v>
      </c>
    </row>
    <row r="35" spans="2:12">
      <c r="B35" s="93"/>
      <c r="C35" s="93"/>
      <c r="E35" s="94"/>
      <c r="F35" s="94"/>
      <c r="G35" s="94"/>
      <c r="H35" s="94"/>
      <c r="I35" s="94"/>
      <c r="J35" s="94"/>
      <c r="L35" s="204"/>
    </row>
    <row r="36" spans="2:12">
      <c r="B36" s="101" t="s">
        <v>168</v>
      </c>
      <c r="C36" s="101"/>
      <c r="D36" s="100">
        <v>-131</v>
      </c>
      <c r="E36" s="100">
        <v>-140</v>
      </c>
      <c r="F36" s="100">
        <v>-139</v>
      </c>
      <c r="G36" s="100">
        <v>-139</v>
      </c>
      <c r="H36" s="100">
        <v>-155</v>
      </c>
      <c r="I36" s="100">
        <v>-158</v>
      </c>
      <c r="J36" s="100">
        <v>-178</v>
      </c>
    </row>
    <row r="37" spans="2:12" ht="15" thickBot="1">
      <c r="B37" s="91" t="s">
        <v>169</v>
      </c>
      <c r="C37" s="91"/>
      <c r="D37" s="92">
        <f t="shared" ref="D37:J37" si="11">D34+D36</f>
        <v>1194</v>
      </c>
      <c r="E37" s="92">
        <f t="shared" si="11"/>
        <v>1300</v>
      </c>
      <c r="F37" s="92">
        <f t="shared" si="11"/>
        <v>1463</v>
      </c>
      <c r="G37" s="92">
        <f t="shared" si="11"/>
        <v>1542</v>
      </c>
      <c r="H37" s="92">
        <f t="shared" si="11"/>
        <v>1655</v>
      </c>
      <c r="I37" s="92">
        <f t="shared" si="11"/>
        <v>1868</v>
      </c>
      <c r="J37" s="92">
        <f t="shared" si="11"/>
        <v>1961</v>
      </c>
    </row>
    <row r="38" spans="2:12">
      <c r="B38" s="93"/>
      <c r="C38" s="93"/>
      <c r="H38" s="84"/>
      <c r="I38" s="84"/>
    </row>
    <row r="39" spans="2:12">
      <c r="B39" s="101" t="s">
        <v>170</v>
      </c>
      <c r="C39" s="101"/>
      <c r="D39" s="100">
        <v>-40</v>
      </c>
      <c r="E39" s="100">
        <v>-50</v>
      </c>
      <c r="F39" s="100">
        <v>-34</v>
      </c>
      <c r="G39" s="100">
        <v>-39</v>
      </c>
      <c r="H39" s="100">
        <v>-56</v>
      </c>
      <c r="I39" s="100">
        <v>-73</v>
      </c>
      <c r="J39" s="100">
        <v>-53</v>
      </c>
    </row>
    <row r="40" spans="2:12">
      <c r="B40" s="102" t="s">
        <v>171</v>
      </c>
      <c r="C40" s="102"/>
      <c r="D40" s="99">
        <v>103</v>
      </c>
      <c r="E40" s="100">
        <v>124</v>
      </c>
      <c r="F40" s="100">
        <v>94</v>
      </c>
      <c r="G40" s="100">
        <v>98</v>
      </c>
      <c r="H40" s="100">
        <v>144</v>
      </c>
      <c r="I40" s="100">
        <v>142</v>
      </c>
      <c r="J40" s="100">
        <v>208</v>
      </c>
    </row>
    <row r="41" spans="2:12">
      <c r="B41" s="93"/>
      <c r="C41" s="93"/>
      <c r="E41" s="85"/>
      <c r="F41" s="85"/>
      <c r="H41" s="84"/>
      <c r="I41" s="84"/>
    </row>
    <row r="42" spans="2:12" ht="15" thickBot="1">
      <c r="B42" s="91" t="s">
        <v>172</v>
      </c>
      <c r="C42" s="91"/>
      <c r="D42" s="92">
        <f t="shared" ref="D42:J42" si="12">D37+D39+D40</f>
        <v>1257</v>
      </c>
      <c r="E42" s="92">
        <f t="shared" si="12"/>
        <v>1374</v>
      </c>
      <c r="F42" s="92">
        <f t="shared" si="12"/>
        <v>1523</v>
      </c>
      <c r="G42" s="92">
        <f t="shared" si="12"/>
        <v>1601</v>
      </c>
      <c r="H42" s="92">
        <f t="shared" si="12"/>
        <v>1743</v>
      </c>
      <c r="I42" s="92">
        <f t="shared" si="12"/>
        <v>1937</v>
      </c>
      <c r="J42" s="92">
        <f t="shared" si="12"/>
        <v>2116</v>
      </c>
    </row>
    <row r="43" spans="2:12">
      <c r="B43" s="101"/>
      <c r="C43" s="101"/>
      <c r="E43" s="103"/>
      <c r="F43" s="103"/>
      <c r="G43" s="103"/>
      <c r="H43" s="103"/>
      <c r="I43" s="103"/>
      <c r="J43" s="103"/>
    </row>
    <row r="44" spans="2:12">
      <c r="B44" s="102" t="s">
        <v>47</v>
      </c>
      <c r="C44" s="102"/>
      <c r="D44" s="100">
        <v>-126</v>
      </c>
      <c r="E44" s="100">
        <v>-331</v>
      </c>
      <c r="F44" s="100">
        <v>-324</v>
      </c>
      <c r="G44" s="100">
        <v>-346</v>
      </c>
      <c r="H44" s="100">
        <v>-421</v>
      </c>
      <c r="I44" s="100">
        <v>-435</v>
      </c>
      <c r="J44" s="100">
        <v>-458</v>
      </c>
    </row>
    <row r="45" spans="2:12" ht="15" thickBot="1">
      <c r="B45" s="91" t="s">
        <v>173</v>
      </c>
      <c r="C45" s="91"/>
      <c r="D45" s="92">
        <f t="shared" ref="D45:J45" si="13">SUM(D42:D44)</f>
        <v>1131</v>
      </c>
      <c r="E45" s="92">
        <f t="shared" si="13"/>
        <v>1043</v>
      </c>
      <c r="F45" s="92">
        <f t="shared" si="13"/>
        <v>1199</v>
      </c>
      <c r="G45" s="92">
        <f t="shared" si="13"/>
        <v>1255</v>
      </c>
      <c r="H45" s="92">
        <f t="shared" si="13"/>
        <v>1322</v>
      </c>
      <c r="I45" s="92">
        <f t="shared" si="13"/>
        <v>1502</v>
      </c>
      <c r="J45" s="92">
        <f t="shared" si="13"/>
        <v>1658</v>
      </c>
    </row>
    <row r="46" spans="2:12">
      <c r="B46" s="101"/>
      <c r="C46" s="101"/>
      <c r="D46" s="103"/>
      <c r="E46" s="103"/>
      <c r="F46" s="103"/>
      <c r="G46" s="103"/>
      <c r="I46" s="103"/>
      <c r="L46" s="103"/>
    </row>
    <row r="47" spans="2:12">
      <c r="L47" s="85"/>
    </row>
    <row r="48" spans="2:12">
      <c r="H48" s="84"/>
      <c r="I48" s="84"/>
    </row>
    <row r="49" spans="2:9">
      <c r="B49" s="104"/>
      <c r="C49" s="104"/>
      <c r="H49" s="84"/>
      <c r="I49" s="84"/>
    </row>
    <row r="50" spans="2:9">
      <c r="B50" s="105"/>
      <c r="H50" s="84"/>
      <c r="I50" s="84"/>
    </row>
    <row r="51" spans="2:9">
      <c r="H51" s="84"/>
      <c r="I51" s="84"/>
    </row>
    <row r="52" spans="2:9">
      <c r="H52" s="84"/>
      <c r="I52" s="84"/>
    </row>
    <row r="53" spans="2:9">
      <c r="D53" s="85"/>
      <c r="E53" s="85"/>
      <c r="H53" s="84"/>
      <c r="I53" s="84"/>
    </row>
    <row r="54" spans="2:9">
      <c r="H54" s="84"/>
      <c r="I54" s="84"/>
    </row>
    <row r="55" spans="2:9">
      <c r="H55" s="84"/>
      <c r="I55" s="84"/>
    </row>
    <row r="56" spans="2:9">
      <c r="H56" s="84"/>
      <c r="I56" s="84"/>
    </row>
    <row r="57" spans="2:9">
      <c r="H57" s="84"/>
      <c r="I57" s="84"/>
    </row>
    <row r="58" spans="2:9">
      <c r="H58" s="84"/>
      <c r="I58" s="84"/>
    </row>
    <row r="59" spans="2:9">
      <c r="H59" s="84"/>
      <c r="I59" s="84"/>
    </row>
    <row r="60" spans="2:9">
      <c r="H60" s="84"/>
      <c r="I60" s="84"/>
    </row>
    <row r="61" spans="2:9">
      <c r="H61" s="84"/>
      <c r="I61" s="84"/>
    </row>
    <row r="62" spans="2:9">
      <c r="H62" s="84"/>
      <c r="I62" s="84"/>
    </row>
    <row r="63" spans="2:9">
      <c r="H63" s="84"/>
      <c r="I63" s="84"/>
    </row>
    <row r="64" spans="2:9">
      <c r="H64" s="84"/>
      <c r="I64" s="84"/>
    </row>
    <row r="65" s="84" customFormat="1"/>
    <row r="66" s="84" customFormat="1"/>
    <row r="67" s="84" customFormat="1"/>
    <row r="68" s="84" customFormat="1"/>
    <row r="69" s="84" customFormat="1"/>
    <row r="70" s="84" customFormat="1"/>
    <row r="71" s="84" customFormat="1"/>
    <row r="72" s="84" customFormat="1"/>
    <row r="73" s="84" customFormat="1"/>
    <row r="74" s="84" customFormat="1"/>
    <row r="75" s="84" customFormat="1"/>
    <row r="76" s="84" customFormat="1"/>
    <row r="77" s="84" customFormat="1"/>
    <row r="78" s="84" customFormat="1"/>
    <row r="79" s="84" customFormat="1"/>
    <row r="80" s="84" customFormat="1"/>
    <row r="81" spans="8:9">
      <c r="H81" s="84"/>
      <c r="I81" s="84"/>
    </row>
    <row r="82" spans="8:9">
      <c r="H82" s="84"/>
      <c r="I82" s="84"/>
    </row>
    <row r="83" spans="8:9">
      <c r="H83" s="84"/>
      <c r="I83" s="84"/>
    </row>
    <row r="84" spans="8:9">
      <c r="H84" s="84"/>
      <c r="I84" s="84"/>
    </row>
    <row r="88" spans="8:9">
      <c r="H88" s="106"/>
    </row>
  </sheetData>
  <mergeCells count="1">
    <mergeCell ref="B1:E1"/>
  </mergeCells>
  <pageMargins left="0.7" right="0.7" top="0.75" bottom="0.75" header="0.3" footer="0.3"/>
  <ignoredErrors>
    <ignoredError sqref="G27"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1736A-3260-42E8-8A08-F63B1EFF4898}">
  <sheetPr codeName="Sheet12"/>
  <dimension ref="B1:R87"/>
  <sheetViews>
    <sheetView showGridLines="0" workbookViewId="0">
      <pane ySplit="2" topLeftCell="A3" activePane="bottomLeft" state="frozen"/>
      <selection pane="bottomLeft" activeCell="B5" sqref="B5"/>
    </sheetView>
  </sheetViews>
  <sheetFormatPr defaultRowHeight="14.4"/>
  <cols>
    <col min="1" max="1" width="8.88671875" style="84"/>
    <col min="2" max="2" width="72.109375" style="84" customWidth="1"/>
    <col min="3" max="3" width="0.77734375" style="84" customWidth="1"/>
    <col min="4" max="6" width="12.77734375" style="84" customWidth="1"/>
    <col min="7" max="7" width="12.77734375" style="85" customWidth="1"/>
    <col min="8" max="9" width="12.77734375" style="84" customWidth="1"/>
    <col min="10" max="16384" width="8.88671875" style="84"/>
  </cols>
  <sheetData>
    <row r="1" spans="2:18">
      <c r="B1" s="683" t="s">
        <v>174</v>
      </c>
      <c r="C1" s="682"/>
      <c r="D1" s="682"/>
    </row>
    <row r="2" spans="2:18" ht="15.6">
      <c r="B2" s="86" t="s">
        <v>154</v>
      </c>
      <c r="C2" s="87">
        <v>43525</v>
      </c>
      <c r="D2" s="87">
        <v>43891</v>
      </c>
      <c r="E2" s="87">
        <v>44256</v>
      </c>
      <c r="F2" s="87">
        <v>44621</v>
      </c>
      <c r="G2" s="87">
        <v>45016</v>
      </c>
      <c r="H2" s="87">
        <v>45352</v>
      </c>
      <c r="I2" s="87">
        <v>45717</v>
      </c>
    </row>
    <row r="3" spans="2:18" ht="15.6">
      <c r="B3" s="88"/>
      <c r="C3" s="89"/>
      <c r="D3" s="89"/>
      <c r="E3" s="89"/>
      <c r="F3" s="89"/>
      <c r="G3" s="89"/>
      <c r="H3" s="89"/>
      <c r="I3" s="89"/>
    </row>
    <row r="4" spans="2:18">
      <c r="B4" s="90" t="s">
        <v>175</v>
      </c>
      <c r="E4" s="85"/>
      <c r="F4" s="90"/>
      <c r="G4" s="90"/>
    </row>
    <row r="5" spans="2:18">
      <c r="B5" s="90" t="s">
        <v>176</v>
      </c>
      <c r="E5" s="85"/>
      <c r="G5" s="84"/>
    </row>
    <row r="6" spans="2:18">
      <c r="B6" s="90"/>
      <c r="E6" s="85"/>
      <c r="G6" s="84"/>
    </row>
    <row r="7" spans="2:18">
      <c r="B7" s="90" t="s">
        <v>177</v>
      </c>
      <c r="C7" s="103">
        <f t="shared" ref="C7:I7" si="0">SUM(C8:C13)</f>
        <v>1370</v>
      </c>
      <c r="D7" s="103">
        <f t="shared" si="0"/>
        <v>1483</v>
      </c>
      <c r="E7" s="103">
        <f t="shared" si="0"/>
        <v>1636</v>
      </c>
      <c r="F7" s="103">
        <f t="shared" si="0"/>
        <v>1799</v>
      </c>
      <c r="G7" s="103">
        <f t="shared" si="0"/>
        <v>2313</v>
      </c>
      <c r="H7" s="103">
        <f t="shared" si="0"/>
        <v>2768</v>
      </c>
      <c r="I7" s="103">
        <f t="shared" si="0"/>
        <v>2798</v>
      </c>
      <c r="K7" s="103"/>
    </row>
    <row r="8" spans="2:18">
      <c r="B8" s="107" t="s">
        <v>178</v>
      </c>
      <c r="C8" s="100">
        <v>572</v>
      </c>
      <c r="D8" s="100">
        <v>654</v>
      </c>
      <c r="E8" s="108">
        <v>572</v>
      </c>
      <c r="F8" s="100">
        <v>600</v>
      </c>
      <c r="G8" s="100">
        <v>633</v>
      </c>
      <c r="H8" s="100">
        <v>700</v>
      </c>
      <c r="I8" s="100">
        <v>710</v>
      </c>
      <c r="K8" s="103"/>
    </row>
    <row r="9" spans="2:18">
      <c r="B9" s="107" t="s">
        <v>179</v>
      </c>
      <c r="C9" s="100">
        <v>45</v>
      </c>
      <c r="D9" s="100">
        <v>58</v>
      </c>
      <c r="E9" s="108">
        <v>24</v>
      </c>
      <c r="F9" s="100">
        <v>39</v>
      </c>
      <c r="G9" s="100">
        <v>67</v>
      </c>
      <c r="H9" s="100">
        <v>44</v>
      </c>
      <c r="I9" s="100">
        <v>40</v>
      </c>
    </row>
    <row r="10" spans="2:18">
      <c r="B10" s="107" t="s">
        <v>180</v>
      </c>
      <c r="C10" s="100">
        <v>153</v>
      </c>
      <c r="D10" s="100">
        <v>146</v>
      </c>
      <c r="E10" s="108">
        <v>180</v>
      </c>
      <c r="F10" s="100">
        <v>178</v>
      </c>
      <c r="G10" s="100">
        <v>175</v>
      </c>
      <c r="H10" s="100">
        <v>209</v>
      </c>
      <c r="I10" s="100">
        <v>230</v>
      </c>
    </row>
    <row r="11" spans="2:18">
      <c r="B11" s="107" t="s">
        <v>181</v>
      </c>
      <c r="C11" s="100">
        <v>17</v>
      </c>
      <c r="D11" s="100">
        <v>17</v>
      </c>
      <c r="E11" s="108">
        <v>17</v>
      </c>
      <c r="F11" s="100">
        <v>22</v>
      </c>
      <c r="G11" s="100">
        <v>16</v>
      </c>
      <c r="H11" s="100">
        <v>15</v>
      </c>
      <c r="I11" s="100">
        <v>15</v>
      </c>
    </row>
    <row r="12" spans="2:18">
      <c r="B12" s="107" t="s">
        <v>11</v>
      </c>
      <c r="C12" s="100">
        <v>503</v>
      </c>
      <c r="D12" s="100">
        <v>538</v>
      </c>
      <c r="E12" s="108">
        <v>613</v>
      </c>
      <c r="F12" s="100">
        <v>654</v>
      </c>
      <c r="G12" s="100">
        <v>862</v>
      </c>
      <c r="H12" s="100">
        <v>863</v>
      </c>
      <c r="I12" s="100">
        <v>857</v>
      </c>
    </row>
    <row r="13" spans="2:18">
      <c r="B13" s="107" t="s">
        <v>182</v>
      </c>
      <c r="C13" s="100">
        <v>80</v>
      </c>
      <c r="D13" s="100">
        <v>70</v>
      </c>
      <c r="E13" s="108">
        <v>230</v>
      </c>
      <c r="F13" s="100">
        <v>306</v>
      </c>
      <c r="G13" s="100">
        <v>560</v>
      </c>
      <c r="H13" s="100">
        <v>937</v>
      </c>
      <c r="I13" s="100">
        <v>946</v>
      </c>
      <c r="J13" s="103"/>
      <c r="K13" s="355"/>
      <c r="L13" s="355"/>
      <c r="M13" s="355"/>
      <c r="N13" s="355"/>
      <c r="O13" s="355"/>
      <c r="P13" s="355"/>
      <c r="Q13" s="355"/>
      <c r="R13" s="355"/>
    </row>
    <row r="14" spans="2:18">
      <c r="C14" s="100"/>
      <c r="D14" s="100"/>
      <c r="E14" s="108"/>
      <c r="F14" s="100"/>
      <c r="G14" s="100"/>
      <c r="H14" s="100"/>
      <c r="I14" s="100"/>
    </row>
    <row r="15" spans="2:18">
      <c r="B15" s="90" t="s">
        <v>183</v>
      </c>
      <c r="C15" s="109">
        <f t="shared" ref="C15:I15" si="1">SUM(C16:C18)</f>
        <v>63</v>
      </c>
      <c r="D15" s="109">
        <f t="shared" si="1"/>
        <v>107</v>
      </c>
      <c r="E15" s="109">
        <f t="shared" si="1"/>
        <v>271</v>
      </c>
      <c r="F15" s="109">
        <f t="shared" si="1"/>
        <v>208</v>
      </c>
      <c r="G15" s="109">
        <f t="shared" si="1"/>
        <v>554</v>
      </c>
      <c r="H15" s="109">
        <f t="shared" si="1"/>
        <v>447</v>
      </c>
      <c r="I15" s="109">
        <f t="shared" si="1"/>
        <v>243</v>
      </c>
    </row>
    <row r="16" spans="2:18">
      <c r="B16" s="110" t="s">
        <v>184</v>
      </c>
      <c r="C16" s="100">
        <v>34</v>
      </c>
      <c r="D16" s="100">
        <v>76</v>
      </c>
      <c r="E16" s="108">
        <v>226</v>
      </c>
      <c r="F16" s="100">
        <v>187</v>
      </c>
      <c r="G16" s="100">
        <v>518</v>
      </c>
      <c r="H16" s="100">
        <v>343</v>
      </c>
      <c r="I16" s="100">
        <v>215</v>
      </c>
    </row>
    <row r="17" spans="2:9">
      <c r="B17" s="110" t="s">
        <v>185</v>
      </c>
      <c r="C17" s="100">
        <v>18</v>
      </c>
      <c r="D17" s="100">
        <v>20</v>
      </c>
      <c r="E17" s="108">
        <v>18</v>
      </c>
      <c r="F17" s="100">
        <v>4</v>
      </c>
      <c r="G17" s="100">
        <v>4</v>
      </c>
      <c r="H17" s="100">
        <v>4</v>
      </c>
      <c r="I17" s="100">
        <v>6</v>
      </c>
    </row>
    <row r="18" spans="2:9">
      <c r="B18" s="110" t="s">
        <v>186</v>
      </c>
      <c r="C18" s="100">
        <v>11</v>
      </c>
      <c r="D18" s="100">
        <v>11</v>
      </c>
      <c r="E18" s="108">
        <v>27</v>
      </c>
      <c r="F18" s="100">
        <v>17</v>
      </c>
      <c r="G18" s="100">
        <v>32</v>
      </c>
      <c r="H18" s="100">
        <v>100</v>
      </c>
      <c r="I18" s="100">
        <v>22</v>
      </c>
    </row>
    <row r="19" spans="2:9">
      <c r="B19" s="107"/>
      <c r="C19" s="100"/>
      <c r="D19" s="100"/>
      <c r="E19" s="108"/>
      <c r="F19" s="100"/>
      <c r="G19" s="100"/>
      <c r="H19" s="100"/>
      <c r="I19" s="100"/>
    </row>
    <row r="20" spans="2:9">
      <c r="B20" s="84" t="s">
        <v>187</v>
      </c>
      <c r="C20" s="100">
        <v>202</v>
      </c>
      <c r="D20" s="100">
        <v>159</v>
      </c>
      <c r="E20" s="108">
        <v>186</v>
      </c>
      <c r="F20" s="100">
        <v>187</v>
      </c>
      <c r="G20" s="100">
        <v>146</v>
      </c>
      <c r="H20" s="100">
        <v>68</v>
      </c>
      <c r="I20" s="100">
        <v>57</v>
      </c>
    </row>
    <row r="21" spans="2:9">
      <c r="B21" s="84" t="s">
        <v>188</v>
      </c>
      <c r="C21" s="100">
        <v>39</v>
      </c>
      <c r="D21" s="100">
        <v>45</v>
      </c>
      <c r="E21" s="108">
        <v>55</v>
      </c>
      <c r="F21" s="100">
        <v>57</v>
      </c>
      <c r="G21" s="100">
        <v>67</v>
      </c>
      <c r="H21" s="100">
        <v>95</v>
      </c>
      <c r="I21" s="100">
        <v>108</v>
      </c>
    </row>
    <row r="22" spans="2:9">
      <c r="B22" s="84" t="s">
        <v>189</v>
      </c>
      <c r="C22" s="100">
        <v>35</v>
      </c>
      <c r="D22" s="100">
        <v>26</v>
      </c>
      <c r="E22" s="108">
        <v>26</v>
      </c>
      <c r="F22" s="100">
        <v>30</v>
      </c>
      <c r="G22" s="100">
        <v>46</v>
      </c>
      <c r="H22" s="100">
        <v>40</v>
      </c>
      <c r="I22" s="100">
        <v>49</v>
      </c>
    </row>
    <row r="23" spans="2:9">
      <c r="B23" s="111" t="s">
        <v>190</v>
      </c>
      <c r="C23" s="112">
        <f t="shared" ref="C23:I23" si="2">SUM(C20:C22,C15,C7)</f>
        <v>1709</v>
      </c>
      <c r="D23" s="112">
        <f t="shared" si="2"/>
        <v>1820</v>
      </c>
      <c r="E23" s="112">
        <f t="shared" si="2"/>
        <v>2174</v>
      </c>
      <c r="F23" s="112">
        <f t="shared" si="2"/>
        <v>2281</v>
      </c>
      <c r="G23" s="112">
        <f t="shared" si="2"/>
        <v>3126</v>
      </c>
      <c r="H23" s="112">
        <f t="shared" si="2"/>
        <v>3418</v>
      </c>
      <c r="I23" s="112">
        <f t="shared" si="2"/>
        <v>3255</v>
      </c>
    </row>
    <row r="24" spans="2:9">
      <c r="B24" s="90"/>
      <c r="C24" s="113"/>
      <c r="D24" s="113"/>
      <c r="E24" s="113"/>
      <c r="F24" s="113"/>
      <c r="G24" s="113"/>
      <c r="H24" s="113"/>
      <c r="I24" s="113"/>
    </row>
    <row r="25" spans="2:9">
      <c r="B25" s="90" t="s">
        <v>191</v>
      </c>
      <c r="E25" s="85"/>
      <c r="G25" s="84"/>
    </row>
    <row r="26" spans="2:9">
      <c r="B26" s="107" t="s">
        <v>192</v>
      </c>
      <c r="C26" s="100">
        <v>1411</v>
      </c>
      <c r="D26" s="100">
        <v>1380</v>
      </c>
      <c r="E26" s="100">
        <v>1126</v>
      </c>
      <c r="F26" s="100">
        <v>1412</v>
      </c>
      <c r="G26" s="100">
        <v>1225</v>
      </c>
      <c r="H26" s="100">
        <v>1336</v>
      </c>
      <c r="I26" s="100">
        <v>1235</v>
      </c>
    </row>
    <row r="27" spans="2:9">
      <c r="B27" s="110" t="s">
        <v>193</v>
      </c>
      <c r="C27" s="100">
        <v>517</v>
      </c>
      <c r="D27" s="100">
        <v>539</v>
      </c>
      <c r="E27" s="100">
        <v>388</v>
      </c>
      <c r="F27" s="100">
        <v>652</v>
      </c>
      <c r="G27" s="100">
        <v>1015</v>
      </c>
      <c r="H27" s="100">
        <v>1069</v>
      </c>
      <c r="I27" s="100">
        <v>1271</v>
      </c>
    </row>
    <row r="28" spans="2:9">
      <c r="B28" s="110"/>
      <c r="C28" s="100"/>
      <c r="D28" s="100"/>
      <c r="E28" s="100"/>
      <c r="F28" s="100"/>
      <c r="G28" s="100"/>
      <c r="H28" s="100"/>
      <c r="I28" s="100"/>
    </row>
    <row r="29" spans="2:9">
      <c r="B29" s="90" t="s">
        <v>194</v>
      </c>
      <c r="C29" s="94">
        <f t="shared" ref="C29:I29" si="3">SUM(C30:C35)</f>
        <v>720</v>
      </c>
      <c r="D29" s="94">
        <f t="shared" si="3"/>
        <v>984</v>
      </c>
      <c r="E29" s="94">
        <f t="shared" si="3"/>
        <v>878</v>
      </c>
      <c r="F29" s="94">
        <f t="shared" si="3"/>
        <v>862</v>
      </c>
      <c r="G29" s="94">
        <f t="shared" si="3"/>
        <v>824</v>
      </c>
      <c r="H29" s="94">
        <f t="shared" si="3"/>
        <v>655</v>
      </c>
      <c r="I29" s="94">
        <f t="shared" si="3"/>
        <v>1800</v>
      </c>
    </row>
    <row r="30" spans="2:9">
      <c r="B30" s="110" t="s">
        <v>195</v>
      </c>
      <c r="C30" s="100">
        <v>391</v>
      </c>
      <c r="D30" s="100">
        <v>628</v>
      </c>
      <c r="E30" s="100">
        <v>628</v>
      </c>
      <c r="F30" s="100">
        <v>641</v>
      </c>
      <c r="G30" s="100">
        <v>578</v>
      </c>
      <c r="H30" s="100">
        <v>259</v>
      </c>
      <c r="I30" s="100">
        <v>1375</v>
      </c>
    </row>
    <row r="31" spans="2:9">
      <c r="B31" s="107" t="s">
        <v>196</v>
      </c>
      <c r="C31" s="100">
        <v>308</v>
      </c>
      <c r="D31" s="100">
        <v>340</v>
      </c>
      <c r="E31" s="100">
        <v>224</v>
      </c>
      <c r="F31" s="100">
        <v>213</v>
      </c>
      <c r="G31" s="100">
        <v>229</v>
      </c>
      <c r="H31" s="100">
        <v>378</v>
      </c>
      <c r="I31" s="100">
        <v>413</v>
      </c>
    </row>
    <row r="32" spans="2:9">
      <c r="B32" s="107" t="s">
        <v>197</v>
      </c>
      <c r="C32" s="100">
        <v>12</v>
      </c>
      <c r="D32" s="100">
        <v>8</v>
      </c>
      <c r="E32" s="100">
        <v>14</v>
      </c>
      <c r="F32" s="100">
        <v>0</v>
      </c>
      <c r="G32" s="100">
        <v>7</v>
      </c>
      <c r="H32" s="100">
        <v>5</v>
      </c>
      <c r="I32" s="100"/>
    </row>
    <row r="33" spans="2:9">
      <c r="B33" s="107" t="s">
        <v>198</v>
      </c>
      <c r="C33" s="100">
        <v>0</v>
      </c>
      <c r="D33" s="100">
        <v>0</v>
      </c>
      <c r="E33" s="100">
        <v>1</v>
      </c>
      <c r="F33" s="100">
        <v>1</v>
      </c>
      <c r="G33" s="100">
        <v>2</v>
      </c>
      <c r="H33" s="100">
        <v>2</v>
      </c>
      <c r="I33" s="100">
        <v>2</v>
      </c>
    </row>
    <row r="34" spans="2:9">
      <c r="B34" s="110" t="s">
        <v>199</v>
      </c>
      <c r="C34" s="100">
        <v>5</v>
      </c>
      <c r="D34" s="100">
        <v>5</v>
      </c>
      <c r="E34" s="100">
        <v>6</v>
      </c>
      <c r="F34" s="100">
        <v>5</v>
      </c>
      <c r="G34" s="100">
        <v>4</v>
      </c>
      <c r="H34" s="100">
        <v>6</v>
      </c>
      <c r="I34" s="100">
        <v>7</v>
      </c>
    </row>
    <row r="35" spans="2:9">
      <c r="B35" s="110" t="s">
        <v>200</v>
      </c>
      <c r="C35" s="100">
        <v>4</v>
      </c>
      <c r="D35" s="100">
        <v>3</v>
      </c>
      <c r="E35" s="100">
        <v>5</v>
      </c>
      <c r="F35" s="100">
        <v>2</v>
      </c>
      <c r="G35" s="100">
        <v>4</v>
      </c>
      <c r="H35" s="100">
        <v>5</v>
      </c>
      <c r="I35" s="100">
        <v>3</v>
      </c>
    </row>
    <row r="36" spans="2:9">
      <c r="C36" s="100"/>
      <c r="D36" s="100"/>
      <c r="E36" s="100"/>
      <c r="F36" s="100"/>
      <c r="G36" s="100"/>
      <c r="H36" s="100"/>
      <c r="I36" s="100"/>
    </row>
    <row r="37" spans="2:9">
      <c r="B37" s="101" t="s">
        <v>201</v>
      </c>
      <c r="C37" s="100">
        <v>48</v>
      </c>
      <c r="D37" s="100">
        <v>93</v>
      </c>
      <c r="E37" s="100">
        <v>109</v>
      </c>
      <c r="F37" s="100">
        <v>276</v>
      </c>
      <c r="G37" s="100">
        <v>207</v>
      </c>
      <c r="H37" s="100">
        <v>228</v>
      </c>
      <c r="I37" s="100">
        <v>321</v>
      </c>
    </row>
    <row r="38" spans="2:9">
      <c r="B38" s="101" t="s">
        <v>202</v>
      </c>
      <c r="C38" s="100">
        <v>504</v>
      </c>
      <c r="D38" s="100">
        <v>186</v>
      </c>
      <c r="E38" s="100">
        <v>835</v>
      </c>
      <c r="F38" s="100">
        <v>303</v>
      </c>
      <c r="G38" s="100">
        <v>549</v>
      </c>
      <c r="H38" s="100">
        <v>715</v>
      </c>
      <c r="I38" s="100">
        <v>456</v>
      </c>
    </row>
    <row r="39" spans="2:9">
      <c r="E39" s="85"/>
      <c r="G39" s="84"/>
    </row>
    <row r="40" spans="2:9">
      <c r="B40" s="111" t="s">
        <v>203</v>
      </c>
      <c r="C40" s="112">
        <f t="shared" ref="C40:H40" si="4">SUM(C26:C29,C37,C38)</f>
        <v>3200</v>
      </c>
      <c r="D40" s="112">
        <f t="shared" si="4"/>
        <v>3182</v>
      </c>
      <c r="E40" s="112">
        <f t="shared" si="4"/>
        <v>3336</v>
      </c>
      <c r="F40" s="112">
        <f t="shared" si="4"/>
        <v>3505</v>
      </c>
      <c r="G40" s="112">
        <f t="shared" si="4"/>
        <v>3820</v>
      </c>
      <c r="H40" s="112">
        <f t="shared" si="4"/>
        <v>4003</v>
      </c>
      <c r="I40" s="112">
        <f>SUM(I26:I29,I37,I38)</f>
        <v>5083</v>
      </c>
    </row>
    <row r="41" spans="2:9">
      <c r="E41" s="85"/>
      <c r="G41" s="84"/>
    </row>
    <row r="42" spans="2:9" ht="15" thickBot="1">
      <c r="B42" s="114" t="s">
        <v>12</v>
      </c>
      <c r="C42" s="115">
        <f t="shared" ref="C42:I42" si="5">SUM(C40+C23)</f>
        <v>4909</v>
      </c>
      <c r="D42" s="115">
        <f t="shared" si="5"/>
        <v>5002</v>
      </c>
      <c r="E42" s="115">
        <f t="shared" si="5"/>
        <v>5510</v>
      </c>
      <c r="F42" s="115">
        <f t="shared" si="5"/>
        <v>5786</v>
      </c>
      <c r="G42" s="115">
        <f t="shared" si="5"/>
        <v>6946</v>
      </c>
      <c r="H42" s="115">
        <f t="shared" si="5"/>
        <v>7421</v>
      </c>
      <c r="I42" s="115">
        <f t="shared" si="5"/>
        <v>8338</v>
      </c>
    </row>
    <row r="43" spans="2:9">
      <c r="B43" s="90"/>
      <c r="C43" s="113"/>
      <c r="D43" s="113"/>
      <c r="E43" s="113"/>
      <c r="F43" s="113"/>
      <c r="G43" s="113"/>
      <c r="H43" s="113"/>
      <c r="I43" s="113"/>
    </row>
    <row r="44" spans="2:9">
      <c r="B44" s="90" t="s">
        <v>204</v>
      </c>
      <c r="E44" s="85"/>
      <c r="G44" s="84"/>
    </row>
    <row r="45" spans="2:9">
      <c r="B45" s="84" t="s">
        <v>205</v>
      </c>
      <c r="E45" s="85"/>
      <c r="G45" s="84"/>
    </row>
    <row r="46" spans="2:9">
      <c r="B46" s="84" t="s">
        <v>206</v>
      </c>
      <c r="C46" s="100">
        <v>129</v>
      </c>
      <c r="D46" s="100">
        <v>129</v>
      </c>
      <c r="E46" s="100">
        <v>129</v>
      </c>
      <c r="F46" s="100">
        <v>129</v>
      </c>
      <c r="G46" s="100">
        <v>129</v>
      </c>
      <c r="H46" s="100">
        <v>129</v>
      </c>
      <c r="I46" s="100">
        <v>129</v>
      </c>
    </row>
    <row r="47" spans="2:9">
      <c r="B47" s="84" t="s">
        <v>207</v>
      </c>
      <c r="C47" s="100"/>
      <c r="D47" s="100"/>
      <c r="E47" s="100"/>
      <c r="F47" s="100"/>
      <c r="G47" s="100"/>
      <c r="H47" s="100"/>
      <c r="I47" s="100"/>
    </row>
    <row r="48" spans="2:9">
      <c r="B48" s="84" t="s">
        <v>208</v>
      </c>
      <c r="C48" s="100">
        <v>2896</v>
      </c>
      <c r="D48" s="100">
        <v>2900</v>
      </c>
      <c r="E48" s="100">
        <v>3111</v>
      </c>
      <c r="F48" s="100">
        <v>3189</v>
      </c>
      <c r="G48" s="100">
        <v>3674</v>
      </c>
      <c r="H48" s="100">
        <v>3782</v>
      </c>
      <c r="I48" s="100">
        <v>3997</v>
      </c>
    </row>
    <row r="49" spans="2:9">
      <c r="B49" s="84" t="s">
        <v>209</v>
      </c>
      <c r="C49" s="100">
        <v>-50</v>
      </c>
      <c r="D49" s="100">
        <v>-6</v>
      </c>
      <c r="E49" s="100">
        <v>0</v>
      </c>
      <c r="F49" s="100">
        <v>30</v>
      </c>
      <c r="G49" s="100">
        <v>-4</v>
      </c>
      <c r="H49" s="100">
        <v>-79</v>
      </c>
      <c r="I49" s="100">
        <v>-152</v>
      </c>
    </row>
    <row r="50" spans="2:9">
      <c r="B50" s="84" t="s">
        <v>210</v>
      </c>
      <c r="C50" s="100">
        <v>0</v>
      </c>
      <c r="D50" s="100">
        <v>0</v>
      </c>
      <c r="E50" s="100">
        <v>0</v>
      </c>
      <c r="F50" s="100"/>
      <c r="G50" s="100">
        <v>0</v>
      </c>
      <c r="H50" s="100">
        <v>0</v>
      </c>
      <c r="I50" s="100">
        <v>1</v>
      </c>
    </row>
    <row r="51" spans="2:9">
      <c r="B51" s="116" t="s">
        <v>211</v>
      </c>
      <c r="C51" s="117">
        <f t="shared" ref="C51:I51" si="6">SUM(C46:C50)</f>
        <v>2975</v>
      </c>
      <c r="D51" s="117">
        <f t="shared" si="6"/>
        <v>3023</v>
      </c>
      <c r="E51" s="117">
        <f t="shared" si="6"/>
        <v>3240</v>
      </c>
      <c r="F51" s="117">
        <f t="shared" si="6"/>
        <v>3348</v>
      </c>
      <c r="G51" s="117">
        <f t="shared" si="6"/>
        <v>3799</v>
      </c>
      <c r="H51" s="117">
        <f t="shared" si="6"/>
        <v>3832</v>
      </c>
      <c r="I51" s="117">
        <f t="shared" si="6"/>
        <v>3975</v>
      </c>
    </row>
    <row r="52" spans="2:9">
      <c r="B52" s="118"/>
      <c r="C52" s="119"/>
      <c r="D52" s="119"/>
      <c r="E52" s="119"/>
      <c r="F52" s="119"/>
      <c r="G52" s="119"/>
      <c r="H52" s="119"/>
      <c r="I52" s="119"/>
    </row>
    <row r="53" spans="2:9">
      <c r="B53" s="84" t="s">
        <v>212</v>
      </c>
      <c r="C53" s="100">
        <v>12</v>
      </c>
      <c r="D53" s="100">
        <v>13</v>
      </c>
      <c r="E53" s="100">
        <v>18</v>
      </c>
      <c r="F53" s="100">
        <v>57</v>
      </c>
      <c r="G53" s="100">
        <v>157</v>
      </c>
      <c r="H53" s="100">
        <v>337</v>
      </c>
      <c r="I53" s="100">
        <v>291</v>
      </c>
    </row>
    <row r="54" spans="2:9">
      <c r="B54" s="111" t="s">
        <v>213</v>
      </c>
      <c r="C54" s="112">
        <f t="shared" ref="C54:I54" si="7">SUM(C51,C53)</f>
        <v>2987</v>
      </c>
      <c r="D54" s="112">
        <f t="shared" si="7"/>
        <v>3036</v>
      </c>
      <c r="E54" s="112">
        <f t="shared" si="7"/>
        <v>3258</v>
      </c>
      <c r="F54" s="112">
        <f t="shared" si="7"/>
        <v>3405</v>
      </c>
      <c r="G54" s="112">
        <f t="shared" si="7"/>
        <v>3956</v>
      </c>
      <c r="H54" s="112">
        <f t="shared" si="7"/>
        <v>4169</v>
      </c>
      <c r="I54" s="112">
        <f t="shared" si="7"/>
        <v>4266</v>
      </c>
    </row>
    <row r="55" spans="2:9">
      <c r="B55" s="90"/>
      <c r="C55" s="113"/>
      <c r="D55" s="113"/>
      <c r="E55" s="113"/>
      <c r="F55" s="113"/>
      <c r="G55" s="113"/>
      <c r="H55" s="113"/>
      <c r="I55" s="113"/>
    </row>
    <row r="56" spans="2:9">
      <c r="B56" s="90" t="s">
        <v>214</v>
      </c>
      <c r="C56" s="90"/>
      <c r="D56" s="90"/>
      <c r="E56" s="120"/>
      <c r="F56" s="90"/>
      <c r="G56" s="90"/>
      <c r="H56" s="90"/>
      <c r="I56" s="90"/>
    </row>
    <row r="57" spans="2:9">
      <c r="B57" s="90"/>
      <c r="C57" s="90"/>
      <c r="D57" s="90"/>
      <c r="E57" s="120"/>
      <c r="F57" s="90"/>
      <c r="G57" s="90"/>
      <c r="H57" s="90"/>
      <c r="I57" s="90"/>
    </row>
    <row r="58" spans="2:9">
      <c r="B58" s="90" t="s">
        <v>215</v>
      </c>
      <c r="E58" s="85"/>
      <c r="G58" s="84"/>
    </row>
    <row r="59" spans="2:9">
      <c r="B59" s="84" t="s">
        <v>216</v>
      </c>
      <c r="E59" s="85"/>
      <c r="G59" s="84"/>
    </row>
    <row r="60" spans="2:9">
      <c r="B60" s="121" t="s">
        <v>217</v>
      </c>
      <c r="C60" s="100">
        <v>14</v>
      </c>
      <c r="D60" s="100">
        <v>10</v>
      </c>
      <c r="E60" s="100">
        <v>8</v>
      </c>
      <c r="F60" s="100">
        <v>0</v>
      </c>
      <c r="G60" s="100">
        <v>2</v>
      </c>
      <c r="H60" s="100">
        <v>0</v>
      </c>
      <c r="I60" s="100">
        <v>0</v>
      </c>
    </row>
    <row r="61" spans="2:9">
      <c r="B61" s="84" t="s">
        <v>218</v>
      </c>
      <c r="C61" s="100">
        <v>0</v>
      </c>
      <c r="D61" s="100">
        <v>0</v>
      </c>
      <c r="E61" s="100">
        <v>0</v>
      </c>
      <c r="F61" s="100">
        <v>91</v>
      </c>
      <c r="G61" s="100">
        <v>91</v>
      </c>
      <c r="H61" s="100">
        <v>104</v>
      </c>
      <c r="I61" s="100">
        <v>124</v>
      </c>
    </row>
    <row r="62" spans="2:9">
      <c r="B62" s="84" t="s">
        <v>219</v>
      </c>
      <c r="C62" s="100">
        <v>151</v>
      </c>
      <c r="D62" s="100">
        <v>144</v>
      </c>
      <c r="E62" s="100">
        <v>122</v>
      </c>
      <c r="F62" s="100">
        <v>1</v>
      </c>
      <c r="G62" s="100">
        <v>266</v>
      </c>
      <c r="H62" s="100">
        <v>405</v>
      </c>
      <c r="I62" s="100">
        <v>1211</v>
      </c>
    </row>
    <row r="63" spans="2:9">
      <c r="B63" s="84" t="s">
        <v>220</v>
      </c>
      <c r="C63" s="100">
        <v>0</v>
      </c>
      <c r="D63" s="100">
        <v>0</v>
      </c>
      <c r="E63" s="100">
        <v>1</v>
      </c>
      <c r="F63" s="100"/>
      <c r="G63" s="100">
        <v>4</v>
      </c>
      <c r="H63" s="100">
        <v>1</v>
      </c>
      <c r="I63" s="100">
        <v>1</v>
      </c>
    </row>
    <row r="64" spans="2:9">
      <c r="B64" s="84" t="s">
        <v>221</v>
      </c>
      <c r="C64" s="100">
        <v>20</v>
      </c>
      <c r="D64" s="100">
        <v>21</v>
      </c>
      <c r="E64" s="100">
        <v>24</v>
      </c>
      <c r="F64" s="100">
        <v>27</v>
      </c>
      <c r="G64" s="100">
        <v>20</v>
      </c>
      <c r="H64" s="100">
        <v>19</v>
      </c>
      <c r="I64" s="100">
        <v>27</v>
      </c>
    </row>
    <row r="65" spans="2:13">
      <c r="B65" s="84" t="s">
        <v>222</v>
      </c>
      <c r="C65" s="100">
        <v>13</v>
      </c>
      <c r="D65" s="100">
        <v>6</v>
      </c>
      <c r="E65" s="100">
        <v>84</v>
      </c>
      <c r="F65" s="100">
        <v>109</v>
      </c>
      <c r="G65" s="100">
        <v>178</v>
      </c>
      <c r="H65" s="100">
        <v>279</v>
      </c>
      <c r="I65" s="100">
        <v>248</v>
      </c>
    </row>
    <row r="66" spans="2:13">
      <c r="B66" s="111" t="s">
        <v>223</v>
      </c>
      <c r="C66" s="112">
        <f t="shared" ref="C66" si="8">SUM(C60:C65)</f>
        <v>198</v>
      </c>
      <c r="D66" s="112">
        <f t="shared" ref="D66:I66" si="9">SUM(D60:D65)</f>
        <v>181</v>
      </c>
      <c r="E66" s="112">
        <f t="shared" si="9"/>
        <v>239</v>
      </c>
      <c r="F66" s="112">
        <f t="shared" si="9"/>
        <v>228</v>
      </c>
      <c r="G66" s="112">
        <f t="shared" si="9"/>
        <v>561</v>
      </c>
      <c r="H66" s="112">
        <f t="shared" si="9"/>
        <v>808</v>
      </c>
      <c r="I66" s="112">
        <f t="shared" si="9"/>
        <v>1611</v>
      </c>
      <c r="K66" s="273" t="s">
        <v>597</v>
      </c>
    </row>
    <row r="67" spans="2:13">
      <c r="B67" s="90"/>
      <c r="C67" s="113"/>
      <c r="D67" s="113"/>
      <c r="E67" s="113"/>
      <c r="F67" s="113"/>
      <c r="G67" s="113"/>
      <c r="H67" s="113"/>
      <c r="I67" s="113"/>
    </row>
    <row r="68" spans="2:13">
      <c r="B68" s="90" t="s">
        <v>224</v>
      </c>
      <c r="E68" s="85"/>
      <c r="G68" s="84"/>
    </row>
    <row r="69" spans="2:13">
      <c r="B69" s="110" t="s">
        <v>225</v>
      </c>
      <c r="C69" s="100">
        <v>944</v>
      </c>
      <c r="D69" s="100">
        <v>978</v>
      </c>
      <c r="E69" s="100">
        <v>1134</v>
      </c>
      <c r="F69" s="100">
        <v>1344</v>
      </c>
      <c r="G69" s="100">
        <v>1452</v>
      </c>
      <c r="H69" s="100">
        <v>1581</v>
      </c>
      <c r="I69" s="100">
        <v>1363</v>
      </c>
    </row>
    <row r="70" spans="2:13">
      <c r="B70" s="90" t="s">
        <v>14</v>
      </c>
      <c r="C70" s="94">
        <f>SUM(C71:C77)</f>
        <v>780</v>
      </c>
      <c r="D70" s="94">
        <f t="shared" ref="D70:I70" si="10">SUM(D71:D77)</f>
        <v>807</v>
      </c>
      <c r="E70" s="94">
        <f t="shared" si="10"/>
        <v>879</v>
      </c>
      <c r="F70" s="94">
        <f t="shared" si="10"/>
        <v>809</v>
      </c>
      <c r="G70" s="94">
        <f t="shared" si="10"/>
        <v>977</v>
      </c>
      <c r="H70" s="94">
        <f t="shared" si="10"/>
        <v>863</v>
      </c>
      <c r="I70" s="94">
        <f t="shared" si="10"/>
        <v>1098</v>
      </c>
    </row>
    <row r="71" spans="2:13">
      <c r="B71" s="122" t="s">
        <v>226</v>
      </c>
      <c r="C71" s="100">
        <v>335</v>
      </c>
      <c r="D71" s="100">
        <v>325</v>
      </c>
      <c r="E71" s="100">
        <v>340</v>
      </c>
      <c r="F71" s="100">
        <v>345</v>
      </c>
      <c r="G71" s="100">
        <v>473</v>
      </c>
      <c r="H71" s="100">
        <v>383</v>
      </c>
      <c r="I71" s="100">
        <v>379</v>
      </c>
      <c r="J71" s="271"/>
      <c r="K71" s="684" t="s">
        <v>596</v>
      </c>
      <c r="L71" s="685"/>
      <c r="M71" s="685"/>
    </row>
    <row r="72" spans="2:13">
      <c r="B72" s="122" t="s">
        <v>227</v>
      </c>
      <c r="C72" s="100">
        <v>0</v>
      </c>
      <c r="D72" s="100">
        <v>0</v>
      </c>
      <c r="E72" s="100"/>
      <c r="F72" s="100">
        <v>43</v>
      </c>
      <c r="G72" s="100">
        <v>42</v>
      </c>
      <c r="H72" s="100">
        <v>41</v>
      </c>
      <c r="I72" s="100">
        <v>51</v>
      </c>
      <c r="K72" s="685"/>
      <c r="L72" s="685"/>
      <c r="M72" s="685"/>
    </row>
    <row r="73" spans="2:13">
      <c r="B73" s="122" t="s">
        <v>228</v>
      </c>
      <c r="C73" s="100">
        <v>63</v>
      </c>
      <c r="D73" s="100">
        <v>79</v>
      </c>
      <c r="E73" s="100">
        <v>82</v>
      </c>
      <c r="F73" s="100">
        <v>45</v>
      </c>
      <c r="G73" s="100">
        <v>40</v>
      </c>
      <c r="H73" s="100">
        <v>59</v>
      </c>
      <c r="I73" s="100">
        <v>231</v>
      </c>
      <c r="K73" s="685"/>
      <c r="L73" s="685"/>
      <c r="M73" s="685"/>
    </row>
    <row r="74" spans="2:13">
      <c r="B74" s="123" t="s">
        <v>229</v>
      </c>
      <c r="C74" s="100">
        <v>196</v>
      </c>
      <c r="D74" s="100">
        <v>217</v>
      </c>
      <c r="E74" s="100">
        <v>287</v>
      </c>
      <c r="F74" s="100">
        <v>224</v>
      </c>
      <c r="G74" s="100">
        <v>217</v>
      </c>
      <c r="H74" s="100">
        <v>211</v>
      </c>
      <c r="I74" s="100">
        <v>232</v>
      </c>
      <c r="J74" s="272"/>
      <c r="K74" s="685"/>
      <c r="L74" s="685"/>
      <c r="M74" s="685"/>
    </row>
    <row r="75" spans="2:13">
      <c r="B75" s="123" t="s">
        <v>220</v>
      </c>
      <c r="C75" s="100">
        <v>57</v>
      </c>
      <c r="D75" s="100">
        <v>58</v>
      </c>
      <c r="E75" s="100">
        <v>20</v>
      </c>
      <c r="F75" s="100">
        <v>21</v>
      </c>
      <c r="G75" s="100">
        <v>44</v>
      </c>
      <c r="H75" s="100">
        <v>7</v>
      </c>
      <c r="I75" s="100">
        <v>21</v>
      </c>
      <c r="K75" s="685"/>
      <c r="L75" s="685"/>
      <c r="M75" s="685"/>
    </row>
    <row r="76" spans="2:13">
      <c r="B76" s="123" t="s">
        <v>221</v>
      </c>
      <c r="C76" s="100">
        <v>68</v>
      </c>
      <c r="D76" s="100">
        <v>54</v>
      </c>
      <c r="E76" s="100">
        <v>78</v>
      </c>
      <c r="F76" s="100">
        <v>64</v>
      </c>
      <c r="G76" s="100">
        <v>74</v>
      </c>
      <c r="H76" s="100">
        <v>79</v>
      </c>
      <c r="I76" s="100">
        <v>92</v>
      </c>
      <c r="K76" s="685"/>
      <c r="L76" s="685"/>
      <c r="M76" s="685"/>
    </row>
    <row r="77" spans="2:13">
      <c r="B77" s="123" t="s">
        <v>230</v>
      </c>
      <c r="C77" s="100">
        <v>61</v>
      </c>
      <c r="D77" s="100">
        <v>74</v>
      </c>
      <c r="E77" s="100">
        <v>72</v>
      </c>
      <c r="F77" s="100">
        <v>67</v>
      </c>
      <c r="G77" s="100">
        <v>87</v>
      </c>
      <c r="H77" s="100">
        <v>83</v>
      </c>
      <c r="I77" s="100">
        <v>92</v>
      </c>
      <c r="K77" s="685"/>
      <c r="L77" s="685"/>
      <c r="M77" s="685"/>
    </row>
    <row r="78" spans="2:13">
      <c r="B78" s="111" t="s">
        <v>231</v>
      </c>
      <c r="C78" s="112">
        <f>SUM(C69:C70)</f>
        <v>1724</v>
      </c>
      <c r="D78" s="112">
        <f t="shared" ref="D78:I78" si="11">SUM(D69:D70)</f>
        <v>1785</v>
      </c>
      <c r="E78" s="112">
        <f t="shared" si="11"/>
        <v>2013</v>
      </c>
      <c r="F78" s="112">
        <f t="shared" si="11"/>
        <v>2153</v>
      </c>
      <c r="G78" s="112">
        <f t="shared" si="11"/>
        <v>2429</v>
      </c>
      <c r="H78" s="112">
        <f t="shared" si="11"/>
        <v>2444</v>
      </c>
      <c r="I78" s="112">
        <f t="shared" si="11"/>
        <v>2461</v>
      </c>
    </row>
    <row r="79" spans="2:13">
      <c r="E79" s="85"/>
      <c r="G79" s="84"/>
    </row>
    <row r="80" spans="2:13">
      <c r="B80" s="90" t="s">
        <v>232</v>
      </c>
      <c r="C80" s="113">
        <f t="shared" ref="C80:I80" si="12">C78+C66</f>
        <v>1922</v>
      </c>
      <c r="D80" s="113">
        <f t="shared" si="12"/>
        <v>1966</v>
      </c>
      <c r="E80" s="113">
        <f t="shared" si="12"/>
        <v>2252</v>
      </c>
      <c r="F80" s="113">
        <f t="shared" si="12"/>
        <v>2381</v>
      </c>
      <c r="G80" s="113">
        <f t="shared" si="12"/>
        <v>2990</v>
      </c>
      <c r="H80" s="113">
        <f t="shared" si="12"/>
        <v>3252</v>
      </c>
      <c r="I80" s="113">
        <f t="shared" si="12"/>
        <v>4072</v>
      </c>
    </row>
    <row r="81" spans="2:9" ht="15" thickBot="1">
      <c r="B81" s="114" t="s">
        <v>233</v>
      </c>
      <c r="C81" s="115">
        <f>C80+C54</f>
        <v>4909</v>
      </c>
      <c r="D81" s="115">
        <f>D80+D54</f>
        <v>5002</v>
      </c>
      <c r="E81" s="115">
        <f>SUM(E80,E54)</f>
        <v>5510</v>
      </c>
      <c r="F81" s="115">
        <f>SUM(F80,F54)</f>
        <v>5786</v>
      </c>
      <c r="G81" s="115">
        <f>SUM(G80,G54)</f>
        <v>6946</v>
      </c>
      <c r="H81" s="115">
        <f>SUM(H80,H54)</f>
        <v>7421</v>
      </c>
      <c r="I81" s="115">
        <f>SUM(I80,I54)</f>
        <v>8338</v>
      </c>
    </row>
    <row r="82" spans="2:9">
      <c r="C82" s="84" t="b">
        <f t="shared" ref="C82:I82" si="13">C81=C42</f>
        <v>1</v>
      </c>
      <c r="D82" s="84" t="b">
        <f t="shared" si="13"/>
        <v>1</v>
      </c>
      <c r="E82" s="84" t="b">
        <f t="shared" si="13"/>
        <v>1</v>
      </c>
      <c r="F82" s="84" t="b">
        <f t="shared" si="13"/>
        <v>1</v>
      </c>
      <c r="G82" s="84" t="b">
        <f t="shared" si="13"/>
        <v>1</v>
      </c>
      <c r="H82" s="84" t="b">
        <f t="shared" si="13"/>
        <v>1</v>
      </c>
      <c r="I82" s="84" t="b">
        <f t="shared" si="13"/>
        <v>1</v>
      </c>
    </row>
    <row r="84" spans="2:9">
      <c r="E84" s="90"/>
      <c r="F84" s="90"/>
    </row>
    <row r="85" spans="2:9">
      <c r="E85" s="90"/>
      <c r="F85" s="90"/>
      <c r="G85" s="120"/>
    </row>
    <row r="86" spans="2:9">
      <c r="C86" s="90"/>
      <c r="D86" s="90"/>
      <c r="E86" s="90"/>
      <c r="F86" s="90"/>
      <c r="G86" s="120"/>
    </row>
    <row r="87" spans="2:9">
      <c r="G87" s="120"/>
    </row>
  </sheetData>
  <mergeCells count="2">
    <mergeCell ref="B1:D1"/>
    <mergeCell ref="K71:M7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A4CD-E6B1-43EC-8B3F-FB9DA6AF263B}">
  <sheetPr codeName="Sheet13"/>
  <dimension ref="B2:L86"/>
  <sheetViews>
    <sheetView showGridLines="0" zoomScaleNormal="100" workbookViewId="0">
      <pane ySplit="2" topLeftCell="A63" activePane="bottomLeft" state="frozen"/>
      <selection pane="bottomLeft" activeCell="K46" sqref="K46:L46"/>
    </sheetView>
  </sheetViews>
  <sheetFormatPr defaultRowHeight="14.4"/>
  <cols>
    <col min="1" max="1" width="8.88671875" style="84"/>
    <col min="2" max="2" width="68.88671875" style="84" bestFit="1" customWidth="1"/>
    <col min="3" max="3" width="9.88671875" style="84" bestFit="1" customWidth="1"/>
    <col min="4" max="9" width="12.77734375" style="84" customWidth="1"/>
    <col min="10" max="10" width="8.88671875" style="84"/>
    <col min="11" max="11" width="12.77734375" style="84" customWidth="1"/>
    <col min="12" max="16" width="8.88671875" style="84"/>
    <col min="17" max="17" width="10.5546875" style="84" bestFit="1" customWidth="1"/>
    <col min="18" max="16384" width="8.88671875" style="84"/>
  </cols>
  <sheetData>
    <row r="2" spans="2:9" ht="15.6">
      <c r="B2" s="86" t="s">
        <v>154</v>
      </c>
      <c r="C2" s="124">
        <v>43525</v>
      </c>
      <c r="D2" s="124">
        <v>43891</v>
      </c>
      <c r="E2" s="124">
        <v>44256</v>
      </c>
      <c r="F2" s="125">
        <v>44651</v>
      </c>
      <c r="G2" s="125">
        <v>45016</v>
      </c>
      <c r="H2" s="125">
        <v>45382</v>
      </c>
      <c r="I2" s="125">
        <v>45747</v>
      </c>
    </row>
    <row r="3" spans="2:9" ht="15.6">
      <c r="C3" s="126"/>
      <c r="D3" s="126"/>
      <c r="E3" s="126"/>
      <c r="F3" s="127"/>
      <c r="G3" s="127"/>
      <c r="H3" s="127"/>
    </row>
    <row r="4" spans="2:9">
      <c r="B4" s="90" t="s">
        <v>234</v>
      </c>
      <c r="C4" s="85"/>
      <c r="D4" s="85"/>
      <c r="E4" s="85"/>
      <c r="F4" s="85"/>
      <c r="G4" s="85"/>
    </row>
    <row r="5" spans="2:9">
      <c r="B5" s="84" t="s">
        <v>235</v>
      </c>
      <c r="C5" s="108">
        <v>1257</v>
      </c>
      <c r="D5" s="108">
        <v>1374</v>
      </c>
      <c r="E5" s="108">
        <v>1523</v>
      </c>
      <c r="F5" s="108">
        <v>1601</v>
      </c>
      <c r="G5" s="108">
        <v>1743</v>
      </c>
      <c r="H5" s="108">
        <v>1937</v>
      </c>
      <c r="I5" s="108">
        <v>2116</v>
      </c>
    </row>
    <row r="6" spans="2:9">
      <c r="C6" s="108"/>
      <c r="D6" s="431"/>
      <c r="E6" s="108"/>
      <c r="F6" s="108"/>
      <c r="G6" s="108"/>
      <c r="H6" s="108"/>
      <c r="I6" s="108"/>
    </row>
    <row r="7" spans="2:9">
      <c r="B7" s="84" t="s">
        <v>236</v>
      </c>
      <c r="C7" s="128"/>
      <c r="D7" s="432"/>
      <c r="E7" s="108"/>
      <c r="F7" s="108"/>
      <c r="G7" s="108"/>
      <c r="H7" s="108"/>
      <c r="I7" s="108"/>
    </row>
    <row r="8" spans="2:9">
      <c r="B8" s="84" t="s">
        <v>237</v>
      </c>
      <c r="C8" s="108">
        <v>131</v>
      </c>
      <c r="D8" s="108">
        <v>140</v>
      </c>
      <c r="E8" s="108">
        <v>139</v>
      </c>
      <c r="F8" s="108">
        <v>139</v>
      </c>
      <c r="G8" s="108">
        <v>155</v>
      </c>
      <c r="H8" s="108">
        <v>158</v>
      </c>
      <c r="I8" s="108">
        <v>178</v>
      </c>
    </row>
    <row r="9" spans="2:9">
      <c r="B9" s="84" t="s">
        <v>238</v>
      </c>
      <c r="C9" s="108">
        <v>1</v>
      </c>
      <c r="D9" s="108">
        <v>10</v>
      </c>
      <c r="E9" s="108">
        <v>2</v>
      </c>
      <c r="F9" s="108">
        <v>0</v>
      </c>
      <c r="G9" s="108">
        <v>0</v>
      </c>
      <c r="H9" s="108">
        <v>0</v>
      </c>
      <c r="I9" s="108">
        <v>0</v>
      </c>
    </row>
    <row r="10" spans="2:9">
      <c r="B10" s="84" t="s">
        <v>239</v>
      </c>
      <c r="C10" s="108">
        <v>40</v>
      </c>
      <c r="D10" s="108">
        <v>50</v>
      </c>
      <c r="E10" s="108">
        <v>34</v>
      </c>
      <c r="F10" s="108">
        <v>39</v>
      </c>
      <c r="G10" s="108">
        <v>56</v>
      </c>
      <c r="H10" s="108">
        <v>73</v>
      </c>
      <c r="I10" s="108">
        <v>53</v>
      </c>
    </row>
    <row r="11" spans="2:9">
      <c r="B11" s="84" t="s">
        <v>240</v>
      </c>
      <c r="C11" s="108">
        <v>-54</v>
      </c>
      <c r="D11" s="108">
        <v>-72</v>
      </c>
      <c r="E11" s="108">
        <v>-59</v>
      </c>
      <c r="F11" s="108">
        <v>-59</v>
      </c>
      <c r="G11" s="108">
        <v>-49</v>
      </c>
      <c r="H11" s="108">
        <v>-77</v>
      </c>
      <c r="I11" s="108">
        <v>-77</v>
      </c>
    </row>
    <row r="12" spans="2:9">
      <c r="B12" s="84" t="s">
        <v>241</v>
      </c>
      <c r="C12" s="108">
        <v>-7</v>
      </c>
      <c r="D12" s="108">
        <v>0</v>
      </c>
      <c r="E12" s="108">
        <v>0</v>
      </c>
      <c r="F12" s="108">
        <v>0</v>
      </c>
      <c r="G12" s="108">
        <v>-28</v>
      </c>
      <c r="H12" s="108">
        <v>-15</v>
      </c>
      <c r="I12" s="108">
        <v>-20</v>
      </c>
    </row>
    <row r="13" spans="2:9">
      <c r="B13" s="84" t="s">
        <v>242</v>
      </c>
      <c r="C13" s="108">
        <v>-72</v>
      </c>
      <c r="D13" s="108">
        <v>-29</v>
      </c>
      <c r="E13" s="108">
        <v>-21</v>
      </c>
      <c r="F13" s="108">
        <v>-29</v>
      </c>
      <c r="G13" s="108">
        <v>-50</v>
      </c>
      <c r="H13" s="108">
        <v>-73</v>
      </c>
      <c r="I13" s="108">
        <v>-76</v>
      </c>
    </row>
    <row r="14" spans="2:9">
      <c r="B14" s="84" t="s">
        <v>243</v>
      </c>
      <c r="C14" s="108">
        <v>9</v>
      </c>
      <c r="D14" s="108">
        <v>10</v>
      </c>
      <c r="E14" s="108">
        <v>9</v>
      </c>
      <c r="F14" s="108">
        <v>10</v>
      </c>
      <c r="G14" s="108">
        <v>19</v>
      </c>
      <c r="H14" s="108">
        <v>35</v>
      </c>
      <c r="I14" s="108">
        <v>43</v>
      </c>
    </row>
    <row r="15" spans="2:9">
      <c r="B15" s="84" t="s">
        <v>244</v>
      </c>
      <c r="C15" s="108">
        <v>11</v>
      </c>
      <c r="D15" s="108">
        <v>-3</v>
      </c>
      <c r="E15" s="108">
        <v>3</v>
      </c>
      <c r="F15" s="108">
        <v>8</v>
      </c>
      <c r="G15" s="108">
        <v>1</v>
      </c>
      <c r="H15" s="108">
        <v>2</v>
      </c>
      <c r="I15" s="108">
        <v>2</v>
      </c>
    </row>
    <row r="16" spans="2:9">
      <c r="B16" s="84" t="s">
        <v>245</v>
      </c>
      <c r="C16" s="108">
        <v>7</v>
      </c>
      <c r="D16" s="108">
        <v>-1</v>
      </c>
      <c r="E16" s="108">
        <v>6</v>
      </c>
      <c r="F16" s="108">
        <v>0</v>
      </c>
      <c r="G16" s="108">
        <v>0</v>
      </c>
      <c r="H16" s="108">
        <v>0</v>
      </c>
      <c r="I16" s="108">
        <v>0</v>
      </c>
    </row>
    <row r="17" spans="2:9">
      <c r="B17" s="84" t="s">
        <v>246</v>
      </c>
      <c r="C17" s="108">
        <v>0</v>
      </c>
      <c r="D17" s="431">
        <v>0</v>
      </c>
      <c r="E17" s="108">
        <v>51</v>
      </c>
      <c r="F17" s="108">
        <v>0</v>
      </c>
      <c r="G17" s="108">
        <v>0</v>
      </c>
      <c r="H17" s="108">
        <v>0</v>
      </c>
      <c r="I17" s="108">
        <v>0</v>
      </c>
    </row>
    <row r="18" spans="2:9">
      <c r="B18" s="84" t="s">
        <v>247</v>
      </c>
      <c r="C18" s="108">
        <v>38</v>
      </c>
      <c r="D18" s="108">
        <v>-4</v>
      </c>
      <c r="E18" s="108">
        <v>-64</v>
      </c>
      <c r="F18" s="108">
        <v>0</v>
      </c>
      <c r="G18" s="108">
        <v>0</v>
      </c>
      <c r="H18" s="108">
        <v>0</v>
      </c>
      <c r="I18" s="108">
        <v>0</v>
      </c>
    </row>
    <row r="19" spans="2:9">
      <c r="C19" s="108"/>
      <c r="D19" s="430"/>
      <c r="E19" s="108"/>
      <c r="F19" s="108"/>
      <c r="G19" s="108"/>
      <c r="H19" s="108"/>
      <c r="I19" s="108"/>
    </row>
    <row r="20" spans="2:9">
      <c r="B20" s="90" t="s">
        <v>248</v>
      </c>
      <c r="C20" s="129">
        <f t="shared" ref="C20:H20" si="0">SUM(C5:C18)</f>
        <v>1361</v>
      </c>
      <c r="D20" s="129">
        <f>SUM(D5:D18)</f>
        <v>1475</v>
      </c>
      <c r="E20" s="113">
        <f t="shared" si="0"/>
        <v>1623</v>
      </c>
      <c r="F20" s="129">
        <f t="shared" si="0"/>
        <v>1709</v>
      </c>
      <c r="G20" s="129">
        <f t="shared" si="0"/>
        <v>1847</v>
      </c>
      <c r="H20" s="129">
        <f t="shared" si="0"/>
        <v>2040</v>
      </c>
      <c r="I20" s="129">
        <f t="shared" ref="I20" si="1">SUM(I5:I18)</f>
        <v>2219</v>
      </c>
    </row>
    <row r="21" spans="2:9">
      <c r="B21" s="90"/>
      <c r="C21" s="129"/>
      <c r="D21" s="129"/>
      <c r="E21" s="113"/>
      <c r="F21" s="129"/>
      <c r="G21" s="129"/>
      <c r="H21" s="129"/>
      <c r="I21" s="129"/>
    </row>
    <row r="22" spans="2:9">
      <c r="B22" s="84" t="s">
        <v>249</v>
      </c>
      <c r="C22" s="128"/>
      <c r="D22" s="128"/>
      <c r="E22" s="128"/>
      <c r="F22" s="128"/>
      <c r="G22" s="128"/>
      <c r="H22" s="128"/>
      <c r="I22" s="128"/>
    </row>
    <row r="23" spans="2:9">
      <c r="B23" s="84" t="s">
        <v>250</v>
      </c>
      <c r="C23" s="108">
        <v>100</v>
      </c>
      <c r="D23" s="108">
        <v>31</v>
      </c>
      <c r="E23" s="108">
        <v>251</v>
      </c>
      <c r="F23" s="108">
        <v>-286</v>
      </c>
      <c r="G23" s="108">
        <v>191</v>
      </c>
      <c r="H23" s="108">
        <v>-101</v>
      </c>
      <c r="I23" s="108">
        <v>101</v>
      </c>
    </row>
    <row r="24" spans="2:9">
      <c r="B24" s="84" t="s">
        <v>251</v>
      </c>
      <c r="C24" s="108">
        <v>-177</v>
      </c>
      <c r="D24" s="108">
        <v>-22</v>
      </c>
      <c r="E24" s="108">
        <v>147</v>
      </c>
      <c r="F24" s="108">
        <v>-272</v>
      </c>
      <c r="G24" s="108">
        <v>-360</v>
      </c>
      <c r="H24" s="108">
        <v>-52</v>
      </c>
      <c r="I24" s="108">
        <v>-205</v>
      </c>
    </row>
    <row r="25" spans="2:9">
      <c r="B25" s="84" t="s">
        <v>252</v>
      </c>
      <c r="C25" s="108">
        <v>-3</v>
      </c>
      <c r="D25" s="108">
        <v>1</v>
      </c>
      <c r="E25" s="108">
        <v>-4</v>
      </c>
      <c r="F25" s="108">
        <v>3</v>
      </c>
      <c r="G25" s="108">
        <v>13</v>
      </c>
      <c r="H25" s="108">
        <v>-4</v>
      </c>
      <c r="I25" s="108">
        <v>3</v>
      </c>
    </row>
    <row r="26" spans="2:9">
      <c r="B26" s="84" t="s">
        <v>253</v>
      </c>
      <c r="C26" s="108">
        <v>0</v>
      </c>
      <c r="D26" s="108">
        <v>-2</v>
      </c>
      <c r="E26" s="108">
        <v>2</v>
      </c>
      <c r="F26" s="108">
        <v>0</v>
      </c>
      <c r="G26" s="108">
        <v>-4</v>
      </c>
      <c r="H26" s="108">
        <v>-6</v>
      </c>
      <c r="I26" s="108">
        <v>2</v>
      </c>
    </row>
    <row r="27" spans="2:9">
      <c r="B27" s="84" t="s">
        <v>254</v>
      </c>
      <c r="C27" s="108">
        <v>-60</v>
      </c>
      <c r="D27" s="108">
        <v>-33</v>
      </c>
      <c r="E27" s="108">
        <v>83</v>
      </c>
      <c r="F27" s="108">
        <v>11</v>
      </c>
      <c r="G27" s="108">
        <v>-13</v>
      </c>
      <c r="H27" s="108">
        <v>-145</v>
      </c>
      <c r="I27" s="108">
        <v>-33</v>
      </c>
    </row>
    <row r="28" spans="2:9">
      <c r="B28" s="84" t="s">
        <v>255</v>
      </c>
      <c r="C28" s="108">
        <v>-1</v>
      </c>
      <c r="D28" s="108">
        <v>-3</v>
      </c>
      <c r="E28" s="108">
        <v>1</v>
      </c>
      <c r="F28" s="108">
        <v>1</v>
      </c>
      <c r="G28" s="108">
        <v>1</v>
      </c>
      <c r="H28" s="108">
        <v>9</v>
      </c>
      <c r="I28" s="108">
        <v>-3</v>
      </c>
    </row>
    <row r="29" spans="2:9">
      <c r="B29" s="84" t="s">
        <v>256</v>
      </c>
      <c r="C29" s="108">
        <v>0</v>
      </c>
      <c r="D29" s="108">
        <v>1</v>
      </c>
      <c r="E29" s="108">
        <v>-39</v>
      </c>
      <c r="F29" s="108">
        <v>1</v>
      </c>
      <c r="G29" s="108">
        <v>26</v>
      </c>
      <c r="H29" s="108">
        <v>-40</v>
      </c>
      <c r="I29" s="108">
        <v>14</v>
      </c>
    </row>
    <row r="30" spans="2:9">
      <c r="B30" s="84" t="s">
        <v>257</v>
      </c>
      <c r="C30" s="108">
        <v>4</v>
      </c>
      <c r="D30" s="108">
        <v>-14</v>
      </c>
      <c r="E30" s="108">
        <v>20</v>
      </c>
      <c r="F30" s="108">
        <v>-7</v>
      </c>
      <c r="G30" s="108">
        <v>5</v>
      </c>
      <c r="H30" s="108">
        <v>5</v>
      </c>
      <c r="I30" s="108">
        <v>21</v>
      </c>
    </row>
    <row r="31" spans="2:9">
      <c r="B31" s="84" t="s">
        <v>258</v>
      </c>
      <c r="C31" s="108">
        <v>35</v>
      </c>
      <c r="D31" s="108">
        <v>22</v>
      </c>
      <c r="E31" s="108">
        <v>77</v>
      </c>
      <c r="F31" s="108">
        <v>-3</v>
      </c>
      <c r="G31" s="108">
        <v>-9</v>
      </c>
      <c r="H31" s="108">
        <v>-7</v>
      </c>
      <c r="I31" s="108">
        <v>21</v>
      </c>
    </row>
    <row r="32" spans="2:9">
      <c r="B32" s="84" t="s">
        <v>259</v>
      </c>
      <c r="C32" s="108">
        <v>121</v>
      </c>
      <c r="D32" s="108">
        <v>38</v>
      </c>
      <c r="E32" s="108">
        <v>184</v>
      </c>
      <c r="F32" s="108">
        <v>210</v>
      </c>
      <c r="G32" s="108">
        <v>99</v>
      </c>
      <c r="H32" s="108">
        <v>106</v>
      </c>
      <c r="I32" s="108">
        <v>-218</v>
      </c>
    </row>
    <row r="33" spans="2:12">
      <c r="B33" s="84" t="s">
        <v>260</v>
      </c>
      <c r="C33" s="108">
        <v>2</v>
      </c>
      <c r="D33" s="108">
        <v>14</v>
      </c>
      <c r="E33" s="108">
        <v>8</v>
      </c>
      <c r="F33" s="108">
        <v>0</v>
      </c>
      <c r="G33" s="108">
        <v>-8</v>
      </c>
      <c r="H33" s="108">
        <v>9</v>
      </c>
      <c r="I33" s="108">
        <v>4</v>
      </c>
    </row>
    <row r="34" spans="2:12">
      <c r="C34" s="108"/>
      <c r="D34" s="108"/>
      <c r="E34" s="108"/>
      <c r="F34" s="108"/>
      <c r="G34" s="108"/>
      <c r="H34" s="108"/>
      <c r="I34" s="108"/>
    </row>
    <row r="35" spans="2:12">
      <c r="B35" s="101" t="s">
        <v>261</v>
      </c>
      <c r="C35" s="128">
        <f t="shared" ref="C35:I35" si="2">SUM(C23:C33)</f>
        <v>21</v>
      </c>
      <c r="D35" s="128">
        <f t="shared" si="2"/>
        <v>33</v>
      </c>
      <c r="E35" s="130">
        <f t="shared" si="2"/>
        <v>730</v>
      </c>
      <c r="F35" s="131">
        <f t="shared" si="2"/>
        <v>-342</v>
      </c>
      <c r="G35" s="131">
        <f t="shared" si="2"/>
        <v>-59</v>
      </c>
      <c r="H35" s="128">
        <f t="shared" si="2"/>
        <v>-226</v>
      </c>
      <c r="I35" s="128">
        <f t="shared" si="2"/>
        <v>-293</v>
      </c>
    </row>
    <row r="36" spans="2:12">
      <c r="C36" s="128"/>
      <c r="D36" s="128"/>
      <c r="E36" s="130"/>
      <c r="F36" s="131"/>
      <c r="G36" s="131"/>
      <c r="H36" s="128"/>
      <c r="I36" s="128"/>
    </row>
    <row r="37" spans="2:12">
      <c r="B37" s="90" t="s">
        <v>262</v>
      </c>
      <c r="C37" s="129">
        <f>C35+C20</f>
        <v>1382</v>
      </c>
      <c r="D37" s="129">
        <f>D35+D20</f>
        <v>1508</v>
      </c>
      <c r="E37" s="132">
        <f>E35+E20</f>
        <v>2353</v>
      </c>
      <c r="F37" s="129">
        <f>F20+F35</f>
        <v>1367</v>
      </c>
      <c r="G37" s="129">
        <f>G20+G35</f>
        <v>1788</v>
      </c>
      <c r="H37" s="129">
        <f>H20+H35</f>
        <v>1814</v>
      </c>
      <c r="I37" s="129">
        <f>I20+I35</f>
        <v>1926</v>
      </c>
    </row>
    <row r="38" spans="2:12">
      <c r="B38" s="90"/>
      <c r="C38" s="129"/>
      <c r="D38" s="129"/>
      <c r="E38" s="132"/>
      <c r="F38" s="129"/>
      <c r="G38" s="129"/>
      <c r="H38" s="129"/>
      <c r="I38" s="129"/>
    </row>
    <row r="39" spans="2:12">
      <c r="B39" s="101" t="s">
        <v>263</v>
      </c>
      <c r="C39" s="108">
        <v>-320</v>
      </c>
      <c r="D39" s="108">
        <v>-290</v>
      </c>
      <c r="E39" s="108">
        <v>-285</v>
      </c>
      <c r="F39" s="108">
        <v>-351</v>
      </c>
      <c r="G39" s="128">
        <v>-369</v>
      </c>
      <c r="H39" s="108">
        <v>-378</v>
      </c>
      <c r="I39" s="108">
        <v>-484</v>
      </c>
    </row>
    <row r="40" spans="2:12">
      <c r="B40" s="101"/>
      <c r="C40" s="108"/>
      <c r="D40" s="108"/>
      <c r="E40" s="108"/>
      <c r="F40" s="108"/>
      <c r="G40" s="128"/>
      <c r="H40" s="108"/>
      <c r="I40" s="108"/>
    </row>
    <row r="41" spans="2:12">
      <c r="B41" s="111" t="s">
        <v>264</v>
      </c>
      <c r="C41" s="133">
        <f>C37+C39</f>
        <v>1062</v>
      </c>
      <c r="D41" s="133">
        <f>D37+D39</f>
        <v>1218</v>
      </c>
      <c r="E41" s="133">
        <f>E37+E39</f>
        <v>2068</v>
      </c>
      <c r="F41" s="133">
        <f>SUM(F37:F39)</f>
        <v>1016</v>
      </c>
      <c r="G41" s="133">
        <f>SUM(G37:G39)</f>
        <v>1419</v>
      </c>
      <c r="H41" s="133">
        <f>SUM(H37:H39)</f>
        <v>1436</v>
      </c>
      <c r="I41" s="133">
        <f>SUM(I37:I39)</f>
        <v>1442</v>
      </c>
    </row>
    <row r="42" spans="2:12">
      <c r="B42" s="90"/>
      <c r="C42" s="129"/>
      <c r="D42" s="129"/>
      <c r="E42" s="129"/>
      <c r="F42" s="129"/>
      <c r="G42" s="129"/>
      <c r="H42" s="129"/>
      <c r="I42" s="129"/>
    </row>
    <row r="43" spans="2:12">
      <c r="B43" s="90" t="s">
        <v>265</v>
      </c>
      <c r="C43" s="128"/>
      <c r="D43" s="128"/>
      <c r="E43" s="128"/>
      <c r="F43" s="128"/>
      <c r="G43" s="128"/>
      <c r="H43" s="128"/>
      <c r="I43" s="128"/>
    </row>
    <row r="44" spans="2:12">
      <c r="B44" s="84" t="s">
        <v>266</v>
      </c>
      <c r="C44" s="256">
        <v>-162</v>
      </c>
      <c r="D44" s="108">
        <v>-194</v>
      </c>
      <c r="E44" s="108">
        <v>-142</v>
      </c>
      <c r="F44" s="108">
        <v>-132</v>
      </c>
      <c r="G44" s="108">
        <v>-182</v>
      </c>
      <c r="H44" s="108">
        <v>-153</v>
      </c>
      <c r="I44" s="108">
        <v>-161</v>
      </c>
    </row>
    <row r="45" spans="2:12">
      <c r="B45" s="84" t="s">
        <v>267</v>
      </c>
      <c r="C45" s="108">
        <v>-6</v>
      </c>
      <c r="D45" s="108">
        <v>-3</v>
      </c>
      <c r="E45" s="108">
        <v>-132</v>
      </c>
      <c r="F45" s="108">
        <v>-41</v>
      </c>
      <c r="G45" s="108">
        <v>-277</v>
      </c>
      <c r="H45" s="108">
        <v>-103</v>
      </c>
      <c r="I45" s="108">
        <v>0</v>
      </c>
    </row>
    <row r="46" spans="2:12">
      <c r="B46" s="84" t="s">
        <v>268</v>
      </c>
      <c r="C46" s="108">
        <v>19</v>
      </c>
      <c r="D46" s="108">
        <v>8</v>
      </c>
      <c r="E46" s="108">
        <v>5</v>
      </c>
      <c r="F46" s="108">
        <v>3</v>
      </c>
      <c r="G46" s="108">
        <v>25</v>
      </c>
      <c r="H46" s="108">
        <v>18</v>
      </c>
      <c r="I46" s="108">
        <v>39</v>
      </c>
      <c r="K46" s="103"/>
      <c r="L46" s="103"/>
    </row>
    <row r="47" spans="2:12">
      <c r="B47" s="84" t="s">
        <v>269</v>
      </c>
      <c r="C47" s="128">
        <v>0</v>
      </c>
      <c r="D47" s="128">
        <v>0</v>
      </c>
      <c r="E47" s="108">
        <v>0</v>
      </c>
      <c r="F47" s="108">
        <v>0</v>
      </c>
      <c r="G47" s="108">
        <v>0</v>
      </c>
      <c r="H47" s="108">
        <v>0</v>
      </c>
      <c r="I47" s="108">
        <v>-46</v>
      </c>
    </row>
    <row r="48" spans="2:12">
      <c r="B48" s="84" t="s">
        <v>270</v>
      </c>
      <c r="C48" s="128">
        <v>0</v>
      </c>
      <c r="D48" s="128">
        <v>0</v>
      </c>
      <c r="E48" s="108">
        <v>164</v>
      </c>
      <c r="F48" s="108">
        <v>0</v>
      </c>
      <c r="G48" s="108">
        <v>0</v>
      </c>
      <c r="H48" s="108">
        <v>233</v>
      </c>
      <c r="I48" s="108">
        <v>60</v>
      </c>
    </row>
    <row r="49" spans="2:11">
      <c r="B49" s="84" t="s">
        <v>271</v>
      </c>
      <c r="C49" s="108">
        <v>103</v>
      </c>
      <c r="D49" s="108">
        <v>-189</v>
      </c>
      <c r="E49" s="108">
        <v>1</v>
      </c>
      <c r="F49" s="108">
        <v>-146</v>
      </c>
      <c r="G49" s="108">
        <v>-130</v>
      </c>
      <c r="H49" s="108">
        <v>147</v>
      </c>
      <c r="I49" s="108">
        <v>-926</v>
      </c>
    </row>
    <row r="50" spans="2:11">
      <c r="B50" s="84" t="s">
        <v>272</v>
      </c>
      <c r="C50" s="108">
        <v>20</v>
      </c>
      <c r="D50" s="108">
        <v>45</v>
      </c>
      <c r="E50" s="108">
        <v>-295</v>
      </c>
      <c r="F50" s="108">
        <v>215</v>
      </c>
      <c r="G50" s="108">
        <v>-90</v>
      </c>
      <c r="H50" s="108">
        <v>200</v>
      </c>
      <c r="I50" s="108"/>
    </row>
    <row r="51" spans="2:11">
      <c r="B51" s="101" t="s">
        <v>273</v>
      </c>
      <c r="C51" s="108">
        <v>-357</v>
      </c>
      <c r="D51" s="108">
        <v>217</v>
      </c>
      <c r="E51" s="108">
        <v>-591</v>
      </c>
      <c r="F51" s="108">
        <v>483</v>
      </c>
      <c r="G51" s="108">
        <v>-259</v>
      </c>
      <c r="H51" s="108">
        <v>-232</v>
      </c>
      <c r="I51" s="108">
        <v>343</v>
      </c>
    </row>
    <row r="52" spans="2:11">
      <c r="B52" s="84" t="s">
        <v>274</v>
      </c>
      <c r="C52" s="108">
        <v>49</v>
      </c>
      <c r="D52" s="108">
        <v>72</v>
      </c>
      <c r="E52" s="108">
        <v>52</v>
      </c>
      <c r="F52" s="108">
        <v>57</v>
      </c>
      <c r="G52" s="108">
        <v>48</v>
      </c>
      <c r="H52" s="108">
        <v>66</v>
      </c>
      <c r="I52" s="108">
        <v>70</v>
      </c>
    </row>
    <row r="53" spans="2:11">
      <c r="B53" s="111" t="s">
        <v>275</v>
      </c>
      <c r="C53" s="133">
        <f>SUM(C44:C52)</f>
        <v>-334</v>
      </c>
      <c r="D53" s="133">
        <f t="shared" ref="D53:I53" si="3">SUM(D44:D52)</f>
        <v>-44</v>
      </c>
      <c r="E53" s="133">
        <f t="shared" si="3"/>
        <v>-938</v>
      </c>
      <c r="F53" s="133">
        <f t="shared" si="3"/>
        <v>439</v>
      </c>
      <c r="G53" s="133">
        <f t="shared" si="3"/>
        <v>-865</v>
      </c>
      <c r="H53" s="133">
        <f t="shared" si="3"/>
        <v>176</v>
      </c>
      <c r="I53" s="133">
        <f t="shared" si="3"/>
        <v>-621</v>
      </c>
    </row>
    <row r="54" spans="2:11">
      <c r="B54" s="90"/>
      <c r="C54" s="129"/>
      <c r="D54" s="129"/>
      <c r="E54" s="129"/>
      <c r="F54" s="129"/>
      <c r="G54" s="129"/>
      <c r="H54" s="129"/>
      <c r="I54" s="129"/>
    </row>
    <row r="55" spans="2:11">
      <c r="B55" s="90" t="s">
        <v>276</v>
      </c>
      <c r="C55" s="128"/>
      <c r="D55" s="128"/>
      <c r="E55" s="128"/>
      <c r="F55" s="128"/>
      <c r="G55" s="128"/>
      <c r="H55" s="128"/>
      <c r="I55" s="128"/>
    </row>
    <row r="56" spans="2:11">
      <c r="B56" t="s">
        <v>707</v>
      </c>
      <c r="C56" s="128">
        <v>0</v>
      </c>
      <c r="D56" s="128">
        <v>0</v>
      </c>
      <c r="E56" s="128">
        <v>0</v>
      </c>
      <c r="F56" s="128">
        <v>0</v>
      </c>
      <c r="G56" s="128">
        <v>0</v>
      </c>
      <c r="H56" s="128">
        <v>0</v>
      </c>
      <c r="I56" s="128">
        <v>0</v>
      </c>
    </row>
    <row r="57" spans="2:11">
      <c r="B57" s="84" t="s">
        <v>277</v>
      </c>
      <c r="C57" s="108" t="s">
        <v>121</v>
      </c>
      <c r="D57" s="108">
        <v>0</v>
      </c>
      <c r="E57" s="108">
        <v>6</v>
      </c>
      <c r="F57" s="108">
        <v>41</v>
      </c>
      <c r="G57" s="100">
        <v>9</v>
      </c>
      <c r="H57" s="108">
        <v>34</v>
      </c>
      <c r="I57" s="108">
        <v>46</v>
      </c>
      <c r="K57"/>
    </row>
    <row r="58" spans="2:11">
      <c r="B58" s="84" t="s">
        <v>278</v>
      </c>
      <c r="C58" s="108">
        <v>30</v>
      </c>
      <c r="D58" s="108">
        <v>3</v>
      </c>
      <c r="E58" s="108">
        <v>-9</v>
      </c>
      <c r="F58" s="108">
        <v>-8</v>
      </c>
      <c r="G58" s="100">
        <v>4</v>
      </c>
      <c r="H58" s="108">
        <v>2</v>
      </c>
      <c r="I58" s="108">
        <v>-12</v>
      </c>
      <c r="K58"/>
    </row>
    <row r="59" spans="2:11">
      <c r="B59" s="84" t="s">
        <v>279</v>
      </c>
      <c r="C59" s="108">
        <v>40</v>
      </c>
      <c r="D59" s="108">
        <v>-15</v>
      </c>
      <c r="E59" s="108">
        <v>13</v>
      </c>
      <c r="F59" s="108">
        <v>-3</v>
      </c>
      <c r="G59" s="100">
        <v>128</v>
      </c>
      <c r="H59" s="108">
        <v>-91</v>
      </c>
      <c r="I59" s="108">
        <v>-5</v>
      </c>
      <c r="K59"/>
    </row>
    <row r="60" spans="2:11">
      <c r="B60" s="84" t="s">
        <v>280</v>
      </c>
      <c r="C60" s="108">
        <v>-18</v>
      </c>
      <c r="D60" s="108">
        <v>-21</v>
      </c>
      <c r="E60" s="108">
        <v>-22</v>
      </c>
      <c r="F60" s="108">
        <v>-22</v>
      </c>
      <c r="G60" s="108">
        <v>-25</v>
      </c>
      <c r="H60" s="108">
        <v>0</v>
      </c>
      <c r="I60" s="108">
        <v>-47</v>
      </c>
      <c r="K60"/>
    </row>
    <row r="61" spans="2:11">
      <c r="B61" s="101" t="s">
        <v>281</v>
      </c>
      <c r="C61" s="128">
        <v>0</v>
      </c>
      <c r="D61" s="128">
        <v>0</v>
      </c>
      <c r="E61" s="108">
        <v>-21</v>
      </c>
      <c r="F61" s="108">
        <v>0</v>
      </c>
      <c r="G61" s="108">
        <v>0</v>
      </c>
      <c r="H61" s="108">
        <v>-141</v>
      </c>
      <c r="I61" s="108">
        <v>-70</v>
      </c>
      <c r="K61"/>
    </row>
    <row r="62" spans="2:11">
      <c r="B62" s="84" t="s">
        <v>282</v>
      </c>
      <c r="C62" s="108">
        <v>-23</v>
      </c>
      <c r="D62" s="108">
        <v>-34</v>
      </c>
      <c r="E62" s="108">
        <v>-44</v>
      </c>
      <c r="F62" s="108">
        <v>-28</v>
      </c>
      <c r="G62" s="108">
        <v>-42</v>
      </c>
      <c r="H62" s="108">
        <v>-54</v>
      </c>
      <c r="I62" s="108">
        <v>-51</v>
      </c>
      <c r="K62"/>
    </row>
    <row r="63" spans="2:11">
      <c r="B63" s="84" t="s">
        <v>283</v>
      </c>
      <c r="C63" s="108">
        <v>-29</v>
      </c>
      <c r="D63" s="108">
        <v>-38</v>
      </c>
      <c r="E63" s="108">
        <v>-13</v>
      </c>
      <c r="F63" s="108">
        <v>-64</v>
      </c>
      <c r="G63" s="108">
        <v>-41</v>
      </c>
      <c r="H63" s="108">
        <v>-52</v>
      </c>
      <c r="I63" s="108">
        <v>-43</v>
      </c>
    </row>
    <row r="64" spans="2:11">
      <c r="B64" s="84" t="s">
        <v>284</v>
      </c>
      <c r="C64" s="108">
        <v>-16</v>
      </c>
      <c r="D64" s="108">
        <v>-16</v>
      </c>
      <c r="E64" s="108">
        <v>-61</v>
      </c>
      <c r="F64" s="108">
        <v>-11</v>
      </c>
      <c r="G64" s="108">
        <v>-11</v>
      </c>
      <c r="H64" s="108">
        <v>-11</v>
      </c>
      <c r="I64" s="108">
        <v>-14</v>
      </c>
    </row>
    <row r="65" spans="2:9">
      <c r="B65" s="84" t="s">
        <v>285</v>
      </c>
      <c r="C65" s="108">
        <v>-682</v>
      </c>
      <c r="D65" s="108">
        <v>-1025</v>
      </c>
      <c r="E65" s="108">
        <v>-968</v>
      </c>
      <c r="F65" s="108">
        <v>-1195</v>
      </c>
      <c r="G65" s="108">
        <v>-582</v>
      </c>
      <c r="H65" s="108">
        <v>-1229</v>
      </c>
      <c r="I65" s="108">
        <v>-453</v>
      </c>
    </row>
    <row r="66" spans="2:9">
      <c r="B66" s="111" t="s">
        <v>286</v>
      </c>
      <c r="C66" s="133">
        <f>SUM(C56:C65)</f>
        <v>-698</v>
      </c>
      <c r="D66" s="133">
        <f>SUM(D56:D65)</f>
        <v>-1146</v>
      </c>
      <c r="E66" s="133">
        <f t="shared" ref="E66:I66" si="4">SUM(E56:E65)</f>
        <v>-1119</v>
      </c>
      <c r="F66" s="133">
        <f t="shared" si="4"/>
        <v>-1290</v>
      </c>
      <c r="G66" s="133">
        <f t="shared" si="4"/>
        <v>-560</v>
      </c>
      <c r="H66" s="133">
        <f t="shared" si="4"/>
        <v>-1542</v>
      </c>
      <c r="I66" s="133">
        <f t="shared" si="4"/>
        <v>-649</v>
      </c>
    </row>
    <row r="67" spans="2:9">
      <c r="B67" s="84" t="s">
        <v>287</v>
      </c>
      <c r="C67" s="128">
        <v>-33</v>
      </c>
      <c r="D67" s="128">
        <v>17</v>
      </c>
      <c r="E67" s="108">
        <v>5</v>
      </c>
      <c r="F67" s="100">
        <v>2</v>
      </c>
      <c r="G67" s="108">
        <v>-63</v>
      </c>
      <c r="H67" s="108">
        <v>-49</v>
      </c>
      <c r="I67" s="108">
        <v>-79</v>
      </c>
    </row>
    <row r="68" spans="2:9">
      <c r="C68" s="128"/>
      <c r="D68" s="128"/>
      <c r="E68" s="108"/>
      <c r="F68" s="100"/>
      <c r="G68" s="108"/>
      <c r="H68" s="108"/>
      <c r="I68" s="108"/>
    </row>
    <row r="69" spans="2:9" ht="15" thickBot="1">
      <c r="B69" s="114" t="s">
        <v>288</v>
      </c>
      <c r="C69" s="134">
        <f>C67+C66+C53+C41</f>
        <v>-3</v>
      </c>
      <c r="D69" s="134">
        <f>D67+D66+D53+D41</f>
        <v>45</v>
      </c>
      <c r="E69" s="134">
        <f>E66+E53+E41+E67</f>
        <v>16</v>
      </c>
      <c r="F69" s="134">
        <f>F41+F53+F66+F67</f>
        <v>167</v>
      </c>
      <c r="G69" s="134">
        <f>G41+G53+G66+G67</f>
        <v>-69</v>
      </c>
      <c r="H69" s="134">
        <f>H66+H53+H41+H67</f>
        <v>21</v>
      </c>
      <c r="I69" s="134">
        <f>I66+I53+I41+I67</f>
        <v>93</v>
      </c>
    </row>
    <row r="70" spans="2:9">
      <c r="B70" s="90"/>
      <c r="C70" s="129"/>
      <c r="D70" s="129"/>
      <c r="E70" s="129"/>
      <c r="F70" s="129"/>
      <c r="G70" s="129"/>
      <c r="H70" s="128"/>
      <c r="I70" s="128"/>
    </row>
    <row r="71" spans="2:9">
      <c r="B71" s="101" t="s">
        <v>289</v>
      </c>
      <c r="C71" s="108">
        <v>51</v>
      </c>
      <c r="D71" s="108">
        <v>48</v>
      </c>
      <c r="E71" s="108">
        <v>93</v>
      </c>
      <c r="F71" s="100">
        <v>109</v>
      </c>
      <c r="G71" s="100">
        <v>276</v>
      </c>
      <c r="H71" s="108">
        <v>207</v>
      </c>
      <c r="I71" s="108">
        <v>228</v>
      </c>
    </row>
    <row r="72" spans="2:9" ht="15" thickBot="1">
      <c r="B72" s="114" t="s">
        <v>290</v>
      </c>
      <c r="C72" s="134">
        <f t="shared" ref="C72" si="5">C69+C71</f>
        <v>48</v>
      </c>
      <c r="D72" s="434">
        <f>D69+D71</f>
        <v>93</v>
      </c>
      <c r="E72" s="434">
        <f>SUM(E69:E71)</f>
        <v>109</v>
      </c>
      <c r="F72" s="435">
        <f>F69+F71</f>
        <v>276</v>
      </c>
      <c r="G72" s="435">
        <f>G69+G71</f>
        <v>207</v>
      </c>
      <c r="H72" s="434">
        <f>SUM(H69:H71)</f>
        <v>228</v>
      </c>
      <c r="I72" s="434">
        <f>SUM(I69:I71)</f>
        <v>321</v>
      </c>
    </row>
    <row r="75" spans="2:9">
      <c r="C75" s="135"/>
    </row>
    <row r="86" spans="2:2">
      <c r="B86" t="s">
        <v>707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66758-3BEF-4F44-8468-747CFBC757A7}">
  <sheetPr codeName="Sheet9" filterMode="1"/>
  <dimension ref="A2:BM328"/>
  <sheetViews>
    <sheetView showGridLines="0" topLeftCell="AP316" zoomScale="85" zoomScaleNormal="95" workbookViewId="0">
      <selection activeCell="AV326" sqref="AV326:BB328"/>
    </sheetView>
  </sheetViews>
  <sheetFormatPr defaultRowHeight="14.4"/>
  <cols>
    <col min="1" max="1" width="6.6640625" customWidth="1"/>
    <col min="2" max="2" width="16.44140625" customWidth="1"/>
    <col min="3" max="3" width="10.88671875" customWidth="1"/>
    <col min="4" max="4" width="12.5546875" customWidth="1"/>
    <col min="5" max="5" width="13" customWidth="1"/>
    <col min="6" max="6" width="11.44140625" customWidth="1"/>
    <col min="7" max="7" width="10.6640625" bestFit="1" customWidth="1"/>
    <col min="8" max="9" width="12.5546875" customWidth="1"/>
    <col min="11" max="11" width="9" customWidth="1"/>
    <col min="12" max="12" width="7.109375" bestFit="1" customWidth="1"/>
    <col min="25" max="25" width="28" bestFit="1" customWidth="1"/>
    <col min="26" max="26" width="20.88671875" bestFit="1" customWidth="1"/>
    <col min="28" max="28" width="24.21875" bestFit="1" customWidth="1"/>
    <col min="30" max="30" width="17.5546875" customWidth="1"/>
    <col min="31" max="31" width="19.109375" bestFit="1" customWidth="1"/>
    <col min="32" max="32" width="14" customWidth="1"/>
    <col min="33" max="33" width="12.5546875" customWidth="1"/>
    <col min="34" max="34" width="11.21875" customWidth="1"/>
    <col min="35" max="35" width="10.77734375" bestFit="1" customWidth="1"/>
    <col min="36" max="38" width="10.88671875" bestFit="1" customWidth="1"/>
    <col min="39" max="39" width="12.109375" customWidth="1"/>
    <col min="40" max="40" width="14.77734375" customWidth="1"/>
    <col min="41" max="41" width="15.44140625" bestFit="1" customWidth="1"/>
    <col min="43" max="43" width="19.109375" customWidth="1"/>
    <col min="47" max="47" width="10.33203125" bestFit="1" customWidth="1"/>
    <col min="48" max="48" width="21.88671875" bestFit="1" customWidth="1"/>
    <col min="49" max="49" width="12.33203125" customWidth="1"/>
    <col min="50" max="50" width="13.44140625" customWidth="1"/>
    <col min="51" max="51" width="16.6640625" customWidth="1"/>
    <col min="52" max="52" width="13.21875" customWidth="1"/>
    <col min="53" max="53" width="12.109375" customWidth="1"/>
    <col min="54" max="54" width="12.5546875" customWidth="1"/>
  </cols>
  <sheetData>
    <row r="2" spans="2:28">
      <c r="B2" s="11" t="s">
        <v>478</v>
      </c>
      <c r="AA2" t="s">
        <v>373</v>
      </c>
      <c r="AB2" t="s">
        <v>374</v>
      </c>
    </row>
    <row r="3" spans="2:28">
      <c r="AA3">
        <v>2023</v>
      </c>
      <c r="AB3" s="153">
        <v>0.67910000000000004</v>
      </c>
    </row>
    <row r="4" spans="2:28">
      <c r="B4" s="142" t="s">
        <v>479</v>
      </c>
      <c r="AA4">
        <v>2024</v>
      </c>
      <c r="AB4" s="153">
        <v>0.67969999999999997</v>
      </c>
    </row>
    <row r="5" spans="2:28">
      <c r="B5" t="s">
        <v>480</v>
      </c>
      <c r="D5" s="53"/>
      <c r="E5" s="53"/>
      <c r="AA5">
        <v>2025</v>
      </c>
      <c r="AB5" s="153">
        <v>0.68079999999999996</v>
      </c>
    </row>
    <row r="6" spans="2:28">
      <c r="B6" t="s">
        <v>481</v>
      </c>
      <c r="D6" s="53"/>
      <c r="E6" s="53"/>
      <c r="AA6">
        <v>2026</v>
      </c>
      <c r="AB6" s="153">
        <v>0.68140000000000001</v>
      </c>
    </row>
    <row r="7" spans="2:28">
      <c r="B7" t="s">
        <v>371</v>
      </c>
      <c r="D7" s="53"/>
      <c r="E7" s="53"/>
      <c r="AA7">
        <v>2027</v>
      </c>
      <c r="AB7" s="153">
        <v>0.68210000000000004</v>
      </c>
    </row>
    <row r="8" spans="2:28">
      <c r="B8" t="s">
        <v>372</v>
      </c>
      <c r="AA8">
        <v>2028</v>
      </c>
      <c r="AB8" s="153">
        <v>0.68259999999999998</v>
      </c>
    </row>
    <row r="9" spans="2:28">
      <c r="AA9">
        <v>2029</v>
      </c>
      <c r="AB9" s="153">
        <v>0.68289999999999995</v>
      </c>
    </row>
    <row r="10" spans="2:28">
      <c r="AA10">
        <v>2030</v>
      </c>
      <c r="AB10" s="153">
        <v>0.68340000000000001</v>
      </c>
    </row>
    <row r="17" spans="2:48" ht="15" thickBot="1"/>
    <row r="18" spans="2:48" ht="15" thickBot="1">
      <c r="AU18" s="611" t="s">
        <v>1149</v>
      </c>
      <c r="AV18" s="611" t="s">
        <v>1150</v>
      </c>
    </row>
    <row r="19" spans="2:48" ht="15" hidden="1" thickBot="1">
      <c r="AA19">
        <v>2020</v>
      </c>
      <c r="AB19">
        <v>2.66</v>
      </c>
      <c r="AU19" s="612">
        <v>45628</v>
      </c>
      <c r="AV19" s="613">
        <v>637</v>
      </c>
    </row>
    <row r="20" spans="2:48" ht="15" hidden="1" thickBot="1">
      <c r="D20" s="24"/>
      <c r="AA20">
        <v>2021</v>
      </c>
      <c r="AB20">
        <v>3.17</v>
      </c>
      <c r="AU20" s="612">
        <v>45629</v>
      </c>
      <c r="AV20" s="613">
        <v>632</v>
      </c>
    </row>
    <row r="21" spans="2:48" ht="15" hidden="1" thickBot="1">
      <c r="D21" s="24"/>
      <c r="AA21" s="155">
        <v>2022</v>
      </c>
      <c r="AB21">
        <v>3.35</v>
      </c>
      <c r="AU21" s="612">
        <v>45630</v>
      </c>
      <c r="AV21" s="613">
        <v>621</v>
      </c>
    </row>
    <row r="22" spans="2:48" ht="15" hidden="1" thickBot="1">
      <c r="D22" s="24"/>
      <c r="AA22" s="155">
        <v>2023</v>
      </c>
      <c r="AB22">
        <v>3.64</v>
      </c>
      <c r="AU22" s="612">
        <v>45631</v>
      </c>
      <c r="AV22" s="613">
        <v>623</v>
      </c>
    </row>
    <row r="23" spans="2:48" ht="15" hidden="1" thickBot="1">
      <c r="D23" s="24"/>
      <c r="AA23" s="155">
        <v>2024</v>
      </c>
      <c r="AB23" s="154">
        <v>3.91</v>
      </c>
      <c r="AU23" s="612">
        <v>45632</v>
      </c>
      <c r="AV23" s="613">
        <v>623</v>
      </c>
    </row>
    <row r="24" spans="2:48" ht="15" hidden="1" thickBot="1">
      <c r="D24" s="24"/>
      <c r="AA24" s="155">
        <v>2025</v>
      </c>
      <c r="AB24">
        <v>4.2</v>
      </c>
      <c r="AU24" s="612">
        <v>45635</v>
      </c>
      <c r="AV24" s="613">
        <v>598</v>
      </c>
    </row>
    <row r="25" spans="2:48" ht="15" hidden="1" thickBot="1">
      <c r="D25" s="24"/>
      <c r="AA25" s="155">
        <v>2026</v>
      </c>
      <c r="AB25">
        <v>4.51</v>
      </c>
      <c r="AU25" s="612">
        <v>45636</v>
      </c>
      <c r="AV25" s="613">
        <v>605</v>
      </c>
    </row>
    <row r="26" spans="2:48" ht="15" hidden="1" thickBot="1">
      <c r="D26" s="24"/>
      <c r="AA26">
        <v>2027</v>
      </c>
      <c r="AB26">
        <v>5.46</v>
      </c>
      <c r="AU26" s="612">
        <v>45637</v>
      </c>
      <c r="AV26" s="613">
        <v>623</v>
      </c>
    </row>
    <row r="27" spans="2:48" ht="15" hidden="1" thickBot="1">
      <c r="AA27">
        <v>2028</v>
      </c>
      <c r="AB27">
        <v>6.02</v>
      </c>
      <c r="AU27" s="612">
        <v>45638</v>
      </c>
      <c r="AV27" s="613">
        <v>627</v>
      </c>
    </row>
    <row r="28" spans="2:48" ht="15" hidden="1" thickBot="1">
      <c r="B28" s="156" t="s">
        <v>381</v>
      </c>
      <c r="AA28">
        <v>2029</v>
      </c>
      <c r="AB28">
        <v>6.33</v>
      </c>
      <c r="AU28" s="612">
        <v>45639</v>
      </c>
      <c r="AV28" s="613">
        <v>630</v>
      </c>
    </row>
    <row r="29" spans="2:48" ht="15" hidden="1" thickBot="1">
      <c r="B29" s="157" t="s">
        <v>382</v>
      </c>
      <c r="AU29" s="612">
        <v>45642</v>
      </c>
      <c r="AV29" s="613">
        <v>636</v>
      </c>
    </row>
    <row r="30" spans="2:48" ht="15" hidden="1" thickBot="1">
      <c r="B30" s="157" t="s">
        <v>383</v>
      </c>
      <c r="AA30" t="s">
        <v>376</v>
      </c>
      <c r="AB30" t="s">
        <v>375</v>
      </c>
      <c r="AU30" s="612">
        <v>45643</v>
      </c>
      <c r="AV30" s="613">
        <v>624</v>
      </c>
    </row>
    <row r="31" spans="2:48" ht="21" hidden="1" thickBot="1">
      <c r="B31" s="157" t="s">
        <v>384</v>
      </c>
      <c r="AA31" t="s">
        <v>377</v>
      </c>
      <c r="AB31" s="53">
        <v>0.19500000000000001</v>
      </c>
      <c r="AM31" s="156" t="s">
        <v>526</v>
      </c>
      <c r="AN31" s="156" t="s">
        <v>527</v>
      </c>
      <c r="AO31" s="156" t="s">
        <v>528</v>
      </c>
      <c r="AQ31" s="235" t="s">
        <v>540</v>
      </c>
      <c r="AR31" s="237" t="s">
        <v>543</v>
      </c>
      <c r="AU31" s="612">
        <v>45644</v>
      </c>
      <c r="AV31" s="613">
        <v>632</v>
      </c>
    </row>
    <row r="32" spans="2:48" ht="15" hidden="1" thickBot="1">
      <c r="B32" s="157" t="s">
        <v>386</v>
      </c>
      <c r="AA32" t="s">
        <v>378</v>
      </c>
      <c r="AB32" s="53">
        <v>0.50700000000000001</v>
      </c>
      <c r="AM32" s="158" t="s">
        <v>382</v>
      </c>
      <c r="AN32" s="157" t="s">
        <v>529</v>
      </c>
      <c r="AO32" s="158" t="s">
        <v>530</v>
      </c>
      <c r="AQ32" s="236" t="s">
        <v>383</v>
      </c>
      <c r="AR32" s="238">
        <v>1065</v>
      </c>
      <c r="AU32" s="612">
        <v>45645</v>
      </c>
      <c r="AV32" s="613">
        <v>631</v>
      </c>
    </row>
    <row r="33" spans="2:65" ht="29.4" hidden="1" thickBot="1">
      <c r="B33" s="157" t="s">
        <v>385</v>
      </c>
      <c r="AA33" t="s">
        <v>379</v>
      </c>
      <c r="AB33" s="53">
        <v>0.17399999999999999</v>
      </c>
      <c r="AM33" s="158" t="s">
        <v>531</v>
      </c>
      <c r="AN33" s="157" t="s">
        <v>532</v>
      </c>
      <c r="AO33" s="158" t="s">
        <v>533</v>
      </c>
      <c r="AQ33" s="236" t="s">
        <v>536</v>
      </c>
      <c r="AR33" s="239">
        <v>441</v>
      </c>
      <c r="AU33" s="612">
        <v>45646</v>
      </c>
      <c r="AV33" s="613">
        <v>619</v>
      </c>
    </row>
    <row r="34" spans="2:65" ht="15" hidden="1" thickBot="1">
      <c r="AA34" t="s">
        <v>380</v>
      </c>
      <c r="AB34" s="53">
        <v>0.123</v>
      </c>
      <c r="AQ34" s="236" t="s">
        <v>542</v>
      </c>
      <c r="AR34" s="239">
        <v>1215</v>
      </c>
      <c r="AU34" s="612">
        <v>45649</v>
      </c>
      <c r="AV34" s="613">
        <v>627</v>
      </c>
    </row>
    <row r="35" spans="2:65" ht="15" hidden="1" thickBot="1">
      <c r="AB35" s="53">
        <f>SUM(AB31:AB34)</f>
        <v>0.99899999999999989</v>
      </c>
      <c r="AQ35" s="236" t="s">
        <v>541</v>
      </c>
      <c r="AR35" s="239">
        <v>2721</v>
      </c>
      <c r="AU35" s="612">
        <v>45650</v>
      </c>
      <c r="AV35" s="613">
        <v>623</v>
      </c>
    </row>
    <row r="36" spans="2:65" ht="15" hidden="1" thickBot="1">
      <c r="AU36" s="612">
        <v>45652</v>
      </c>
      <c r="AV36" s="613">
        <v>623</v>
      </c>
    </row>
    <row r="37" spans="2:65" ht="15" hidden="1" thickBot="1">
      <c r="AU37" s="612">
        <v>45653</v>
      </c>
      <c r="AV37" s="613">
        <v>623</v>
      </c>
    </row>
    <row r="38" spans="2:65" ht="15" hidden="1" thickBot="1">
      <c r="AU38" s="612">
        <v>45656</v>
      </c>
      <c r="AV38" s="613">
        <v>633</v>
      </c>
    </row>
    <row r="39" spans="2:65" ht="13.8" hidden="1" customHeight="1" thickBot="1">
      <c r="C39" s="156"/>
      <c r="D39" s="156"/>
      <c r="AU39" s="612">
        <v>45657</v>
      </c>
      <c r="AV39" s="613">
        <v>630</v>
      </c>
    </row>
    <row r="40" spans="2:65" ht="29.4" thickBot="1">
      <c r="C40" s="157"/>
      <c r="D40" s="157"/>
      <c r="AU40" s="612">
        <v>45658</v>
      </c>
      <c r="AV40" s="613">
        <v>633</v>
      </c>
      <c r="BH40" s="156" t="s">
        <v>373</v>
      </c>
      <c r="BI40" s="156" t="s">
        <v>387</v>
      </c>
      <c r="BJ40" s="156" t="s">
        <v>388</v>
      </c>
      <c r="BK40" s="156" t="s">
        <v>389</v>
      </c>
      <c r="BL40" s="156" t="s">
        <v>390</v>
      </c>
      <c r="BM40" s="156" t="s">
        <v>391</v>
      </c>
    </row>
    <row r="41" spans="2:65" ht="10.8" customHeight="1" thickBot="1">
      <c r="C41" s="157"/>
      <c r="D41" s="157"/>
      <c r="AU41" s="612">
        <v>45659</v>
      </c>
      <c r="AV41" s="613">
        <v>643</v>
      </c>
      <c r="BH41" s="157">
        <v>2023</v>
      </c>
      <c r="BI41" s="159">
        <v>171.9</v>
      </c>
      <c r="BJ41" s="158">
        <v>94.55</v>
      </c>
      <c r="BK41" s="157">
        <v>25.79</v>
      </c>
      <c r="BL41" s="157">
        <v>25.79</v>
      </c>
      <c r="BM41" s="157">
        <v>25.79</v>
      </c>
    </row>
    <row r="42" spans="2:65" ht="16.8" customHeight="1" thickBot="1">
      <c r="C42" s="157"/>
      <c r="D42" s="157"/>
      <c r="AU42" s="612">
        <v>45660</v>
      </c>
      <c r="AV42" s="613">
        <v>651</v>
      </c>
      <c r="BH42" s="157">
        <v>2024</v>
      </c>
      <c r="BI42" s="159">
        <v>197.7</v>
      </c>
      <c r="BJ42" s="158">
        <v>108.74</v>
      </c>
      <c r="BK42" s="157">
        <v>29.66</v>
      </c>
      <c r="BL42" s="157">
        <v>29.66</v>
      </c>
      <c r="BM42" s="157">
        <v>29.66</v>
      </c>
    </row>
    <row r="43" spans="2:65" ht="16.8" customHeight="1" thickBot="1">
      <c r="C43" s="157"/>
      <c r="D43" s="157"/>
      <c r="AU43" s="612">
        <v>45663</v>
      </c>
      <c r="AV43" s="613">
        <v>638</v>
      </c>
      <c r="BH43" s="157">
        <v>2025</v>
      </c>
      <c r="BI43" s="159">
        <v>223.5</v>
      </c>
      <c r="BJ43" s="158">
        <v>122.93</v>
      </c>
      <c r="BK43" s="157">
        <v>33.53</v>
      </c>
      <c r="BL43" s="157">
        <v>33.53</v>
      </c>
      <c r="BM43" s="157">
        <v>33.53</v>
      </c>
    </row>
    <row r="44" spans="2:65" ht="13.2" customHeight="1" thickBot="1">
      <c r="C44" s="157"/>
      <c r="D44" s="157"/>
      <c r="AU44" s="612">
        <v>45664</v>
      </c>
      <c r="AV44" s="613">
        <v>634</v>
      </c>
      <c r="BH44" s="157">
        <v>2026</v>
      </c>
      <c r="BI44" s="159">
        <v>265.8</v>
      </c>
      <c r="BJ44" s="158">
        <v>146.19</v>
      </c>
      <c r="BK44" s="157">
        <v>39.869999999999997</v>
      </c>
      <c r="BL44" s="157">
        <v>39.869999999999997</v>
      </c>
      <c r="BM44" s="157">
        <v>39.869999999999997</v>
      </c>
    </row>
    <row r="45" spans="2:65" ht="15" thickBot="1">
      <c r="AU45" s="612">
        <v>45665</v>
      </c>
      <c r="AV45" s="613">
        <v>628</v>
      </c>
      <c r="BH45" s="157">
        <v>2027</v>
      </c>
      <c r="BI45" s="159">
        <v>310.89999999999998</v>
      </c>
      <c r="BJ45" s="158">
        <v>171</v>
      </c>
      <c r="BK45" s="157">
        <v>46.64</v>
      </c>
      <c r="BL45" s="157">
        <v>46.64</v>
      </c>
      <c r="BM45" s="157">
        <v>46.64</v>
      </c>
    </row>
    <row r="46" spans="2:65" ht="15" thickBot="1">
      <c r="AU46" s="612">
        <v>45666</v>
      </c>
      <c r="AV46" s="613">
        <v>656</v>
      </c>
      <c r="BH46" s="157">
        <v>2028</v>
      </c>
      <c r="BI46" s="159">
        <v>351.5</v>
      </c>
      <c r="BJ46" s="158">
        <v>193.33</v>
      </c>
      <c r="BK46" s="157">
        <v>52.73</v>
      </c>
      <c r="BL46" s="157">
        <v>52.73</v>
      </c>
      <c r="BM46" s="157">
        <v>52.73</v>
      </c>
    </row>
    <row r="47" spans="2:65" ht="15" thickBot="1">
      <c r="AU47" s="612">
        <v>45667</v>
      </c>
      <c r="AV47" s="613">
        <v>663</v>
      </c>
      <c r="BH47" s="157">
        <v>2029</v>
      </c>
      <c r="BI47" s="159">
        <v>384</v>
      </c>
      <c r="BJ47" s="158">
        <v>211.2</v>
      </c>
      <c r="BK47" s="157">
        <v>57.6</v>
      </c>
      <c r="BL47" s="157">
        <v>57.6</v>
      </c>
      <c r="BM47" s="157">
        <v>57.6</v>
      </c>
    </row>
    <row r="48" spans="2:65" ht="15" thickBot="1">
      <c r="AU48" s="612">
        <v>45670</v>
      </c>
      <c r="AV48" s="613">
        <v>658</v>
      </c>
      <c r="BH48" s="157">
        <v>2030</v>
      </c>
      <c r="BI48" s="159">
        <v>441.6</v>
      </c>
      <c r="BJ48" s="158">
        <v>242.88</v>
      </c>
      <c r="BK48" s="157">
        <v>66.239999999999995</v>
      </c>
      <c r="BL48" s="157">
        <v>66.239999999999995</v>
      </c>
      <c r="BM48" s="157">
        <v>66.239999999999995</v>
      </c>
    </row>
    <row r="49" spans="2:65" ht="15" thickBot="1">
      <c r="B49" t="s">
        <v>499</v>
      </c>
      <c r="AU49" s="612">
        <v>45671</v>
      </c>
      <c r="AV49" s="613">
        <v>651</v>
      </c>
      <c r="BH49" s="157">
        <v>2031</v>
      </c>
      <c r="BI49" s="159">
        <v>499.2</v>
      </c>
      <c r="BJ49" s="158">
        <v>274.56</v>
      </c>
      <c r="BK49" s="157">
        <v>74.88</v>
      </c>
      <c r="BL49" s="157">
        <v>74.88</v>
      </c>
      <c r="BM49" s="157">
        <v>74.88</v>
      </c>
    </row>
    <row r="50" spans="2:65" ht="15" thickBot="1">
      <c r="AU50" s="612">
        <v>45672</v>
      </c>
      <c r="AV50" s="613">
        <v>650</v>
      </c>
      <c r="BH50" s="157">
        <v>2032</v>
      </c>
      <c r="BI50" s="159">
        <v>574.1</v>
      </c>
      <c r="BJ50" s="158">
        <v>315.76</v>
      </c>
      <c r="BK50" s="157">
        <v>86.12</v>
      </c>
      <c r="BL50" s="157">
        <v>86.12</v>
      </c>
      <c r="BM50" s="157">
        <v>86.12</v>
      </c>
    </row>
    <row r="51" spans="2:65" ht="15" thickBot="1">
      <c r="B51" s="11"/>
      <c r="C51" s="636">
        <v>41699</v>
      </c>
      <c r="D51" s="636">
        <v>42064</v>
      </c>
      <c r="E51" s="636">
        <v>42430</v>
      </c>
      <c r="F51" s="636">
        <v>42795</v>
      </c>
      <c r="G51" s="636">
        <v>43160</v>
      </c>
      <c r="H51" s="636">
        <v>43525</v>
      </c>
      <c r="I51" s="636">
        <v>43891</v>
      </c>
      <c r="J51" s="636">
        <v>44256</v>
      </c>
      <c r="K51" s="636">
        <v>44621</v>
      </c>
      <c r="L51" s="636">
        <v>44986</v>
      </c>
      <c r="M51" s="636">
        <v>45352</v>
      </c>
      <c r="N51" s="636">
        <v>45717</v>
      </c>
      <c r="AU51" s="612">
        <v>45673</v>
      </c>
      <c r="AV51" s="613">
        <v>642</v>
      </c>
      <c r="BH51" s="157">
        <v>2033</v>
      </c>
      <c r="BI51" s="159">
        <v>671.5</v>
      </c>
      <c r="BJ51" s="158">
        <v>369.33</v>
      </c>
      <c r="BK51" s="157">
        <v>100.73</v>
      </c>
      <c r="BL51" s="157">
        <v>100.73</v>
      </c>
      <c r="BM51" s="157">
        <v>100.73</v>
      </c>
    </row>
    <row r="52" spans="2:65" ht="15" thickBot="1">
      <c r="B52" t="s">
        <v>94</v>
      </c>
      <c r="C52">
        <v>68</v>
      </c>
      <c r="D52">
        <v>77</v>
      </c>
      <c r="E52">
        <v>84</v>
      </c>
      <c r="F52">
        <v>100</v>
      </c>
      <c r="G52">
        <v>8</v>
      </c>
      <c r="H52">
        <v>8</v>
      </c>
      <c r="I52">
        <v>8</v>
      </c>
      <c r="J52">
        <v>10</v>
      </c>
      <c r="K52">
        <v>12</v>
      </c>
      <c r="L52">
        <v>18</v>
      </c>
      <c r="M52">
        <v>16</v>
      </c>
      <c r="N52">
        <v>17</v>
      </c>
      <c r="AU52" s="612">
        <v>45674</v>
      </c>
      <c r="AV52" s="613">
        <v>654</v>
      </c>
    </row>
    <row r="53" spans="2:65" ht="15" thickBot="1">
      <c r="B53" t="s">
        <v>53</v>
      </c>
      <c r="C53">
        <v>57</v>
      </c>
      <c r="D53">
        <v>43</v>
      </c>
      <c r="E53">
        <v>34</v>
      </c>
      <c r="F53">
        <v>28</v>
      </c>
      <c r="G53">
        <v>43</v>
      </c>
      <c r="H53">
        <v>42</v>
      </c>
      <c r="I53">
        <v>44</v>
      </c>
      <c r="J53">
        <v>63</v>
      </c>
      <c r="K53">
        <v>52</v>
      </c>
      <c r="L53">
        <v>55</v>
      </c>
      <c r="M53">
        <v>51</v>
      </c>
      <c r="N53">
        <v>81</v>
      </c>
      <c r="AU53" s="612">
        <v>45677</v>
      </c>
      <c r="AV53" s="613">
        <v>647</v>
      </c>
    </row>
    <row r="54" spans="2:65" ht="15" thickBot="1">
      <c r="B54" t="s">
        <v>496</v>
      </c>
      <c r="C54">
        <v>91</v>
      </c>
      <c r="D54">
        <v>87</v>
      </c>
      <c r="E54">
        <v>85</v>
      </c>
      <c r="F54">
        <v>118</v>
      </c>
      <c r="G54">
        <v>104</v>
      </c>
      <c r="H54">
        <v>75</v>
      </c>
      <c r="I54">
        <v>5</v>
      </c>
      <c r="J54">
        <v>17</v>
      </c>
      <c r="K54">
        <v>16</v>
      </c>
      <c r="L54">
        <v>18</v>
      </c>
      <c r="M54">
        <v>22</v>
      </c>
      <c r="N54">
        <v>34</v>
      </c>
      <c r="AU54" s="612">
        <v>45678</v>
      </c>
      <c r="AV54" s="613">
        <v>653</v>
      </c>
    </row>
    <row r="55" spans="2:65" ht="15" thickBot="1">
      <c r="B55" t="s">
        <v>497</v>
      </c>
      <c r="C55">
        <v>35</v>
      </c>
      <c r="D55">
        <v>33</v>
      </c>
      <c r="E55">
        <v>32</v>
      </c>
      <c r="F55">
        <v>10</v>
      </c>
      <c r="G55">
        <v>-54</v>
      </c>
      <c r="H55">
        <v>-25</v>
      </c>
      <c r="I55">
        <v>47</v>
      </c>
      <c r="J55">
        <v>55</v>
      </c>
      <c r="K55">
        <v>48</v>
      </c>
      <c r="L55">
        <v>55</v>
      </c>
      <c r="M55">
        <v>46</v>
      </c>
      <c r="N55">
        <v>64</v>
      </c>
      <c r="AU55" s="612">
        <v>45679</v>
      </c>
      <c r="AV55" s="613">
        <v>655</v>
      </c>
    </row>
    <row r="56" spans="2:65" ht="15" thickBot="1">
      <c r="B56" t="s">
        <v>498</v>
      </c>
      <c r="C56">
        <v>3</v>
      </c>
      <c r="D56">
        <v>-1</v>
      </c>
      <c r="E56">
        <v>-36</v>
      </c>
      <c r="F56">
        <v>-87</v>
      </c>
      <c r="G56">
        <v>-312</v>
      </c>
      <c r="H56">
        <v>-295</v>
      </c>
      <c r="I56">
        <v>26</v>
      </c>
      <c r="J56">
        <v>35</v>
      </c>
      <c r="K56">
        <v>31</v>
      </c>
      <c r="L56">
        <v>40</v>
      </c>
      <c r="M56">
        <v>33</v>
      </c>
      <c r="N56">
        <v>52</v>
      </c>
      <c r="AU56" s="612">
        <v>45680</v>
      </c>
      <c r="AV56" s="613">
        <v>658</v>
      </c>
    </row>
    <row r="57" spans="2:65" ht="15" thickBot="1">
      <c r="AA57" s="156" t="s">
        <v>373</v>
      </c>
      <c r="AB57" s="156" t="s">
        <v>392</v>
      </c>
      <c r="AU57" s="612">
        <v>45681</v>
      </c>
      <c r="AV57" s="613">
        <v>656</v>
      </c>
    </row>
    <row r="58" spans="2:65" ht="15" thickBot="1">
      <c r="AA58" s="158">
        <v>2020</v>
      </c>
      <c r="AB58" s="161">
        <v>2.66</v>
      </c>
      <c r="AC58" s="35"/>
      <c r="AU58" s="612">
        <v>45684</v>
      </c>
      <c r="AV58" s="613">
        <v>646</v>
      </c>
    </row>
    <row r="59" spans="2:65" ht="15.6" thickBot="1">
      <c r="B59" s="223" t="s">
        <v>500</v>
      </c>
      <c r="AA59" s="158">
        <v>2021</v>
      </c>
      <c r="AB59" s="161">
        <v>3.17</v>
      </c>
      <c r="AC59" s="35"/>
      <c r="AU59" s="612">
        <v>45685</v>
      </c>
      <c r="AV59" s="613">
        <v>655</v>
      </c>
    </row>
    <row r="60" spans="2:65" ht="15" thickBot="1">
      <c r="W60" s="158"/>
      <c r="X60" s="158"/>
      <c r="AA60" s="158">
        <v>2022</v>
      </c>
      <c r="AB60" s="161">
        <v>3.35</v>
      </c>
      <c r="AC60" s="35"/>
      <c r="AU60" s="612">
        <v>45686</v>
      </c>
      <c r="AV60" s="613">
        <v>660</v>
      </c>
    </row>
    <row r="61" spans="2:65" ht="15" thickBot="1">
      <c r="B61" s="11"/>
      <c r="C61" s="636">
        <v>41699</v>
      </c>
      <c r="D61" s="636">
        <v>42064</v>
      </c>
      <c r="E61" s="636">
        <v>42430</v>
      </c>
      <c r="F61" s="636">
        <v>42795</v>
      </c>
      <c r="G61" s="636">
        <v>43160</v>
      </c>
      <c r="H61" s="636">
        <v>43525</v>
      </c>
      <c r="I61" s="636">
        <v>43891</v>
      </c>
      <c r="J61" s="636">
        <v>44256</v>
      </c>
      <c r="K61" s="636">
        <v>44621</v>
      </c>
      <c r="L61" s="636">
        <v>44986</v>
      </c>
      <c r="M61" s="636">
        <v>45352</v>
      </c>
      <c r="N61" s="636">
        <v>45717</v>
      </c>
      <c r="W61" s="158"/>
      <c r="X61" s="158"/>
      <c r="AA61" s="158">
        <v>2023</v>
      </c>
      <c r="AB61" s="161">
        <v>3.64</v>
      </c>
      <c r="AC61" s="35"/>
      <c r="AU61" s="612">
        <v>45687</v>
      </c>
      <c r="AV61" s="613">
        <v>662</v>
      </c>
    </row>
    <row r="62" spans="2:65" ht="15" thickBot="1">
      <c r="B62" t="s">
        <v>94</v>
      </c>
      <c r="C62">
        <v>35</v>
      </c>
      <c r="D62">
        <v>33</v>
      </c>
      <c r="E62">
        <v>38</v>
      </c>
      <c r="F62">
        <v>31</v>
      </c>
      <c r="G62">
        <v>33</v>
      </c>
      <c r="H62">
        <v>36</v>
      </c>
      <c r="I62">
        <v>34</v>
      </c>
      <c r="J62">
        <v>21</v>
      </c>
      <c r="K62">
        <v>22</v>
      </c>
      <c r="L62">
        <v>27</v>
      </c>
      <c r="M62">
        <v>26</v>
      </c>
      <c r="N62">
        <v>26</v>
      </c>
      <c r="W62" s="158"/>
      <c r="X62" s="158"/>
      <c r="AA62" s="158">
        <v>2024</v>
      </c>
      <c r="AB62" s="161">
        <v>3.91</v>
      </c>
      <c r="AC62" s="35"/>
      <c r="AU62" s="612">
        <v>45688</v>
      </c>
      <c r="AV62" s="613">
        <v>661</v>
      </c>
    </row>
    <row r="63" spans="2:65" ht="15" thickBot="1">
      <c r="B63" t="s">
        <v>53</v>
      </c>
      <c r="C63">
        <v>150</v>
      </c>
      <c r="D63">
        <v>136</v>
      </c>
      <c r="E63">
        <v>150</v>
      </c>
      <c r="F63">
        <v>153</v>
      </c>
      <c r="G63">
        <v>169</v>
      </c>
      <c r="H63">
        <v>154</v>
      </c>
      <c r="I63">
        <v>164</v>
      </c>
      <c r="J63">
        <v>178</v>
      </c>
      <c r="K63">
        <v>169</v>
      </c>
      <c r="L63">
        <v>158</v>
      </c>
      <c r="M63">
        <v>149</v>
      </c>
      <c r="N63">
        <v>175</v>
      </c>
      <c r="W63" s="158"/>
      <c r="X63" s="158"/>
      <c r="AA63" s="616">
        <v>2025</v>
      </c>
      <c r="AB63" s="161">
        <v>4.2</v>
      </c>
      <c r="AC63" s="35"/>
      <c r="AU63" s="612">
        <v>45689</v>
      </c>
      <c r="AV63" s="613">
        <v>683</v>
      </c>
    </row>
    <row r="64" spans="2:65" ht="15" thickBot="1">
      <c r="B64" t="s">
        <v>496</v>
      </c>
      <c r="C64">
        <v>169</v>
      </c>
      <c r="D64">
        <v>153</v>
      </c>
      <c r="E64">
        <v>182</v>
      </c>
      <c r="F64">
        <v>181</v>
      </c>
      <c r="G64">
        <v>190</v>
      </c>
      <c r="H64">
        <v>172</v>
      </c>
      <c r="I64">
        <v>176</v>
      </c>
      <c r="J64">
        <v>197</v>
      </c>
      <c r="K64">
        <v>178</v>
      </c>
      <c r="L64">
        <v>171</v>
      </c>
      <c r="M64">
        <v>186</v>
      </c>
      <c r="N64">
        <v>215</v>
      </c>
      <c r="W64" s="158"/>
      <c r="X64" s="158"/>
      <c r="AA64" s="616">
        <v>2026</v>
      </c>
      <c r="AB64" s="161">
        <v>4.51</v>
      </c>
      <c r="AC64" s="35"/>
      <c r="AU64" s="612">
        <v>45691</v>
      </c>
      <c r="AV64" s="613">
        <v>663</v>
      </c>
    </row>
    <row r="65" spans="2:48" ht="15" thickBot="1">
      <c r="B65" t="s">
        <v>497</v>
      </c>
      <c r="C65">
        <v>16</v>
      </c>
      <c r="D65">
        <v>16</v>
      </c>
      <c r="E65">
        <v>6</v>
      </c>
      <c r="F65">
        <v>3</v>
      </c>
      <c r="G65">
        <v>13</v>
      </c>
      <c r="H65">
        <v>17</v>
      </c>
      <c r="I65">
        <v>22</v>
      </c>
      <c r="J65">
        <v>3</v>
      </c>
      <c r="K65">
        <v>12</v>
      </c>
      <c r="L65">
        <v>14</v>
      </c>
      <c r="M65">
        <v>-10</v>
      </c>
      <c r="N65">
        <v>-14</v>
      </c>
      <c r="W65" s="158"/>
      <c r="X65" s="158"/>
      <c r="AA65" s="616">
        <v>2027</v>
      </c>
      <c r="AB65" s="161">
        <v>5.46</v>
      </c>
      <c r="AC65" s="35"/>
      <c r="AU65" s="612">
        <v>45692</v>
      </c>
      <c r="AV65" s="613">
        <v>667</v>
      </c>
    </row>
    <row r="66" spans="2:48" ht="15" thickBot="1">
      <c r="B66" t="s">
        <v>498</v>
      </c>
      <c r="C66">
        <v>-21</v>
      </c>
      <c r="D66">
        <v>-17</v>
      </c>
      <c r="E66">
        <v>0</v>
      </c>
      <c r="F66">
        <v>-7</v>
      </c>
      <c r="G66">
        <v>-1</v>
      </c>
      <c r="H66">
        <v>-5</v>
      </c>
      <c r="I66">
        <v>9</v>
      </c>
      <c r="J66">
        <v>-9</v>
      </c>
      <c r="K66">
        <v>-14</v>
      </c>
      <c r="L66">
        <v>-13</v>
      </c>
      <c r="M66">
        <v>-17</v>
      </c>
      <c r="N66">
        <v>-13</v>
      </c>
      <c r="AA66" s="616">
        <v>2028</v>
      </c>
      <c r="AB66" s="161">
        <v>6.02</v>
      </c>
      <c r="AC66" s="35"/>
      <c r="AU66" s="612">
        <v>45693</v>
      </c>
      <c r="AV66" s="613">
        <v>659</v>
      </c>
    </row>
    <row r="67" spans="2:48" ht="15" thickBot="1">
      <c r="AA67" s="616">
        <v>2029</v>
      </c>
      <c r="AB67" s="161">
        <v>6.33</v>
      </c>
      <c r="AC67" s="35"/>
      <c r="AU67" s="612">
        <v>45694</v>
      </c>
      <c r="AV67" s="613">
        <v>651</v>
      </c>
    </row>
    <row r="68" spans="2:48" ht="15" hidden="1" thickBot="1">
      <c r="AA68">
        <f>AA67+1</f>
        <v>2030</v>
      </c>
      <c r="AB68" s="161">
        <v>6.6</v>
      </c>
      <c r="AC68" s="35"/>
      <c r="AU68" s="612">
        <v>45695</v>
      </c>
      <c r="AV68" s="614"/>
    </row>
    <row r="69" spans="2:48" ht="15.6" thickBot="1">
      <c r="B69" s="223" t="s">
        <v>501</v>
      </c>
      <c r="AU69" s="612">
        <v>45695</v>
      </c>
      <c r="AV69" s="613">
        <v>640</v>
      </c>
    </row>
    <row r="70" spans="2:48" ht="15" thickBot="1">
      <c r="AU70" s="612">
        <v>45698</v>
      </c>
      <c r="AV70" s="613">
        <v>638</v>
      </c>
    </row>
    <row r="71" spans="2:48" ht="15" thickBot="1">
      <c r="B71" s="11"/>
      <c r="C71" s="636">
        <v>41699</v>
      </c>
      <c r="D71" s="636">
        <v>42064</v>
      </c>
      <c r="E71" s="636">
        <v>42430</v>
      </c>
      <c r="F71" s="636">
        <v>42795</v>
      </c>
      <c r="G71" s="636">
        <v>43160</v>
      </c>
      <c r="H71" s="636">
        <v>43525</v>
      </c>
      <c r="I71" s="636">
        <v>43891</v>
      </c>
      <c r="J71" s="636">
        <v>44256</v>
      </c>
      <c r="K71" s="636">
        <v>44621</v>
      </c>
      <c r="L71" s="636">
        <v>44986</v>
      </c>
      <c r="M71" s="636">
        <v>45352</v>
      </c>
      <c r="N71" s="636">
        <v>45717</v>
      </c>
      <c r="AU71" s="612">
        <v>45699</v>
      </c>
      <c r="AV71" s="613">
        <v>628</v>
      </c>
    </row>
    <row r="72" spans="2:48" ht="15" thickBot="1">
      <c r="B72" t="s">
        <v>94</v>
      </c>
      <c r="C72">
        <v>13</v>
      </c>
      <c r="D72">
        <v>12</v>
      </c>
      <c r="E72">
        <v>14</v>
      </c>
      <c r="F72">
        <v>12</v>
      </c>
      <c r="G72">
        <v>13</v>
      </c>
      <c r="H72">
        <v>17</v>
      </c>
      <c r="I72">
        <v>11</v>
      </c>
      <c r="J72">
        <v>14</v>
      </c>
      <c r="K72">
        <v>16</v>
      </c>
      <c r="L72">
        <v>19</v>
      </c>
      <c r="M72">
        <v>18</v>
      </c>
      <c r="N72">
        <v>22</v>
      </c>
      <c r="AA72" s="156"/>
      <c r="AU72" s="612">
        <v>45700</v>
      </c>
      <c r="AV72" s="613">
        <v>626</v>
      </c>
    </row>
    <row r="73" spans="2:48" ht="15" thickBot="1">
      <c r="B73" t="s">
        <v>53</v>
      </c>
      <c r="C73">
        <v>86</v>
      </c>
      <c r="D73">
        <v>77</v>
      </c>
      <c r="E73">
        <v>75</v>
      </c>
      <c r="F73">
        <v>67</v>
      </c>
      <c r="G73">
        <v>65</v>
      </c>
      <c r="H73">
        <v>59</v>
      </c>
      <c r="I73">
        <v>65</v>
      </c>
      <c r="J73">
        <v>66</v>
      </c>
      <c r="K73">
        <v>65</v>
      </c>
      <c r="L73">
        <v>55</v>
      </c>
      <c r="M73">
        <v>55</v>
      </c>
      <c r="N73">
        <v>59</v>
      </c>
      <c r="AA73" s="158"/>
      <c r="AB73" s="160"/>
      <c r="AU73" s="612">
        <v>45701</v>
      </c>
      <c r="AV73" s="613">
        <v>629</v>
      </c>
    </row>
    <row r="74" spans="2:48" ht="15" thickBot="1">
      <c r="B74" t="s">
        <v>496</v>
      </c>
      <c r="C74">
        <v>170</v>
      </c>
      <c r="D74">
        <v>148</v>
      </c>
      <c r="E74">
        <v>156</v>
      </c>
      <c r="F74">
        <v>164</v>
      </c>
      <c r="G74">
        <v>185</v>
      </c>
      <c r="H74">
        <v>166</v>
      </c>
      <c r="I74">
        <v>176</v>
      </c>
      <c r="J74">
        <v>163</v>
      </c>
      <c r="K74">
        <v>145</v>
      </c>
      <c r="L74">
        <v>123</v>
      </c>
      <c r="M74">
        <v>143</v>
      </c>
      <c r="N74">
        <v>152</v>
      </c>
      <c r="AU74" s="612">
        <v>45702</v>
      </c>
      <c r="AV74" s="613">
        <v>628</v>
      </c>
    </row>
    <row r="75" spans="2:48" ht="15" thickBot="1">
      <c r="B75" t="s">
        <v>497</v>
      </c>
      <c r="C75">
        <v>-72</v>
      </c>
      <c r="D75">
        <v>-60</v>
      </c>
      <c r="E75">
        <v>-67</v>
      </c>
      <c r="F75">
        <v>-85</v>
      </c>
      <c r="G75">
        <v>-107</v>
      </c>
      <c r="H75">
        <v>-90</v>
      </c>
      <c r="I75">
        <v>-101</v>
      </c>
      <c r="J75">
        <v>-83</v>
      </c>
      <c r="K75">
        <v>-64</v>
      </c>
      <c r="L75">
        <v>-50</v>
      </c>
      <c r="M75">
        <v>-70</v>
      </c>
      <c r="N75">
        <v>-71</v>
      </c>
      <c r="Z75" t="s">
        <v>373</v>
      </c>
      <c r="AA75" t="s">
        <v>393</v>
      </c>
      <c r="AB75" t="s">
        <v>394</v>
      </c>
      <c r="AU75" s="612">
        <v>45705</v>
      </c>
      <c r="AV75" s="613">
        <v>618</v>
      </c>
    </row>
    <row r="76" spans="2:48" ht="15" thickBot="1">
      <c r="B76" s="224" t="s">
        <v>498</v>
      </c>
      <c r="C76" s="224">
        <v>-54</v>
      </c>
      <c r="D76" s="224">
        <v>-53</v>
      </c>
      <c r="E76" s="224">
        <v>-26</v>
      </c>
      <c r="F76" s="224">
        <v>-35</v>
      </c>
      <c r="G76" s="224">
        <v>-37</v>
      </c>
      <c r="H76" s="224">
        <v>-30</v>
      </c>
      <c r="I76" s="224">
        <v>-31</v>
      </c>
      <c r="J76" s="224">
        <v>-32</v>
      </c>
      <c r="K76" s="224">
        <v>-22</v>
      </c>
      <c r="L76" s="224">
        <v>-15</v>
      </c>
      <c r="M76" s="224">
        <v>-22</v>
      </c>
      <c r="N76" s="224">
        <v>-33</v>
      </c>
      <c r="Z76">
        <v>2020</v>
      </c>
      <c r="AA76" s="153">
        <v>-5.7799999999999997E-2</v>
      </c>
      <c r="AB76" s="153">
        <v>-2.7E-2</v>
      </c>
      <c r="AU76" s="612">
        <v>45706</v>
      </c>
      <c r="AV76" s="613">
        <v>620</v>
      </c>
    </row>
    <row r="77" spans="2:48" ht="15" thickBot="1">
      <c r="G77" s="153"/>
      <c r="H77" s="153"/>
      <c r="Z77">
        <v>2021</v>
      </c>
      <c r="AA77" s="153">
        <v>9.69E-2</v>
      </c>
      <c r="AB77" s="153">
        <v>6.6000000000000003E-2</v>
      </c>
      <c r="AU77" s="612">
        <v>45707</v>
      </c>
      <c r="AV77" s="613">
        <v>628</v>
      </c>
    </row>
    <row r="78" spans="2:48" ht="15" thickBot="1">
      <c r="G78" s="153"/>
      <c r="H78" s="153"/>
      <c r="Z78">
        <v>2022</v>
      </c>
      <c r="AA78" s="153">
        <v>7.6100000000000001E-2</v>
      </c>
      <c r="AB78" s="153">
        <v>3.7999999999999999E-2</v>
      </c>
      <c r="AU78" s="612">
        <v>45708</v>
      </c>
      <c r="AV78" s="613">
        <v>635</v>
      </c>
    </row>
    <row r="79" spans="2:48" ht="18" thickBot="1">
      <c r="B79" s="222" t="s">
        <v>502</v>
      </c>
      <c r="G79" s="153"/>
      <c r="H79" s="153"/>
      <c r="Z79">
        <v>2023</v>
      </c>
      <c r="AA79" s="153">
        <v>9.1899999999999996E-2</v>
      </c>
      <c r="AB79" s="153">
        <v>3.5000000000000003E-2</v>
      </c>
      <c r="AU79" s="612">
        <v>45709</v>
      </c>
      <c r="AV79" s="613">
        <v>618</v>
      </c>
    </row>
    <row r="80" spans="2:48" ht="15" thickBot="1">
      <c r="G80" s="153"/>
      <c r="H80" s="153"/>
      <c r="Z80">
        <v>2024</v>
      </c>
      <c r="AA80" s="153">
        <v>6.4000000000000001E-2</v>
      </c>
      <c r="AB80" s="153">
        <v>3.3000000000000002E-2</v>
      </c>
      <c r="AU80" s="612">
        <v>45712</v>
      </c>
      <c r="AV80" s="613">
        <v>615</v>
      </c>
    </row>
    <row r="81" spans="2:48" ht="15" thickBot="1">
      <c r="B81" s="11"/>
      <c r="C81" s="636">
        <v>41699</v>
      </c>
      <c r="D81" s="636">
        <v>42064</v>
      </c>
      <c r="E81" s="636">
        <v>42430</v>
      </c>
      <c r="F81" s="636">
        <v>42795</v>
      </c>
      <c r="G81" s="636">
        <v>43160</v>
      </c>
      <c r="H81" s="636">
        <v>43525</v>
      </c>
      <c r="I81" s="636">
        <v>43891</v>
      </c>
      <c r="J81" s="636">
        <v>44256</v>
      </c>
      <c r="K81" s="636">
        <v>44621</v>
      </c>
      <c r="L81" s="636">
        <v>44986</v>
      </c>
      <c r="M81" s="636">
        <v>45352</v>
      </c>
      <c r="N81" s="636">
        <v>45717</v>
      </c>
      <c r="Z81" s="267" t="s">
        <v>1162</v>
      </c>
      <c r="AA81" s="153">
        <v>6.2E-2</v>
      </c>
      <c r="AB81" s="153">
        <v>3.2000000000000001E-2</v>
      </c>
      <c r="AU81" s="612">
        <v>45713</v>
      </c>
      <c r="AV81" s="613">
        <v>615</v>
      </c>
    </row>
    <row r="82" spans="2:48" ht="15" thickBot="1">
      <c r="B82" t="s">
        <v>94</v>
      </c>
      <c r="C82">
        <v>17</v>
      </c>
      <c r="D82">
        <v>11</v>
      </c>
      <c r="E82">
        <v>15</v>
      </c>
      <c r="F82">
        <v>15</v>
      </c>
      <c r="G82">
        <v>20</v>
      </c>
      <c r="H82">
        <v>26</v>
      </c>
      <c r="I82">
        <v>27</v>
      </c>
      <c r="J82">
        <v>18</v>
      </c>
      <c r="K82">
        <v>25</v>
      </c>
      <c r="L82">
        <v>38</v>
      </c>
      <c r="M82">
        <v>40</v>
      </c>
      <c r="N82">
        <v>43</v>
      </c>
      <c r="Z82" s="267" t="s">
        <v>1151</v>
      </c>
      <c r="AA82" s="153">
        <v>6.2700000000000006E-2</v>
      </c>
      <c r="AB82" s="153">
        <v>3.1E-2</v>
      </c>
      <c r="AU82" s="612">
        <v>45715</v>
      </c>
      <c r="AV82" s="613">
        <v>618</v>
      </c>
    </row>
    <row r="83" spans="2:48" ht="15" thickBot="1">
      <c r="B83" t="s">
        <v>53</v>
      </c>
      <c r="C83">
        <v>151</v>
      </c>
      <c r="D83">
        <v>139</v>
      </c>
      <c r="E83">
        <v>110</v>
      </c>
      <c r="F83">
        <v>193</v>
      </c>
      <c r="G83">
        <v>190</v>
      </c>
      <c r="H83">
        <v>147</v>
      </c>
      <c r="I83">
        <v>157</v>
      </c>
      <c r="J83">
        <v>108</v>
      </c>
      <c r="K83">
        <v>106</v>
      </c>
      <c r="L83">
        <v>94</v>
      </c>
      <c r="M83">
        <v>116</v>
      </c>
      <c r="N83">
        <v>93</v>
      </c>
      <c r="Q83">
        <f>133/2</f>
        <v>66.5</v>
      </c>
      <c r="Z83" s="267" t="s">
        <v>1158</v>
      </c>
      <c r="AA83" s="153">
        <v>6.4699999999999994E-2</v>
      </c>
      <c r="AB83" s="153">
        <v>3.2000000000000001E-2</v>
      </c>
      <c r="AU83" s="612">
        <v>45716</v>
      </c>
      <c r="AV83" s="613">
        <v>594</v>
      </c>
    </row>
    <row r="84" spans="2:48" ht="15" thickBot="1">
      <c r="B84" t="s">
        <v>496</v>
      </c>
      <c r="C84">
        <v>95</v>
      </c>
      <c r="D84">
        <v>79</v>
      </c>
      <c r="E84">
        <v>80</v>
      </c>
      <c r="F84">
        <v>107</v>
      </c>
      <c r="G84">
        <v>103</v>
      </c>
      <c r="H84">
        <v>98</v>
      </c>
      <c r="I84">
        <v>108</v>
      </c>
      <c r="J84">
        <v>109</v>
      </c>
      <c r="K84">
        <v>101</v>
      </c>
      <c r="L84">
        <v>112</v>
      </c>
      <c r="M84">
        <v>137</v>
      </c>
      <c r="N84">
        <v>103</v>
      </c>
      <c r="Z84" s="267" t="s">
        <v>1159</v>
      </c>
      <c r="AA84" s="153">
        <v>6.4799999999999996E-2</v>
      </c>
      <c r="AB84" s="153">
        <v>3.3000000000000002E-2</v>
      </c>
      <c r="AU84" s="612">
        <v>45719</v>
      </c>
      <c r="AV84" s="613">
        <v>588</v>
      </c>
    </row>
    <row r="85" spans="2:48" ht="15" thickBot="1">
      <c r="B85" t="s">
        <v>497</v>
      </c>
      <c r="C85">
        <v>73</v>
      </c>
      <c r="D85">
        <v>71</v>
      </c>
      <c r="E85">
        <v>46</v>
      </c>
      <c r="F85">
        <v>101</v>
      </c>
      <c r="G85">
        <v>106</v>
      </c>
      <c r="H85">
        <v>74</v>
      </c>
      <c r="I85">
        <v>76</v>
      </c>
      <c r="J85">
        <v>17</v>
      </c>
      <c r="K85">
        <v>30</v>
      </c>
      <c r="L85">
        <v>20</v>
      </c>
      <c r="M85">
        <v>19</v>
      </c>
      <c r="N85">
        <v>33</v>
      </c>
      <c r="Z85" s="267" t="s">
        <v>1160</v>
      </c>
      <c r="AA85" s="153">
        <v>6.4899999999999999E-2</v>
      </c>
      <c r="AB85" s="153">
        <v>3.3000000000000002E-2</v>
      </c>
      <c r="AU85" s="612">
        <v>45720</v>
      </c>
      <c r="AV85" s="613">
        <v>582</v>
      </c>
    </row>
    <row r="86" spans="2:48" ht="15" thickBot="1">
      <c r="B86" t="s">
        <v>498</v>
      </c>
      <c r="C86">
        <v>-13</v>
      </c>
      <c r="D86">
        <v>18</v>
      </c>
      <c r="E86">
        <v>0</v>
      </c>
      <c r="F86">
        <v>23</v>
      </c>
      <c r="G86">
        <v>37</v>
      </c>
      <c r="H86">
        <v>27</v>
      </c>
      <c r="I86">
        <v>24</v>
      </c>
      <c r="J86">
        <v>-11</v>
      </c>
      <c r="K86">
        <v>5</v>
      </c>
      <c r="L86">
        <v>2</v>
      </c>
      <c r="M86">
        <v>14</v>
      </c>
      <c r="N86">
        <v>16</v>
      </c>
      <c r="Z86" s="267" t="s">
        <v>1161</v>
      </c>
      <c r="AA86" s="153">
        <v>6.5000000000000002E-2</v>
      </c>
      <c r="AB86" s="153">
        <v>3.3000000000000002E-2</v>
      </c>
      <c r="AU86" s="612">
        <v>45721</v>
      </c>
      <c r="AV86" s="613">
        <v>585</v>
      </c>
    </row>
    <row r="87" spans="2:48" ht="15" thickBot="1">
      <c r="AU87" s="612">
        <v>45722</v>
      </c>
      <c r="AV87" s="613">
        <v>602</v>
      </c>
    </row>
    <row r="88" spans="2:48" ht="15" thickBot="1">
      <c r="AU88" s="612">
        <v>45723</v>
      </c>
      <c r="AV88" s="613">
        <v>604</v>
      </c>
    </row>
    <row r="89" spans="2:48" ht="21.6" thickBot="1">
      <c r="B89" s="228" t="s">
        <v>177</v>
      </c>
      <c r="AE89" s="615"/>
      <c r="AF89" s="615"/>
      <c r="AG89" s="615"/>
      <c r="AU89" s="612">
        <v>45726</v>
      </c>
      <c r="AV89" s="613">
        <v>602</v>
      </c>
    </row>
    <row r="90" spans="2:48" ht="15" thickBot="1">
      <c r="Z90" t="s">
        <v>395</v>
      </c>
      <c r="AA90">
        <v>2023</v>
      </c>
      <c r="AB90">
        <v>2024</v>
      </c>
      <c r="AC90">
        <v>2025</v>
      </c>
      <c r="AU90" s="612">
        <v>45727</v>
      </c>
      <c r="AV90" s="613">
        <v>597</v>
      </c>
    </row>
    <row r="91" spans="2:48" ht="16.2" thickBot="1">
      <c r="B91" s="139" t="s">
        <v>154</v>
      </c>
      <c r="C91" s="140">
        <v>43525</v>
      </c>
      <c r="D91" s="140">
        <v>43891</v>
      </c>
      <c r="E91" s="140">
        <v>44256</v>
      </c>
      <c r="F91" s="140">
        <v>44621</v>
      </c>
      <c r="G91" s="140">
        <v>44986</v>
      </c>
      <c r="H91" s="140">
        <v>45382</v>
      </c>
      <c r="I91" s="140">
        <v>45717</v>
      </c>
      <c r="O91" s="242"/>
      <c r="Z91" t="s">
        <v>396</v>
      </c>
      <c r="AA91" s="153">
        <v>0.03</v>
      </c>
      <c r="AB91" s="153">
        <v>3.2000000000000001E-2</v>
      </c>
      <c r="AC91" s="153">
        <v>3.1E-2</v>
      </c>
      <c r="AU91" s="612">
        <v>45728</v>
      </c>
      <c r="AV91" s="613">
        <v>595</v>
      </c>
    </row>
    <row r="92" spans="2:48" ht="15" thickBot="1">
      <c r="B92" t="s">
        <v>524</v>
      </c>
      <c r="C92">
        <v>781</v>
      </c>
      <c r="D92">
        <v>842</v>
      </c>
      <c r="E92">
        <v>1009</v>
      </c>
      <c r="F92">
        <v>999</v>
      </c>
      <c r="G92">
        <v>1095</v>
      </c>
      <c r="H92">
        <v>1184</v>
      </c>
      <c r="I92">
        <v>1323</v>
      </c>
      <c r="Z92" t="s">
        <v>397</v>
      </c>
      <c r="AA92" s="153">
        <v>1.4999999999999999E-2</v>
      </c>
      <c r="AB92" s="153">
        <v>1.7999999999999999E-2</v>
      </c>
      <c r="AC92" s="153">
        <v>1.9E-2</v>
      </c>
      <c r="AU92" s="612">
        <v>45729</v>
      </c>
      <c r="AV92" s="613">
        <v>600</v>
      </c>
    </row>
    <row r="93" spans="2:48" ht="16.2" thickBot="1">
      <c r="B93" s="260" t="s">
        <v>566</v>
      </c>
      <c r="C93">
        <v>-115</v>
      </c>
      <c r="D93">
        <v>-167</v>
      </c>
      <c r="E93">
        <v>10</v>
      </c>
      <c r="F93">
        <v>-96</v>
      </c>
      <c r="G93">
        <v>-89</v>
      </c>
      <c r="H93">
        <v>-139</v>
      </c>
      <c r="I93">
        <v>53</v>
      </c>
      <c r="Z93" t="s">
        <v>398</v>
      </c>
      <c r="AA93" s="153">
        <v>0.04</v>
      </c>
      <c r="AB93" s="153">
        <v>4.2000000000000003E-2</v>
      </c>
      <c r="AC93" s="153">
        <v>4.2999999999999997E-2</v>
      </c>
      <c r="AU93" s="612">
        <v>45733</v>
      </c>
      <c r="AV93" s="613">
        <v>601</v>
      </c>
    </row>
    <row r="94" spans="2:48" ht="15" thickBot="1">
      <c r="B94" t="s">
        <v>567</v>
      </c>
      <c r="C94">
        <v>896</v>
      </c>
      <c r="D94">
        <v>1009</v>
      </c>
      <c r="E94">
        <v>999</v>
      </c>
      <c r="F94">
        <v>1095</v>
      </c>
      <c r="G94">
        <v>1184</v>
      </c>
      <c r="H94">
        <v>1323</v>
      </c>
      <c r="I94">
        <v>1270</v>
      </c>
      <c r="Z94" t="s">
        <v>399</v>
      </c>
      <c r="AA94" s="153">
        <v>8.9999999999999993E-3</v>
      </c>
      <c r="AB94" s="153">
        <v>1.4999999999999999E-2</v>
      </c>
      <c r="AC94" s="153">
        <v>1.7000000000000001E-2</v>
      </c>
      <c r="AU94" s="612">
        <v>45734</v>
      </c>
      <c r="AV94" s="613">
        <v>616</v>
      </c>
    </row>
    <row r="95" spans="2:48" ht="15" thickBot="1">
      <c r="Z95" t="s">
        <v>400</v>
      </c>
      <c r="AA95" s="153">
        <v>2.5000000000000001E-2</v>
      </c>
      <c r="AB95" s="153">
        <v>1.9E-2</v>
      </c>
      <c r="AC95" s="153">
        <v>1.7999999999999999E-2</v>
      </c>
      <c r="AU95" s="612">
        <v>45735</v>
      </c>
      <c r="AV95" s="613">
        <v>613</v>
      </c>
    </row>
    <row r="96" spans="2:48" ht="15" thickBot="1">
      <c r="Z96" t="s">
        <v>401</v>
      </c>
      <c r="AA96" s="153">
        <v>1.2E-2</v>
      </c>
      <c r="AB96" s="153">
        <v>8.9999999999999993E-3</v>
      </c>
      <c r="AC96" s="153">
        <v>0.01</v>
      </c>
      <c r="AU96" s="612">
        <v>45736</v>
      </c>
      <c r="AV96" s="613">
        <v>626</v>
      </c>
    </row>
    <row r="97" spans="2:48" ht="15" thickBot="1">
      <c r="Z97" t="s">
        <v>402</v>
      </c>
      <c r="AA97" s="153">
        <v>6.0000000000000001E-3</v>
      </c>
      <c r="AB97" s="153">
        <v>1.2E-2</v>
      </c>
      <c r="AC97" s="162">
        <v>1.2999999999999999E-2</v>
      </c>
      <c r="AU97" s="612">
        <v>45737</v>
      </c>
      <c r="AV97" s="613">
        <v>625</v>
      </c>
    </row>
    <row r="98" spans="2:48" ht="15" thickBot="1">
      <c r="O98" s="242"/>
      <c r="Z98" t="s">
        <v>403</v>
      </c>
      <c r="AA98" s="153">
        <v>5.1999999999999998E-2</v>
      </c>
      <c r="AB98" s="153">
        <v>4.7E-2</v>
      </c>
      <c r="AC98" s="163">
        <v>4.4999999999999998E-2</v>
      </c>
      <c r="AU98" s="612">
        <v>45740</v>
      </c>
      <c r="AV98" s="613">
        <v>627</v>
      </c>
    </row>
    <row r="99" spans="2:48" ht="15" thickBot="1">
      <c r="Z99" t="s">
        <v>382</v>
      </c>
      <c r="AA99" s="153">
        <v>6.5000000000000002E-2</v>
      </c>
      <c r="AB99" s="153">
        <v>6.3E-2</v>
      </c>
      <c r="AC99" s="163">
        <v>6.4000000000000001E-2</v>
      </c>
      <c r="AU99" s="612">
        <v>45741</v>
      </c>
      <c r="AV99" s="613">
        <v>618</v>
      </c>
    </row>
    <row r="100" spans="2:48" ht="15" thickBot="1">
      <c r="AB100" s="158"/>
      <c r="AC100" s="160"/>
      <c r="AU100" s="612">
        <v>45742</v>
      </c>
      <c r="AV100" s="613">
        <v>633</v>
      </c>
    </row>
    <row r="101" spans="2:48" ht="15" thickBot="1">
      <c r="AB101" s="158"/>
      <c r="AC101" s="160"/>
      <c r="AU101" s="612">
        <v>45743</v>
      </c>
      <c r="AV101" s="613">
        <v>643</v>
      </c>
    </row>
    <row r="102" spans="2:48" ht="15" thickBot="1">
      <c r="AA102" s="158"/>
      <c r="AB102" s="158"/>
      <c r="AC102" s="160"/>
      <c r="AU102" s="612">
        <v>45744</v>
      </c>
      <c r="AV102" s="613">
        <v>645</v>
      </c>
    </row>
    <row r="103" spans="2:48" ht="15" thickBot="1">
      <c r="AA103" s="158"/>
      <c r="AB103" s="158"/>
      <c r="AC103" s="160"/>
      <c r="AU103" s="612">
        <v>45748</v>
      </c>
      <c r="AV103" s="613">
        <v>640</v>
      </c>
    </row>
    <row r="104" spans="2:48" ht="15" thickBot="1">
      <c r="AA104" s="158"/>
      <c r="AB104" s="158"/>
      <c r="AC104" s="160"/>
      <c r="AU104" s="612">
        <v>45749</v>
      </c>
      <c r="AV104" s="613">
        <v>650</v>
      </c>
    </row>
    <row r="105" spans="2:48" ht="15" thickBot="1">
      <c r="AB105" s="158"/>
      <c r="AC105" s="160"/>
      <c r="AU105" s="612">
        <v>45750</v>
      </c>
      <c r="AV105" s="613">
        <v>654</v>
      </c>
    </row>
    <row r="106" spans="2:48" ht="15" thickBot="1">
      <c r="AB106" s="158"/>
      <c r="AC106" s="160"/>
      <c r="AU106" s="612">
        <v>45751</v>
      </c>
      <c r="AV106" s="613">
        <v>671</v>
      </c>
    </row>
    <row r="107" spans="2:48" ht="15" thickBot="1">
      <c r="AB107" s="158"/>
      <c r="AC107" s="160"/>
      <c r="AU107" s="612">
        <v>45754</v>
      </c>
      <c r="AV107" s="613">
        <v>656</v>
      </c>
    </row>
    <row r="108" spans="2:48" ht="15" thickBot="1">
      <c r="AB108" s="158"/>
      <c r="AC108" s="160"/>
      <c r="AU108" s="612">
        <v>45755</v>
      </c>
      <c r="AV108" s="613">
        <v>671</v>
      </c>
    </row>
    <row r="109" spans="2:48" ht="15" thickBot="1">
      <c r="AB109" s="158"/>
      <c r="AC109" s="160"/>
      <c r="AU109" s="612">
        <v>45756</v>
      </c>
      <c r="AV109" s="613">
        <v>686</v>
      </c>
    </row>
    <row r="110" spans="2:48" ht="15" thickBot="1">
      <c r="Z110" s="18" t="s">
        <v>1172</v>
      </c>
      <c r="AA110" s="18" t="s">
        <v>539</v>
      </c>
      <c r="AC110" s="160"/>
      <c r="AU110" s="612">
        <v>45758</v>
      </c>
      <c r="AV110" s="613">
        <v>703</v>
      </c>
    </row>
    <row r="111" spans="2:48" ht="25.8" customHeight="1" thickBot="1">
      <c r="Z111" t="s">
        <v>1173</v>
      </c>
      <c r="AA111" s="153">
        <v>0.38</v>
      </c>
      <c r="AU111" s="612">
        <v>45762</v>
      </c>
      <c r="AV111" s="613">
        <v>705</v>
      </c>
    </row>
    <row r="112" spans="2:48" ht="16.2" thickBot="1">
      <c r="B112" s="139" t="s">
        <v>578</v>
      </c>
      <c r="C112" s="140">
        <v>43525</v>
      </c>
      <c r="D112" s="140">
        <v>43891</v>
      </c>
      <c r="E112" s="140">
        <v>44256</v>
      </c>
      <c r="F112" s="140">
        <v>44621</v>
      </c>
      <c r="G112" s="140">
        <v>44986</v>
      </c>
      <c r="H112" s="140">
        <v>45382</v>
      </c>
      <c r="I112" s="140">
        <v>45717</v>
      </c>
      <c r="K112" s="299" t="s">
        <v>650</v>
      </c>
      <c r="L112" s="300">
        <v>2025</v>
      </c>
      <c r="M112" s="300">
        <v>2024</v>
      </c>
      <c r="N112" s="21"/>
      <c r="O112" s="301"/>
      <c r="Z112" t="s">
        <v>1175</v>
      </c>
      <c r="AA112" s="153">
        <v>0.2</v>
      </c>
      <c r="AU112" s="612">
        <v>45763</v>
      </c>
      <c r="AV112" s="613">
        <v>714</v>
      </c>
    </row>
    <row r="113" spans="2:48" ht="16.2" thickBot="1">
      <c r="B113" s="136"/>
      <c r="C113" s="243"/>
      <c r="D113" s="243"/>
      <c r="E113" s="243"/>
      <c r="F113" s="243"/>
      <c r="G113" s="243"/>
      <c r="H113" s="243"/>
      <c r="I113" s="243"/>
      <c r="K113" s="302" t="s">
        <v>554</v>
      </c>
      <c r="L113">
        <v>13</v>
      </c>
      <c r="M113" s="232">
        <v>14</v>
      </c>
      <c r="N113" s="137" t="s">
        <v>650</v>
      </c>
      <c r="O113" s="303">
        <v>700</v>
      </c>
      <c r="Z113" t="s">
        <v>1176</v>
      </c>
      <c r="AA113" s="153">
        <v>0.12</v>
      </c>
      <c r="AU113" s="612">
        <v>45764</v>
      </c>
      <c r="AV113" s="613">
        <v>707</v>
      </c>
    </row>
    <row r="114" spans="2:48" ht="15" thickBot="1">
      <c r="B114" t="s">
        <v>554</v>
      </c>
      <c r="C114" s="244">
        <v>17</v>
      </c>
      <c r="D114" s="244">
        <v>18</v>
      </c>
      <c r="E114" s="244">
        <v>17</v>
      </c>
      <c r="F114" s="244">
        <v>17</v>
      </c>
      <c r="G114" s="244">
        <v>14</v>
      </c>
      <c r="H114" s="244">
        <v>14</v>
      </c>
      <c r="I114">
        <v>13</v>
      </c>
      <c r="K114" s="302" t="s">
        <v>555</v>
      </c>
      <c r="L114">
        <v>272</v>
      </c>
      <c r="M114" s="203">
        <v>269</v>
      </c>
      <c r="N114" t="s">
        <v>180</v>
      </c>
      <c r="O114" s="304">
        <v>209</v>
      </c>
      <c r="Z114" t="s">
        <v>1174</v>
      </c>
      <c r="AA114" s="153">
        <v>0.17</v>
      </c>
      <c r="AU114" s="612">
        <v>45768</v>
      </c>
      <c r="AV114" s="613">
        <v>688</v>
      </c>
    </row>
    <row r="115" spans="2:48" ht="15" thickBot="1">
      <c r="B115" t="s">
        <v>555</v>
      </c>
      <c r="C115" s="244">
        <v>241</v>
      </c>
      <c r="D115" s="244">
        <v>266</v>
      </c>
      <c r="E115" s="244">
        <v>244</v>
      </c>
      <c r="F115" s="244">
        <v>239</v>
      </c>
      <c r="G115" s="244">
        <v>245</v>
      </c>
      <c r="H115" s="244">
        <v>269</v>
      </c>
      <c r="I115">
        <v>269</v>
      </c>
      <c r="K115" s="302" t="s">
        <v>556</v>
      </c>
      <c r="L115">
        <v>395</v>
      </c>
      <c r="M115">
        <v>385</v>
      </c>
      <c r="N115" t="s">
        <v>182</v>
      </c>
      <c r="O115" s="304">
        <v>857</v>
      </c>
      <c r="Z115" t="s">
        <v>1177</v>
      </c>
      <c r="AA115" s="153">
        <v>0.11</v>
      </c>
      <c r="AU115" s="612">
        <v>45769</v>
      </c>
      <c r="AV115" s="613">
        <v>702</v>
      </c>
    </row>
    <row r="116" spans="2:48" ht="15" thickBot="1">
      <c r="B116" t="s">
        <v>556</v>
      </c>
      <c r="C116" s="244">
        <v>236</v>
      </c>
      <c r="D116" s="244">
        <v>286</v>
      </c>
      <c r="E116" s="244">
        <v>282</v>
      </c>
      <c r="F116" s="244">
        <v>315</v>
      </c>
      <c r="G116" s="244">
        <v>344</v>
      </c>
      <c r="H116" s="244">
        <v>385</v>
      </c>
      <c r="I116">
        <v>395</v>
      </c>
      <c r="K116" s="302" t="s">
        <v>557</v>
      </c>
      <c r="L116">
        <v>15</v>
      </c>
      <c r="M116">
        <v>15</v>
      </c>
      <c r="N116" t="s">
        <v>11</v>
      </c>
      <c r="O116" s="304">
        <v>946</v>
      </c>
      <c r="Z116" t="s">
        <v>537</v>
      </c>
      <c r="AA116" s="153">
        <v>0.02</v>
      </c>
      <c r="AU116" s="612">
        <v>45770</v>
      </c>
      <c r="AV116" s="613">
        <v>709</v>
      </c>
    </row>
    <row r="117" spans="2:48" ht="15" thickBot="1">
      <c r="B117" t="s">
        <v>557</v>
      </c>
      <c r="C117" s="244">
        <v>9</v>
      </c>
      <c r="D117" s="244">
        <v>11</v>
      </c>
      <c r="E117" s="244">
        <v>10</v>
      </c>
      <c r="F117" s="244">
        <v>11</v>
      </c>
      <c r="G117" s="244">
        <v>12</v>
      </c>
      <c r="H117" s="244">
        <v>15</v>
      </c>
      <c r="I117">
        <v>15</v>
      </c>
      <c r="K117" s="302" t="s">
        <v>550</v>
      </c>
      <c r="L117">
        <v>3</v>
      </c>
      <c r="O117" s="304">
        <f>SUM(O113:O116)</f>
        <v>2712</v>
      </c>
      <c r="AA117" s="153">
        <f>SUBTOTAL(9,AA111:AA116)</f>
        <v>1</v>
      </c>
      <c r="AU117" s="612">
        <v>45771</v>
      </c>
      <c r="AV117" s="613">
        <v>706</v>
      </c>
    </row>
    <row r="118" spans="2:48" ht="15" thickBot="1">
      <c r="B118" t="s">
        <v>550</v>
      </c>
      <c r="C118" s="244">
        <v>2</v>
      </c>
      <c r="D118" s="244">
        <v>3</v>
      </c>
      <c r="E118" s="244">
        <v>3</v>
      </c>
      <c r="F118" s="244">
        <v>3</v>
      </c>
      <c r="G118" s="244">
        <v>2</v>
      </c>
      <c r="H118" s="244">
        <v>1</v>
      </c>
      <c r="I118">
        <v>3</v>
      </c>
      <c r="K118" s="302" t="s">
        <v>558</v>
      </c>
      <c r="L118">
        <v>9</v>
      </c>
      <c r="M118" s="305"/>
      <c r="N118" s="305"/>
      <c r="O118" s="306"/>
      <c r="Z118" s="153"/>
      <c r="AU118" s="612">
        <v>45772</v>
      </c>
      <c r="AV118" s="613">
        <v>703</v>
      </c>
    </row>
    <row r="119" spans="2:48" ht="15" thickBot="1">
      <c r="B119" t="s">
        <v>558</v>
      </c>
      <c r="C119" s="244">
        <v>4</v>
      </c>
      <c r="D119" s="244">
        <v>4</v>
      </c>
      <c r="E119" s="244">
        <v>4</v>
      </c>
      <c r="F119" s="244">
        <v>5</v>
      </c>
      <c r="G119" s="244">
        <v>6</v>
      </c>
      <c r="H119" s="244">
        <v>8</v>
      </c>
      <c r="I119">
        <v>9</v>
      </c>
      <c r="K119" s="302" t="s">
        <v>559</v>
      </c>
      <c r="L119">
        <v>6</v>
      </c>
      <c r="N119" s="18"/>
      <c r="O119" s="307"/>
      <c r="AU119" s="612">
        <v>45775</v>
      </c>
      <c r="AV119" s="613">
        <v>708</v>
      </c>
    </row>
    <row r="120" spans="2:48" ht="15" thickBot="1">
      <c r="B120" t="s">
        <v>559</v>
      </c>
      <c r="C120" s="244">
        <v>63</v>
      </c>
      <c r="D120" s="244">
        <v>14</v>
      </c>
      <c r="E120" s="244">
        <v>12</v>
      </c>
      <c r="F120" s="244">
        <v>10</v>
      </c>
      <c r="G120" s="244">
        <v>10</v>
      </c>
      <c r="H120" s="244">
        <v>8</v>
      </c>
      <c r="I120">
        <v>6</v>
      </c>
      <c r="K120" s="302"/>
      <c r="O120" s="304"/>
      <c r="AG120" s="157"/>
      <c r="AU120" s="612">
        <v>45776</v>
      </c>
      <c r="AV120" s="613">
        <v>705</v>
      </c>
    </row>
    <row r="121" spans="2:48" ht="15" thickBot="1">
      <c r="B121" s="253" t="s">
        <v>449</v>
      </c>
      <c r="C121" s="262">
        <f t="shared" ref="C121:I121" si="0">SUM(C114:C120)</f>
        <v>572</v>
      </c>
      <c r="D121" s="262">
        <f t="shared" si="0"/>
        <v>602</v>
      </c>
      <c r="E121" s="262">
        <f t="shared" si="0"/>
        <v>572</v>
      </c>
      <c r="F121" s="262">
        <f t="shared" si="0"/>
        <v>600</v>
      </c>
      <c r="G121" s="262">
        <f t="shared" si="0"/>
        <v>633</v>
      </c>
      <c r="H121" s="262">
        <f t="shared" si="0"/>
        <v>700</v>
      </c>
      <c r="I121" s="253">
        <f t="shared" si="0"/>
        <v>710</v>
      </c>
      <c r="K121" s="308" t="s">
        <v>638</v>
      </c>
      <c r="N121" s="18"/>
      <c r="O121" s="307"/>
      <c r="AG121" s="156"/>
      <c r="AH121" s="156"/>
      <c r="AU121" s="612">
        <v>45777</v>
      </c>
      <c r="AV121" s="613">
        <v>703</v>
      </c>
    </row>
    <row r="122" spans="2:48" ht="15" thickBot="1">
      <c r="K122" s="302" t="s">
        <v>639</v>
      </c>
      <c r="L122">
        <v>62</v>
      </c>
      <c r="O122" s="304"/>
      <c r="AG122" s="157"/>
      <c r="AH122" s="206"/>
      <c r="AU122" s="612">
        <v>45779</v>
      </c>
      <c r="AV122" s="613">
        <v>691</v>
      </c>
    </row>
    <row r="123" spans="2:48" ht="16.2" thickBot="1">
      <c r="K123" s="302" t="s">
        <v>546</v>
      </c>
      <c r="L123" s="232">
        <v>115</v>
      </c>
      <c r="M123" s="309"/>
      <c r="N123" s="309"/>
      <c r="O123" s="310"/>
      <c r="Z123" s="18" t="s">
        <v>538</v>
      </c>
      <c r="AA123" s="18" t="s">
        <v>539</v>
      </c>
      <c r="AG123" s="157"/>
      <c r="AH123" s="206"/>
      <c r="AU123" s="612">
        <v>45782</v>
      </c>
      <c r="AV123" s="613">
        <v>716</v>
      </c>
    </row>
    <row r="124" spans="2:48" ht="16.2" thickBot="1">
      <c r="B124" s="139" t="s">
        <v>553</v>
      </c>
      <c r="C124" s="140">
        <v>43525</v>
      </c>
      <c r="D124" s="140">
        <v>43891</v>
      </c>
      <c r="E124" s="140">
        <v>44256</v>
      </c>
      <c r="F124" s="140">
        <v>44621</v>
      </c>
      <c r="G124" s="140">
        <v>44986</v>
      </c>
      <c r="H124" s="140">
        <v>45382</v>
      </c>
      <c r="I124" s="140">
        <v>45717</v>
      </c>
      <c r="K124" s="302" t="s">
        <v>556</v>
      </c>
      <c r="L124">
        <v>13</v>
      </c>
      <c r="O124" s="304"/>
      <c r="Z124" s="157" t="s">
        <v>382</v>
      </c>
      <c r="AA124" s="234">
        <v>0.75</v>
      </c>
      <c r="AG124" s="157"/>
      <c r="AH124" s="157"/>
      <c r="AU124" s="612">
        <v>45783</v>
      </c>
      <c r="AV124" s="613">
        <v>713</v>
      </c>
    </row>
    <row r="125" spans="2:48" ht="16.2" thickBot="1">
      <c r="B125" s="288"/>
      <c r="C125" s="289"/>
      <c r="D125" s="289"/>
      <c r="E125" s="289"/>
      <c r="F125" s="289"/>
      <c r="G125" s="289"/>
      <c r="H125" s="289"/>
      <c r="I125" s="289"/>
      <c r="K125" s="302"/>
      <c r="M125" s="102"/>
      <c r="N125" s="311"/>
      <c r="O125" s="312"/>
      <c r="Z125" s="157" t="s">
        <v>531</v>
      </c>
      <c r="AA125" s="234">
        <v>0.25</v>
      </c>
      <c r="AG125" s="157"/>
      <c r="AH125" s="157"/>
      <c r="AU125" s="612">
        <v>45784</v>
      </c>
      <c r="AV125" s="613">
        <v>728</v>
      </c>
    </row>
    <row r="126" spans="2:48" ht="15" thickBot="1">
      <c r="B126" t="s">
        <v>554</v>
      </c>
      <c r="C126" s="252">
        <f t="shared" ref="C126:H133" si="1">C114/C$121</f>
        <v>2.972027972027972E-2</v>
      </c>
      <c r="D126" s="252">
        <f t="shared" si="1"/>
        <v>2.9900332225913623E-2</v>
      </c>
      <c r="E126" s="252">
        <f t="shared" si="1"/>
        <v>2.972027972027972E-2</v>
      </c>
      <c r="F126" s="252">
        <f t="shared" si="1"/>
        <v>2.8333333333333332E-2</v>
      </c>
      <c r="G126" s="252">
        <f t="shared" si="1"/>
        <v>2.2116903633491312E-2</v>
      </c>
      <c r="H126" s="252">
        <f t="shared" si="1"/>
        <v>0.02</v>
      </c>
      <c r="I126" s="252">
        <f t="shared" ref="I126:I133" si="2">H114/H$121</f>
        <v>0.02</v>
      </c>
      <c r="K126" s="308" t="s">
        <v>640</v>
      </c>
      <c r="M126" s="309"/>
      <c r="N126" s="309"/>
      <c r="O126" s="310"/>
      <c r="AE126" s="18"/>
      <c r="AF126" s="18"/>
      <c r="AG126" s="18"/>
      <c r="AH126" s="157"/>
      <c r="AU126" s="612">
        <v>45785</v>
      </c>
      <c r="AV126" s="613">
        <v>712</v>
      </c>
    </row>
    <row r="127" spans="2:48" ht="15" thickBot="1">
      <c r="B127" t="s">
        <v>555</v>
      </c>
      <c r="C127" s="252">
        <f t="shared" si="1"/>
        <v>0.42132867132867136</v>
      </c>
      <c r="D127" s="252">
        <f t="shared" si="1"/>
        <v>0.44186046511627908</v>
      </c>
      <c r="E127" s="252">
        <f t="shared" si="1"/>
        <v>0.42657342657342656</v>
      </c>
      <c r="F127" s="252">
        <f t="shared" si="1"/>
        <v>0.39833333333333332</v>
      </c>
      <c r="G127" s="252">
        <f t="shared" si="1"/>
        <v>0.38704581358609796</v>
      </c>
      <c r="H127" s="252">
        <f t="shared" si="1"/>
        <v>0.38428571428571429</v>
      </c>
      <c r="I127" s="252">
        <f t="shared" si="2"/>
        <v>0.38428571428571429</v>
      </c>
      <c r="K127" s="302" t="s">
        <v>641</v>
      </c>
      <c r="L127">
        <v>910</v>
      </c>
      <c r="M127" s="309"/>
      <c r="N127" s="309"/>
      <c r="O127" s="310"/>
      <c r="AF127" s="53"/>
      <c r="AG127" s="156"/>
      <c r="AU127" s="612">
        <v>45786</v>
      </c>
      <c r="AV127" s="613">
        <v>716</v>
      </c>
    </row>
    <row r="128" spans="2:48" ht="15" thickBot="1">
      <c r="B128" t="s">
        <v>556</v>
      </c>
      <c r="C128" s="252">
        <f t="shared" si="1"/>
        <v>0.41258741258741261</v>
      </c>
      <c r="D128" s="252">
        <f t="shared" si="1"/>
        <v>0.47508305647840532</v>
      </c>
      <c r="E128" s="252">
        <f t="shared" si="1"/>
        <v>0.49300699300699302</v>
      </c>
      <c r="F128" s="252">
        <f t="shared" si="1"/>
        <v>0.52500000000000002</v>
      </c>
      <c r="G128" s="252">
        <f t="shared" si="1"/>
        <v>0.54344391785150081</v>
      </c>
      <c r="H128" s="252">
        <f t="shared" si="1"/>
        <v>0.55000000000000004</v>
      </c>
      <c r="I128" s="252">
        <f t="shared" si="2"/>
        <v>0.55000000000000004</v>
      </c>
      <c r="K128" s="302" t="s">
        <v>642</v>
      </c>
      <c r="L128">
        <v>16</v>
      </c>
      <c r="M128" s="309"/>
      <c r="N128" s="309"/>
      <c r="O128" s="310"/>
      <c r="AF128" s="53"/>
      <c r="AG128" s="157"/>
      <c r="AU128" s="612">
        <v>45789</v>
      </c>
      <c r="AV128" s="613">
        <v>731</v>
      </c>
    </row>
    <row r="129" spans="2:48" ht="15" thickBot="1">
      <c r="B129" t="s">
        <v>557</v>
      </c>
      <c r="C129" s="252">
        <f t="shared" si="1"/>
        <v>1.5734265734265736E-2</v>
      </c>
      <c r="D129" s="252">
        <f t="shared" si="1"/>
        <v>1.8272425249169437E-2</v>
      </c>
      <c r="E129" s="252">
        <f t="shared" si="1"/>
        <v>1.7482517482517484E-2</v>
      </c>
      <c r="F129" s="252">
        <f t="shared" si="1"/>
        <v>1.8333333333333333E-2</v>
      </c>
      <c r="G129" s="252">
        <f t="shared" si="1"/>
        <v>1.8957345971563982E-2</v>
      </c>
      <c r="H129" s="252">
        <f t="shared" si="1"/>
        <v>2.1428571428571429E-2</v>
      </c>
      <c r="I129" s="252">
        <f t="shared" si="2"/>
        <v>2.1428571428571429E-2</v>
      </c>
      <c r="K129" s="302" t="s">
        <v>643</v>
      </c>
      <c r="L129">
        <v>9</v>
      </c>
      <c r="M129" s="309"/>
      <c r="N129" s="309"/>
      <c r="O129" s="310"/>
      <c r="AF129" s="53"/>
      <c r="AG129" s="157"/>
      <c r="AU129" s="612">
        <v>45790</v>
      </c>
      <c r="AV129" s="613">
        <v>720</v>
      </c>
    </row>
    <row r="130" spans="2:48" ht="15" thickBot="1">
      <c r="B130" t="s">
        <v>550</v>
      </c>
      <c r="C130" s="252">
        <f t="shared" si="1"/>
        <v>3.4965034965034965E-3</v>
      </c>
      <c r="D130" s="252">
        <f t="shared" si="1"/>
        <v>4.9833887043189366E-3</v>
      </c>
      <c r="E130" s="252">
        <f t="shared" si="1"/>
        <v>5.244755244755245E-3</v>
      </c>
      <c r="F130" s="252">
        <f t="shared" si="1"/>
        <v>5.0000000000000001E-3</v>
      </c>
      <c r="G130" s="252">
        <f t="shared" si="1"/>
        <v>3.1595576619273301E-3</v>
      </c>
      <c r="H130" s="252">
        <f t="shared" si="1"/>
        <v>1.4285714285714286E-3</v>
      </c>
      <c r="I130" s="252">
        <f t="shared" si="2"/>
        <v>1.4285714285714286E-3</v>
      </c>
      <c r="K130" s="302" t="s">
        <v>644</v>
      </c>
      <c r="L130">
        <v>12</v>
      </c>
      <c r="M130" s="102"/>
      <c r="N130" s="93"/>
      <c r="O130" s="313"/>
      <c r="AF130" s="53"/>
      <c r="AG130" s="157"/>
      <c r="AU130" s="612">
        <v>45791</v>
      </c>
      <c r="AV130" s="613">
        <v>715</v>
      </c>
    </row>
    <row r="131" spans="2:48" ht="15" thickBot="1">
      <c r="B131" t="s">
        <v>558</v>
      </c>
      <c r="C131" s="252">
        <f t="shared" si="1"/>
        <v>6.993006993006993E-3</v>
      </c>
      <c r="D131" s="252">
        <f t="shared" si="1"/>
        <v>6.6445182724252493E-3</v>
      </c>
      <c r="E131" s="252">
        <f t="shared" si="1"/>
        <v>6.993006993006993E-3</v>
      </c>
      <c r="F131" s="252">
        <f t="shared" si="1"/>
        <v>8.3333333333333332E-3</v>
      </c>
      <c r="G131" s="252">
        <f t="shared" si="1"/>
        <v>9.4786729857819912E-3</v>
      </c>
      <c r="H131" s="252">
        <f t="shared" si="1"/>
        <v>1.1428571428571429E-2</v>
      </c>
      <c r="I131" s="252">
        <f t="shared" si="2"/>
        <v>1.1428571428571429E-2</v>
      </c>
      <c r="K131" s="302"/>
      <c r="M131" s="102"/>
      <c r="N131" s="93"/>
      <c r="O131" s="313"/>
      <c r="AF131" s="53"/>
      <c r="AG131" s="157"/>
      <c r="AU131" s="612">
        <v>45792</v>
      </c>
      <c r="AV131" s="613">
        <v>714</v>
      </c>
    </row>
    <row r="132" spans="2:48" ht="15" thickBot="1">
      <c r="B132" t="s">
        <v>559</v>
      </c>
      <c r="C132" s="252">
        <f t="shared" si="1"/>
        <v>0.11013986013986014</v>
      </c>
      <c r="D132" s="252">
        <f t="shared" si="1"/>
        <v>2.3255813953488372E-2</v>
      </c>
      <c r="E132" s="252">
        <f t="shared" si="1"/>
        <v>2.097902097902098E-2</v>
      </c>
      <c r="F132" s="252">
        <f t="shared" si="1"/>
        <v>1.6666666666666666E-2</v>
      </c>
      <c r="G132" s="252">
        <f t="shared" si="1"/>
        <v>1.579778830963665E-2</v>
      </c>
      <c r="H132" s="252">
        <f t="shared" si="1"/>
        <v>1.1428571428571429E-2</v>
      </c>
      <c r="I132" s="252">
        <f t="shared" si="2"/>
        <v>1.1428571428571429E-2</v>
      </c>
      <c r="K132" s="302" t="s">
        <v>574</v>
      </c>
      <c r="L132" s="314">
        <f>SUM(L113:L130)</f>
        <v>1850</v>
      </c>
      <c r="M132" s="102"/>
      <c r="N132" s="311"/>
      <c r="O132" s="312"/>
      <c r="AU132" s="612">
        <v>45793</v>
      </c>
      <c r="AV132" s="613">
        <v>717</v>
      </c>
    </row>
    <row r="133" spans="2:48" ht="15" thickBot="1">
      <c r="B133" s="253" t="s">
        <v>449</v>
      </c>
      <c r="C133" s="254">
        <f t="shared" si="1"/>
        <v>1</v>
      </c>
      <c r="D133" s="254">
        <f t="shared" si="1"/>
        <v>1</v>
      </c>
      <c r="E133" s="254">
        <f t="shared" si="1"/>
        <v>1</v>
      </c>
      <c r="F133" s="254">
        <f t="shared" si="1"/>
        <v>1</v>
      </c>
      <c r="G133" s="254">
        <f t="shared" si="1"/>
        <v>1</v>
      </c>
      <c r="H133" s="254">
        <f t="shared" si="1"/>
        <v>1</v>
      </c>
      <c r="I133" s="254">
        <f t="shared" si="2"/>
        <v>1</v>
      </c>
      <c r="K133" s="302"/>
      <c r="M133" s="102"/>
      <c r="N133" s="311"/>
      <c r="O133" s="312"/>
      <c r="AU133" s="612">
        <v>45796</v>
      </c>
      <c r="AV133" s="613">
        <v>709</v>
      </c>
    </row>
    <row r="134" spans="2:48" ht="15" thickBot="1">
      <c r="K134" s="302" t="s">
        <v>11</v>
      </c>
      <c r="L134">
        <v>857</v>
      </c>
      <c r="M134" s="309"/>
      <c r="N134" s="250"/>
      <c r="O134" s="315"/>
      <c r="Z134" s="18" t="s">
        <v>538</v>
      </c>
      <c r="AA134" s="18" t="s">
        <v>539</v>
      </c>
      <c r="AU134" s="612">
        <v>45797</v>
      </c>
      <c r="AV134" s="613">
        <v>697</v>
      </c>
    </row>
    <row r="135" spans="2:48" ht="15" thickBot="1">
      <c r="B135" s="18"/>
      <c r="C135" s="255"/>
      <c r="D135" s="255"/>
      <c r="E135" s="255"/>
      <c r="F135" s="255"/>
      <c r="G135" s="255"/>
      <c r="H135" s="255"/>
      <c r="I135" s="255"/>
      <c r="K135" s="302"/>
      <c r="M135" s="309"/>
      <c r="N135" s="309"/>
      <c r="O135" s="310"/>
      <c r="Z135" t="s">
        <v>383</v>
      </c>
      <c r="AA135" s="53">
        <v>0.42</v>
      </c>
      <c r="AU135" s="612">
        <v>45798</v>
      </c>
      <c r="AV135" s="613">
        <v>703</v>
      </c>
    </row>
    <row r="136" spans="2:48" ht="16.2" thickBot="1">
      <c r="B136" s="137" t="s">
        <v>568</v>
      </c>
      <c r="C136" s="255"/>
      <c r="D136" s="255"/>
      <c r="E136" s="255"/>
      <c r="F136" s="255"/>
      <c r="G136" s="255"/>
      <c r="H136" s="255"/>
      <c r="I136" s="255"/>
      <c r="K136" s="316"/>
      <c r="L136" s="164">
        <f>L132+L134</f>
        <v>2707</v>
      </c>
      <c r="M136" s="317">
        <f>'Assumptions Working '!I437-L136</f>
        <v>36</v>
      </c>
      <c r="N136" s="318"/>
      <c r="O136" s="319"/>
      <c r="Z136" t="s">
        <v>536</v>
      </c>
      <c r="AA136" s="53">
        <v>0.2</v>
      </c>
      <c r="AU136" s="612">
        <v>45799</v>
      </c>
      <c r="AV136" s="613">
        <v>691</v>
      </c>
    </row>
    <row r="137" spans="2:48" ht="15" thickBot="1">
      <c r="B137" s="18"/>
      <c r="C137" s="250"/>
      <c r="D137" s="250"/>
      <c r="E137" s="250"/>
      <c r="F137" s="250"/>
      <c r="G137" s="250"/>
      <c r="H137" s="251"/>
      <c r="I137" s="250"/>
      <c r="Z137" t="s">
        <v>534</v>
      </c>
      <c r="AA137" s="53">
        <v>0.18</v>
      </c>
      <c r="AU137" s="612">
        <v>45800</v>
      </c>
      <c r="AV137" s="613">
        <v>694</v>
      </c>
    </row>
    <row r="138" spans="2:48" ht="16.2" thickBot="1">
      <c r="B138" s="139" t="s">
        <v>154</v>
      </c>
      <c r="C138" s="140">
        <v>43525</v>
      </c>
      <c r="D138" s="140">
        <v>43891</v>
      </c>
      <c r="E138" s="140">
        <v>44256</v>
      </c>
      <c r="F138" s="140">
        <v>44621</v>
      </c>
      <c r="G138" s="140">
        <v>44986</v>
      </c>
      <c r="H138" s="140">
        <v>45382</v>
      </c>
      <c r="I138" s="140">
        <v>45717</v>
      </c>
      <c r="Z138" t="s">
        <v>535</v>
      </c>
      <c r="AA138" s="53">
        <v>0.11</v>
      </c>
      <c r="AU138" s="612">
        <v>45803</v>
      </c>
      <c r="AV138" s="613">
        <v>705</v>
      </c>
    </row>
    <row r="139" spans="2:48" ht="15" thickBot="1">
      <c r="B139" t="s">
        <v>572</v>
      </c>
      <c r="C139" s="203">
        <v>69</v>
      </c>
      <c r="D139" s="203">
        <v>57</v>
      </c>
      <c r="E139" s="203">
        <v>252</v>
      </c>
      <c r="F139" s="203">
        <v>335</v>
      </c>
      <c r="G139" s="203">
        <v>593</v>
      </c>
      <c r="H139" s="203">
        <v>980</v>
      </c>
      <c r="I139" s="203">
        <v>999</v>
      </c>
      <c r="Z139" t="s">
        <v>537</v>
      </c>
      <c r="AA139" s="53">
        <v>0.09</v>
      </c>
      <c r="AU139" s="612">
        <v>45804</v>
      </c>
      <c r="AV139" s="613">
        <v>709</v>
      </c>
    </row>
    <row r="140" spans="2:48" ht="15" thickBot="1">
      <c r="B140" t="s">
        <v>573</v>
      </c>
      <c r="C140" s="203">
        <v>-11</v>
      </c>
      <c r="D140" s="203">
        <v>-13</v>
      </c>
      <c r="E140" s="203">
        <v>-16</v>
      </c>
      <c r="F140" s="203">
        <v>-22</v>
      </c>
      <c r="G140" s="203">
        <v>-25</v>
      </c>
      <c r="H140" s="203">
        <v>-33</v>
      </c>
      <c r="I140" s="203">
        <v>-43</v>
      </c>
      <c r="AA140" s="194">
        <f>SUBTOTAL(9,AA135:AA139)</f>
        <v>1</v>
      </c>
      <c r="AU140" s="612">
        <v>45805</v>
      </c>
      <c r="AV140" s="613">
        <v>711</v>
      </c>
    </row>
    <row r="141" spans="2:48" ht="15" thickBot="1">
      <c r="B141" s="264" t="s">
        <v>569</v>
      </c>
      <c r="C141" s="261">
        <v>-3</v>
      </c>
      <c r="D141" s="261">
        <v>-3</v>
      </c>
      <c r="E141" s="261">
        <v>-6</v>
      </c>
      <c r="F141" s="261">
        <v>-7</v>
      </c>
      <c r="G141" s="261">
        <v>-8</v>
      </c>
      <c r="H141" s="261">
        <v>-10</v>
      </c>
      <c r="I141" s="261">
        <v>-10</v>
      </c>
      <c r="AU141" s="612">
        <v>45806</v>
      </c>
      <c r="AV141" s="613">
        <v>716</v>
      </c>
    </row>
    <row r="142" spans="2:48" ht="15" thickBot="1">
      <c r="B142" t="s">
        <v>571</v>
      </c>
      <c r="C142" s="203">
        <f t="shared" ref="C142:I142" si="3">SUM(C139:C141)</f>
        <v>55</v>
      </c>
      <c r="D142" s="203">
        <f t="shared" si="3"/>
        <v>41</v>
      </c>
      <c r="E142" s="203">
        <f t="shared" si="3"/>
        <v>230</v>
      </c>
      <c r="F142" s="203">
        <f t="shared" si="3"/>
        <v>306</v>
      </c>
      <c r="G142" s="203">
        <f t="shared" si="3"/>
        <v>560</v>
      </c>
      <c r="H142" s="203">
        <f t="shared" si="3"/>
        <v>937</v>
      </c>
      <c r="I142" s="203">
        <f t="shared" si="3"/>
        <v>946</v>
      </c>
      <c r="AU142" s="612">
        <v>45807</v>
      </c>
      <c r="AV142" s="613">
        <v>711</v>
      </c>
    </row>
    <row r="143" spans="2:48" ht="15" thickBot="1">
      <c r="B143" s="18" t="s">
        <v>570</v>
      </c>
      <c r="C143" s="203">
        <f>'Balance Sheet'!C12</f>
        <v>503</v>
      </c>
      <c r="D143" s="203">
        <f>'Balance Sheet'!D12</f>
        <v>538</v>
      </c>
      <c r="E143" s="203">
        <f>'Balance Sheet'!E12</f>
        <v>613</v>
      </c>
      <c r="F143" s="203">
        <f>'Balance Sheet'!F12</f>
        <v>654</v>
      </c>
      <c r="G143" s="203">
        <f>'Balance Sheet'!G12</f>
        <v>862</v>
      </c>
      <c r="H143" s="203">
        <f>'Balance Sheet'!H12</f>
        <v>863</v>
      </c>
      <c r="I143" s="203">
        <f>'Balance Sheet'!I12</f>
        <v>857</v>
      </c>
      <c r="AU143" s="612">
        <v>45810</v>
      </c>
      <c r="AV143" s="613">
        <v>697</v>
      </c>
    </row>
    <row r="144" spans="2:48" ht="15" thickBot="1">
      <c r="B144" s="245" t="s">
        <v>574</v>
      </c>
      <c r="C144" s="263">
        <f t="shared" ref="C144:I144" si="4">C143+C142</f>
        <v>558</v>
      </c>
      <c r="D144" s="263">
        <f t="shared" si="4"/>
        <v>579</v>
      </c>
      <c r="E144" s="263">
        <f t="shared" si="4"/>
        <v>843</v>
      </c>
      <c r="F144" s="263">
        <f t="shared" si="4"/>
        <v>960</v>
      </c>
      <c r="G144" s="263">
        <f t="shared" si="4"/>
        <v>1422</v>
      </c>
      <c r="H144" s="263">
        <f t="shared" si="4"/>
        <v>1800</v>
      </c>
      <c r="I144" s="263">
        <f t="shared" si="4"/>
        <v>1803</v>
      </c>
      <c r="K144" s="411"/>
      <c r="AU144" s="612">
        <v>45811</v>
      </c>
      <c r="AV144" s="613">
        <v>696</v>
      </c>
    </row>
    <row r="145" spans="2:48" ht="15" thickBot="1">
      <c r="B145" s="18"/>
      <c r="C145" s="250"/>
      <c r="D145" s="250"/>
      <c r="E145" s="250"/>
      <c r="F145" s="250"/>
      <c r="G145" s="250"/>
      <c r="H145" s="251"/>
      <c r="I145" s="250"/>
      <c r="AU145" s="612">
        <v>45812</v>
      </c>
      <c r="AV145" s="613">
        <v>694</v>
      </c>
    </row>
    <row r="146" spans="2:48" ht="16.2" thickBot="1">
      <c r="B146" s="137" t="s">
        <v>579</v>
      </c>
      <c r="C146" s="250"/>
      <c r="D146" s="250"/>
      <c r="E146" s="250"/>
      <c r="F146" s="250"/>
      <c r="G146" s="250"/>
      <c r="H146" s="251"/>
      <c r="I146" s="250"/>
      <c r="AU146" s="612">
        <v>45813</v>
      </c>
      <c r="AV146" s="613">
        <v>696</v>
      </c>
    </row>
    <row r="147" spans="2:48" ht="15" thickBot="1">
      <c r="B147" s="18"/>
      <c r="C147" s="250"/>
      <c r="D147" s="250"/>
      <c r="E147" s="250"/>
      <c r="F147" s="250"/>
      <c r="G147" s="250"/>
      <c r="H147" s="251"/>
      <c r="I147" s="250"/>
      <c r="AE147" s="156"/>
      <c r="AF147" s="156"/>
      <c r="AG147" s="156"/>
      <c r="AH147" s="156"/>
      <c r="AU147" s="612">
        <v>45814</v>
      </c>
      <c r="AV147" s="613">
        <v>692</v>
      </c>
    </row>
    <row r="148" spans="2:48" ht="16.2" thickBot="1">
      <c r="B148" s="139" t="s">
        <v>154</v>
      </c>
      <c r="C148" s="140">
        <v>43525</v>
      </c>
      <c r="D148" s="140">
        <v>43891</v>
      </c>
      <c r="E148" s="140">
        <v>44256</v>
      </c>
      <c r="F148" s="140">
        <v>44621</v>
      </c>
      <c r="G148" s="140">
        <v>44986</v>
      </c>
      <c r="H148" s="140">
        <v>45382</v>
      </c>
      <c r="I148" s="140">
        <v>45717</v>
      </c>
      <c r="AE148" s="157"/>
      <c r="AF148" s="615"/>
      <c r="AG148" s="615"/>
      <c r="AH148" s="615"/>
      <c r="AU148" s="612">
        <v>45817</v>
      </c>
      <c r="AV148" s="613">
        <v>697</v>
      </c>
    </row>
    <row r="149" spans="2:48" ht="15" thickBot="1">
      <c r="B149" t="s">
        <v>572</v>
      </c>
      <c r="C149" s="203">
        <v>248</v>
      </c>
      <c r="D149" s="203">
        <v>262</v>
      </c>
      <c r="E149" s="203">
        <v>322</v>
      </c>
      <c r="F149" s="203">
        <v>345</v>
      </c>
      <c r="G149" s="203">
        <v>354</v>
      </c>
      <c r="H149" s="203">
        <v>396</v>
      </c>
      <c r="I149" s="203">
        <v>388</v>
      </c>
      <c r="AE149" s="157"/>
      <c r="AF149" s="615"/>
      <c r="AG149" s="615"/>
      <c r="AH149" s="615"/>
      <c r="AU149" s="612">
        <v>45818</v>
      </c>
      <c r="AV149" s="613">
        <v>690</v>
      </c>
    </row>
    <row r="150" spans="2:48" ht="15" thickBot="1">
      <c r="B150" t="s">
        <v>573</v>
      </c>
      <c r="C150" s="203">
        <v>-60</v>
      </c>
      <c r="D150" s="203">
        <v>-79</v>
      </c>
      <c r="E150" s="203">
        <v>-104</v>
      </c>
      <c r="F150" s="203">
        <v>-127</v>
      </c>
      <c r="G150" s="203">
        <v>-135</v>
      </c>
      <c r="H150" s="203">
        <v>-139</v>
      </c>
      <c r="I150" s="203">
        <v>-105</v>
      </c>
      <c r="AE150" s="157"/>
      <c r="AF150" s="615"/>
      <c r="AG150" s="615"/>
      <c r="AH150" s="615"/>
      <c r="AU150" s="612">
        <v>45819</v>
      </c>
      <c r="AV150" s="613">
        <v>694</v>
      </c>
    </row>
    <row r="151" spans="2:48" ht="29.4" thickBot="1">
      <c r="B151" s="264" t="s">
        <v>569</v>
      </c>
      <c r="C151" s="261">
        <v>-35</v>
      </c>
      <c r="D151" s="261">
        <v>-37</v>
      </c>
      <c r="E151" s="261">
        <v>-38</v>
      </c>
      <c r="F151" s="261">
        <v>-40</v>
      </c>
      <c r="G151" s="261">
        <v>-44</v>
      </c>
      <c r="H151" s="261">
        <v>-48</v>
      </c>
      <c r="I151" s="261">
        <v>-53</v>
      </c>
      <c r="Z151" s="156" t="s">
        <v>526</v>
      </c>
      <c r="AA151" s="156" t="s">
        <v>1152</v>
      </c>
      <c r="AB151" s="156" t="s">
        <v>1153</v>
      </c>
      <c r="AC151" s="156" t="s">
        <v>1154</v>
      </c>
      <c r="AE151" s="157"/>
      <c r="AF151" s="615"/>
      <c r="AG151" s="615"/>
      <c r="AH151" s="615"/>
      <c r="AU151" s="612">
        <v>45820</v>
      </c>
      <c r="AV151" s="613">
        <v>685</v>
      </c>
    </row>
    <row r="152" spans="2:48" ht="15" thickBot="1">
      <c r="B152" s="245" t="s">
        <v>571</v>
      </c>
      <c r="C152" s="263">
        <f t="shared" ref="C152:I152" si="5">SUM(C149:C151)</f>
        <v>153</v>
      </c>
      <c r="D152" s="263">
        <f t="shared" si="5"/>
        <v>146</v>
      </c>
      <c r="E152" s="263">
        <f t="shared" si="5"/>
        <v>180</v>
      </c>
      <c r="F152" s="263">
        <f t="shared" si="5"/>
        <v>178</v>
      </c>
      <c r="G152" s="263">
        <f t="shared" si="5"/>
        <v>175</v>
      </c>
      <c r="H152" s="263">
        <f t="shared" si="5"/>
        <v>209</v>
      </c>
      <c r="I152" s="263">
        <f t="shared" si="5"/>
        <v>230</v>
      </c>
      <c r="Z152" s="157" t="s">
        <v>1155</v>
      </c>
      <c r="AA152" s="615">
        <v>0.03</v>
      </c>
      <c r="AB152" s="615">
        <v>2.9000000000000001E-2</v>
      </c>
      <c r="AC152" s="615">
        <v>0.03</v>
      </c>
      <c r="AE152" s="157"/>
      <c r="AF152" s="615"/>
      <c r="AG152" s="615"/>
      <c r="AH152" s="615"/>
      <c r="AU152" s="612">
        <v>45821</v>
      </c>
      <c r="AV152" s="613">
        <v>684</v>
      </c>
    </row>
    <row r="153" spans="2:48" ht="15" thickBot="1">
      <c r="Z153" s="157" t="s">
        <v>1157</v>
      </c>
      <c r="AA153" s="615">
        <v>1.4999999999999999E-2</v>
      </c>
      <c r="AB153" s="615">
        <v>1.7999999999999999E-2</v>
      </c>
      <c r="AC153" s="615">
        <v>2.3E-2</v>
      </c>
      <c r="AE153" s="157"/>
      <c r="AF153" s="615"/>
      <c r="AG153" s="615"/>
      <c r="AH153" s="615"/>
      <c r="AU153" s="612">
        <v>45824</v>
      </c>
      <c r="AV153" s="613">
        <v>684</v>
      </c>
    </row>
    <row r="154" spans="2:48" ht="15" thickBot="1">
      <c r="Z154" s="157" t="s">
        <v>1156</v>
      </c>
      <c r="AA154" s="615">
        <v>4.2999999999999997E-2</v>
      </c>
      <c r="AB154" s="615">
        <v>0.04</v>
      </c>
      <c r="AC154" s="615">
        <v>3.7999999999999999E-2</v>
      </c>
      <c r="AE154" s="157"/>
      <c r="AF154" s="615"/>
      <c r="AG154" s="615"/>
      <c r="AH154" s="615"/>
      <c r="AU154" s="612">
        <v>45825</v>
      </c>
      <c r="AV154" s="613">
        <v>681</v>
      </c>
    </row>
    <row r="155" spans="2:48" ht="15" thickBot="1">
      <c r="Z155" s="157" t="s">
        <v>959</v>
      </c>
      <c r="AA155" s="615">
        <v>1.9E-2</v>
      </c>
      <c r="AB155" s="615">
        <v>0.02</v>
      </c>
      <c r="AC155" s="615">
        <v>2.1999999999999999E-2</v>
      </c>
      <c r="AE155" s="157"/>
      <c r="AF155" s="615"/>
      <c r="AG155" s="615"/>
      <c r="AH155" s="615"/>
      <c r="AU155" s="612">
        <v>45826</v>
      </c>
      <c r="AV155" s="613">
        <v>683</v>
      </c>
    </row>
    <row r="156" spans="2:48" ht="15" thickBot="1">
      <c r="Z156" s="157" t="s">
        <v>399</v>
      </c>
      <c r="AA156" s="615">
        <v>1.0999999999999999E-2</v>
      </c>
      <c r="AB156" s="615">
        <v>1.4E-2</v>
      </c>
      <c r="AC156" s="615">
        <v>0.02</v>
      </c>
      <c r="AE156" s="157"/>
      <c r="AF156" s="615"/>
      <c r="AG156" s="615"/>
      <c r="AH156" s="615"/>
      <c r="AU156" s="612">
        <v>45827</v>
      </c>
      <c r="AV156" s="613">
        <v>684</v>
      </c>
    </row>
    <row r="157" spans="2:48" ht="15" thickBot="1">
      <c r="Z157" s="157" t="s">
        <v>958</v>
      </c>
      <c r="AA157" s="615">
        <v>1.4E-2</v>
      </c>
      <c r="AB157" s="615">
        <v>1.0999999999999999E-2</v>
      </c>
      <c r="AC157" s="615">
        <v>1.7999999999999999E-2</v>
      </c>
      <c r="AU157" s="612">
        <v>45828</v>
      </c>
      <c r="AV157" s="613">
        <v>686</v>
      </c>
    </row>
    <row r="158" spans="2:48" ht="15" thickBot="1">
      <c r="Z158" s="157" t="s">
        <v>401</v>
      </c>
      <c r="AA158" s="615">
        <v>0.01</v>
      </c>
      <c r="AB158" s="615">
        <v>6.0000000000000001E-3</v>
      </c>
      <c r="AC158" s="615">
        <v>6.0000000000000001E-3</v>
      </c>
      <c r="AU158" s="612">
        <v>45831</v>
      </c>
      <c r="AV158" s="613">
        <v>687</v>
      </c>
    </row>
    <row r="159" spans="2:48" ht="15" thickBot="1">
      <c r="Z159" s="157" t="s">
        <v>403</v>
      </c>
      <c r="AA159" s="615">
        <v>4.9000000000000002E-2</v>
      </c>
      <c r="AB159" s="615">
        <v>4.2999999999999997E-2</v>
      </c>
      <c r="AC159" s="615">
        <v>3.6999999999999998E-2</v>
      </c>
      <c r="AU159" s="612">
        <v>45832</v>
      </c>
      <c r="AV159" s="613">
        <v>696</v>
      </c>
    </row>
    <row r="160" spans="2:48" ht="15" thickBot="1">
      <c r="Z160" s="157" t="s">
        <v>382</v>
      </c>
      <c r="AA160" s="615">
        <v>6.4000000000000001E-2</v>
      </c>
      <c r="AB160" s="615">
        <v>6.2E-2</v>
      </c>
      <c r="AC160" s="615">
        <v>0.06</v>
      </c>
      <c r="AU160" s="612">
        <v>45833</v>
      </c>
      <c r="AV160" s="613">
        <v>697</v>
      </c>
    </row>
    <row r="161" spans="27:48" ht="15" thickBot="1">
      <c r="AU161" s="612">
        <v>45834</v>
      </c>
      <c r="AV161" s="613">
        <v>719</v>
      </c>
    </row>
    <row r="162" spans="27:48" ht="15" thickBot="1">
      <c r="AU162" s="612">
        <v>45838</v>
      </c>
      <c r="AV162" s="613">
        <v>715</v>
      </c>
    </row>
    <row r="163" spans="27:48" ht="15" thickBot="1">
      <c r="AU163" s="612">
        <v>45839</v>
      </c>
      <c r="AV163" s="613">
        <v>710</v>
      </c>
    </row>
    <row r="164" spans="27:48" ht="15" thickBot="1">
      <c r="AU164" s="612">
        <v>45840</v>
      </c>
      <c r="AV164" s="613">
        <v>705</v>
      </c>
    </row>
    <row r="165" spans="27:48" ht="15" thickBot="1">
      <c r="AU165" s="612">
        <v>45841</v>
      </c>
      <c r="AV165" s="613">
        <v>707</v>
      </c>
    </row>
    <row r="166" spans="27:48" ht="15" thickBot="1">
      <c r="AU166" s="612">
        <v>45842</v>
      </c>
      <c r="AV166" s="613">
        <v>722</v>
      </c>
    </row>
    <row r="167" spans="27:48" ht="15" thickBot="1">
      <c r="AU167" s="612">
        <v>45845</v>
      </c>
      <c r="AV167" s="613">
        <v>722</v>
      </c>
    </row>
    <row r="168" spans="27:48" ht="15" thickBot="1">
      <c r="AU168" s="612">
        <v>45846</v>
      </c>
      <c r="AV168" s="613">
        <v>720</v>
      </c>
    </row>
    <row r="169" spans="27:48" ht="15" thickBot="1">
      <c r="AU169" s="612">
        <v>45847</v>
      </c>
      <c r="AV169" s="613">
        <v>723</v>
      </c>
    </row>
    <row r="170" spans="27:48" ht="15" thickBot="1">
      <c r="AA170" s="156" t="s">
        <v>373</v>
      </c>
      <c r="AB170" s="156" t="s">
        <v>1163</v>
      </c>
      <c r="AU170" s="612">
        <v>45848</v>
      </c>
      <c r="AV170" s="613">
        <v>720</v>
      </c>
    </row>
    <row r="171" spans="27:48" ht="15" thickBot="1">
      <c r="AA171" s="157">
        <v>2024</v>
      </c>
      <c r="AB171" s="157">
        <v>245.39</v>
      </c>
      <c r="AU171" s="612">
        <v>45849</v>
      </c>
      <c r="AV171" s="613">
        <v>719</v>
      </c>
    </row>
    <row r="172" spans="27:48" ht="15" thickBot="1">
      <c r="AA172" s="157">
        <v>2025</v>
      </c>
      <c r="AB172" s="617">
        <v>287.92</v>
      </c>
      <c r="AU172" s="612">
        <v>45852</v>
      </c>
      <c r="AV172" s="613">
        <v>721</v>
      </c>
    </row>
    <row r="173" spans="27:48" ht="15" thickBot="1">
      <c r="AA173" s="157">
        <v>2026</v>
      </c>
      <c r="AB173" s="617">
        <v>337.81</v>
      </c>
      <c r="AU173" s="612">
        <v>45853</v>
      </c>
      <c r="AV173" s="613">
        <v>733</v>
      </c>
    </row>
    <row r="174" spans="27:48" ht="15" thickBot="1">
      <c r="AA174" s="157">
        <v>2027</v>
      </c>
      <c r="AB174" s="617">
        <v>396.35</v>
      </c>
      <c r="AU174" s="612">
        <v>45854</v>
      </c>
      <c r="AV174" s="613">
        <v>724</v>
      </c>
    </row>
    <row r="175" spans="27:48" ht="15" thickBot="1">
      <c r="AA175" s="157">
        <v>2028</v>
      </c>
      <c r="AB175" s="617">
        <v>465.04</v>
      </c>
      <c r="AU175" s="612">
        <v>45855</v>
      </c>
      <c r="AV175" s="613">
        <v>726</v>
      </c>
    </row>
    <row r="176" spans="27:48" ht="15" thickBot="1">
      <c r="AA176" s="157">
        <v>2029</v>
      </c>
      <c r="AB176" s="617">
        <v>545.63</v>
      </c>
      <c r="AU176" s="612">
        <v>45856</v>
      </c>
      <c r="AV176" s="613">
        <v>713</v>
      </c>
    </row>
    <row r="177" spans="1:48" ht="15" thickBot="1">
      <c r="AA177" s="157">
        <v>2030</v>
      </c>
      <c r="AB177" s="617">
        <v>640.19000000000005</v>
      </c>
      <c r="AU177" s="612">
        <v>45859</v>
      </c>
      <c r="AV177" s="613">
        <v>711</v>
      </c>
    </row>
    <row r="178" spans="1:48" ht="15" thickBot="1">
      <c r="AA178" s="157">
        <v>2031</v>
      </c>
      <c r="AB178" s="617">
        <v>751.14</v>
      </c>
      <c r="AU178" s="612">
        <v>45860</v>
      </c>
      <c r="AV178" s="613">
        <v>709</v>
      </c>
    </row>
    <row r="179" spans="1:48" ht="15" thickBot="1">
      <c r="AA179" s="157">
        <v>2032</v>
      </c>
      <c r="AB179" s="617">
        <v>881.31</v>
      </c>
      <c r="AU179" s="612">
        <v>45861</v>
      </c>
      <c r="AV179" s="613">
        <v>713</v>
      </c>
    </row>
    <row r="180" spans="1:48" ht="15" thickBot="1">
      <c r="AA180" s="157">
        <v>2033</v>
      </c>
      <c r="AB180" s="617">
        <v>1034.04</v>
      </c>
      <c r="AU180" s="612">
        <v>45862</v>
      </c>
      <c r="AV180" s="613">
        <v>699</v>
      </c>
    </row>
    <row r="181" spans="1:48" ht="15" thickBot="1">
      <c r="AU181" s="612">
        <v>45863</v>
      </c>
      <c r="AV181" s="613">
        <v>687</v>
      </c>
    </row>
    <row r="182" spans="1:48" ht="15" thickBot="1">
      <c r="AU182" s="612">
        <v>45866</v>
      </c>
      <c r="AV182" s="613">
        <v>692</v>
      </c>
    </row>
    <row r="183" spans="1:48" ht="15" thickBot="1">
      <c r="AU183" s="612">
        <v>45867</v>
      </c>
      <c r="AV183" s="613">
        <v>690</v>
      </c>
    </row>
    <row r="184" spans="1:48" ht="15" thickBot="1">
      <c r="AU184" s="612">
        <v>45868</v>
      </c>
      <c r="AV184" s="613">
        <v>696</v>
      </c>
    </row>
    <row r="185" spans="1:48" ht="15" thickBot="1">
      <c r="AU185" s="612">
        <v>45869</v>
      </c>
      <c r="AV185" s="613">
        <v>702</v>
      </c>
    </row>
    <row r="186" spans="1:48" ht="15" hidden="1" thickBot="1">
      <c r="AU186" s="612">
        <v>45870</v>
      </c>
      <c r="AV186" s="614"/>
    </row>
    <row r="187" spans="1:48" ht="15" thickBot="1">
      <c r="AU187" s="612">
        <v>45870</v>
      </c>
      <c r="AV187" s="613">
        <v>710</v>
      </c>
    </row>
    <row r="188" spans="1:48" ht="15" thickBot="1">
      <c r="AB188" t="s">
        <v>1164</v>
      </c>
      <c r="AU188" s="612">
        <v>45873</v>
      </c>
      <c r="AV188" s="613">
        <v>723</v>
      </c>
    </row>
    <row r="189" spans="1:48" ht="15" thickBot="1">
      <c r="AA189" t="s">
        <v>1165</v>
      </c>
      <c r="AB189" s="53">
        <v>0.55000000000000004</v>
      </c>
      <c r="AU189" s="612">
        <v>45874</v>
      </c>
      <c r="AV189" s="613">
        <v>717</v>
      </c>
    </row>
    <row r="190" spans="1:48" ht="21.6" thickBot="1">
      <c r="A190" s="395" t="s">
        <v>21</v>
      </c>
      <c r="B190" s="228" t="s">
        <v>188</v>
      </c>
      <c r="AA190" t="s">
        <v>1166</v>
      </c>
      <c r="AB190" s="53">
        <v>0.45</v>
      </c>
      <c r="AU190" s="612">
        <v>45875</v>
      </c>
      <c r="AV190" s="613">
        <v>715</v>
      </c>
    </row>
    <row r="191" spans="1:48" ht="15" thickBot="1">
      <c r="AU191" s="612">
        <v>45876</v>
      </c>
      <c r="AV191" s="613">
        <v>718</v>
      </c>
    </row>
    <row r="192" spans="1:48" ht="16.2" thickBot="1">
      <c r="B192" s="139" t="s">
        <v>154</v>
      </c>
      <c r="C192" s="140">
        <v>43525</v>
      </c>
      <c r="D192" s="140">
        <v>43891</v>
      </c>
      <c r="E192" s="140">
        <v>44256</v>
      </c>
      <c r="F192" s="140">
        <v>44621</v>
      </c>
      <c r="G192" s="140">
        <v>44986</v>
      </c>
      <c r="H192" s="140">
        <v>45382</v>
      </c>
      <c r="I192" s="140">
        <v>45717</v>
      </c>
      <c r="AU192" s="612">
        <v>45877</v>
      </c>
      <c r="AV192" s="613">
        <v>704</v>
      </c>
    </row>
    <row r="193" spans="2:48" ht="15" thickBot="1">
      <c r="B193" t="s">
        <v>607</v>
      </c>
      <c r="C193" s="46">
        <v>7334</v>
      </c>
      <c r="D193" s="46">
        <v>7315</v>
      </c>
      <c r="E193" s="46">
        <v>8048</v>
      </c>
      <c r="F193" s="46">
        <v>9512</v>
      </c>
      <c r="G193" s="46">
        <v>9764</v>
      </c>
      <c r="H193" s="46">
        <v>9653</v>
      </c>
      <c r="I193" s="46">
        <v>10831</v>
      </c>
      <c r="AU193" s="612">
        <v>45880</v>
      </c>
      <c r="AV193" s="613">
        <v>708</v>
      </c>
    </row>
    <row r="194" spans="2:48" ht="15" thickBot="1">
      <c r="B194" t="s">
        <v>188</v>
      </c>
      <c r="C194" s="109">
        <v>39</v>
      </c>
      <c r="D194" s="109">
        <v>45</v>
      </c>
      <c r="E194" s="130">
        <v>55</v>
      </c>
      <c r="F194" s="109">
        <v>57</v>
      </c>
      <c r="G194" s="109">
        <v>67</v>
      </c>
      <c r="H194" s="109">
        <v>95</v>
      </c>
      <c r="I194" s="109">
        <v>108</v>
      </c>
      <c r="AU194" s="612">
        <v>45881</v>
      </c>
      <c r="AV194" s="613">
        <v>705</v>
      </c>
    </row>
    <row r="195" spans="2:48" ht="15" thickBot="1">
      <c r="C195" s="203"/>
      <c r="D195" s="203"/>
      <c r="E195" s="203"/>
      <c r="F195" s="203"/>
      <c r="G195" s="203"/>
      <c r="H195" s="203"/>
      <c r="I195" s="203"/>
      <c r="AU195" s="612">
        <v>45882</v>
      </c>
      <c r="AV195" s="613">
        <v>711</v>
      </c>
    </row>
    <row r="196" spans="2:48" ht="15" thickBot="1">
      <c r="B196" s="16" t="s">
        <v>659</v>
      </c>
      <c r="C196" s="34">
        <f t="shared" ref="C196:I196" si="6">C194/C193</f>
        <v>5.3176983910553583E-3</v>
      </c>
      <c r="D196" s="34">
        <f t="shared" si="6"/>
        <v>6.1517429938482571E-3</v>
      </c>
      <c r="E196" s="34">
        <f t="shared" si="6"/>
        <v>6.8339960238568585E-3</v>
      </c>
      <c r="F196" s="34">
        <f t="shared" si="6"/>
        <v>5.9924306139613123E-3</v>
      </c>
      <c r="G196" s="34">
        <f t="shared" si="6"/>
        <v>6.8619418271200329E-3</v>
      </c>
      <c r="H196" s="34">
        <f t="shared" si="6"/>
        <v>9.841500051797368E-3</v>
      </c>
      <c r="I196" s="34">
        <f t="shared" si="6"/>
        <v>9.9713784507432374E-3</v>
      </c>
      <c r="AU196" s="612">
        <v>45883</v>
      </c>
      <c r="AV196" s="613">
        <v>711</v>
      </c>
    </row>
    <row r="197" spans="2:48" ht="15" thickBot="1">
      <c r="AU197" s="612">
        <v>45887</v>
      </c>
      <c r="AV197" s="613">
        <v>720</v>
      </c>
    </row>
    <row r="198" spans="2:48" ht="15" thickBot="1">
      <c r="AU198" s="612">
        <v>45888</v>
      </c>
      <c r="AV198" s="613">
        <v>728</v>
      </c>
    </row>
    <row r="199" spans="2:48" ht="15" thickBot="1">
      <c r="AU199" s="612">
        <v>45889</v>
      </c>
      <c r="AV199" s="613">
        <v>752</v>
      </c>
    </row>
    <row r="200" spans="2:48" ht="15" thickBot="1">
      <c r="AU200" s="612">
        <v>45890</v>
      </c>
      <c r="AV200" s="613">
        <v>739</v>
      </c>
    </row>
    <row r="201" spans="2:48" ht="15" thickBot="1">
      <c r="AU201" s="612">
        <v>45891</v>
      </c>
      <c r="AV201" s="613">
        <v>731</v>
      </c>
    </row>
    <row r="202" spans="2:48" ht="15" thickBot="1">
      <c r="AU202" s="612">
        <v>45894</v>
      </c>
      <c r="AV202" s="613">
        <v>722</v>
      </c>
    </row>
    <row r="203" spans="2:48" ht="15" thickBot="1">
      <c r="AU203" s="612">
        <v>45895</v>
      </c>
      <c r="AV203" s="613">
        <v>719</v>
      </c>
    </row>
    <row r="204" spans="2:48" ht="15" thickBot="1">
      <c r="AU204" s="612">
        <v>45897</v>
      </c>
      <c r="AV204" s="613">
        <v>712</v>
      </c>
    </row>
    <row r="205" spans="2:48" ht="15" thickBot="1">
      <c r="AA205" s="156" t="s">
        <v>1167</v>
      </c>
      <c r="AB205" t="s">
        <v>1169</v>
      </c>
      <c r="AU205" s="612">
        <v>45898</v>
      </c>
      <c r="AV205" s="613">
        <v>726</v>
      </c>
    </row>
    <row r="206" spans="2:48" ht="18.600000000000001" thickBot="1">
      <c r="AA206" s="618" t="s">
        <v>313</v>
      </c>
      <c r="AB206" s="53">
        <v>0.55000000000000004</v>
      </c>
      <c r="AU206" s="612">
        <v>45901</v>
      </c>
      <c r="AV206" s="613">
        <v>731</v>
      </c>
    </row>
    <row r="207" spans="2:48" ht="16.2" thickBot="1">
      <c r="AA207" s="619" t="s">
        <v>1170</v>
      </c>
      <c r="AB207" s="53">
        <v>0.25</v>
      </c>
      <c r="AU207" s="612">
        <v>45902</v>
      </c>
      <c r="AV207" s="613">
        <v>742</v>
      </c>
    </row>
    <row r="208" spans="2:48" ht="16.2" thickBot="1">
      <c r="AA208" s="619" t="s">
        <v>391</v>
      </c>
      <c r="AB208" s="53">
        <v>0.15</v>
      </c>
      <c r="AU208" s="612">
        <v>45903</v>
      </c>
      <c r="AV208" s="613">
        <v>735</v>
      </c>
    </row>
    <row r="209" spans="27:48" ht="18.600000000000001" thickBot="1">
      <c r="AA209" s="618" t="s">
        <v>1168</v>
      </c>
      <c r="AB209" s="53">
        <v>0.05</v>
      </c>
      <c r="AU209" s="612">
        <v>45904</v>
      </c>
      <c r="AV209" s="613">
        <v>739</v>
      </c>
    </row>
    <row r="210" spans="27:48" ht="15" thickBot="1">
      <c r="AU210" s="612">
        <v>45905</v>
      </c>
      <c r="AV210" s="613">
        <v>732</v>
      </c>
    </row>
    <row r="211" spans="27:48" ht="15" thickBot="1">
      <c r="AU211" s="612">
        <v>45908</v>
      </c>
      <c r="AV211" s="613">
        <v>731</v>
      </c>
    </row>
    <row r="212" spans="27:48" ht="15" thickBot="1">
      <c r="AU212" s="612">
        <v>45909</v>
      </c>
      <c r="AV212" s="613">
        <v>732</v>
      </c>
    </row>
    <row r="213" spans="27:48" ht="15" thickBot="1">
      <c r="AU213" s="612">
        <v>45910</v>
      </c>
      <c r="AV213" s="613">
        <v>735</v>
      </c>
    </row>
    <row r="214" spans="27:48" ht="15" thickBot="1">
      <c r="AU214" s="612">
        <v>45911</v>
      </c>
      <c r="AV214" s="613">
        <v>734</v>
      </c>
    </row>
    <row r="215" spans="27:48" ht="15" thickBot="1">
      <c r="AU215" s="612">
        <v>45912</v>
      </c>
      <c r="AV215" s="613">
        <v>735</v>
      </c>
    </row>
    <row r="216" spans="27:48" ht="15" thickBot="1">
      <c r="AU216" s="612">
        <v>45915</v>
      </c>
      <c r="AV216" s="613">
        <v>727</v>
      </c>
    </row>
    <row r="217" spans="27:48" ht="15" thickBot="1">
      <c r="AA217" t="s">
        <v>373</v>
      </c>
      <c r="AB217" t="s">
        <v>1171</v>
      </c>
      <c r="AU217" s="612">
        <v>45916</v>
      </c>
      <c r="AV217" s="613">
        <v>724</v>
      </c>
    </row>
    <row r="218" spans="27:48" ht="15" thickBot="1">
      <c r="AA218">
        <v>2019</v>
      </c>
      <c r="AB218">
        <v>2.11</v>
      </c>
      <c r="AU218" s="612">
        <v>45917</v>
      </c>
      <c r="AV218" s="613">
        <v>712</v>
      </c>
    </row>
    <row r="219" spans="27:48" ht="15" thickBot="1">
      <c r="AA219">
        <f>AA218+1</f>
        <v>2020</v>
      </c>
      <c r="AB219">
        <v>1.93</v>
      </c>
      <c r="AF219" s="194"/>
      <c r="AU219" s="612">
        <v>45918</v>
      </c>
      <c r="AV219" s="613">
        <v>719</v>
      </c>
    </row>
    <row r="220" spans="27:48" ht="15" thickBot="1">
      <c r="AA220">
        <f t="shared" ref="AA220:AA228" si="7">AA219+1</f>
        <v>2021</v>
      </c>
      <c r="AB220">
        <v>2.2799999999999998</v>
      </c>
      <c r="AU220" s="612">
        <v>45919</v>
      </c>
      <c r="AV220" s="613">
        <v>721</v>
      </c>
    </row>
    <row r="221" spans="27:48" ht="15" thickBot="1">
      <c r="AA221">
        <f t="shared" si="7"/>
        <v>2022</v>
      </c>
      <c r="AB221">
        <v>2.41</v>
      </c>
      <c r="AU221" s="612">
        <v>45922</v>
      </c>
      <c r="AV221" s="613">
        <v>717</v>
      </c>
    </row>
    <row r="222" spans="27:48" ht="15" thickBot="1">
      <c r="AA222">
        <f t="shared" si="7"/>
        <v>2023</v>
      </c>
      <c r="AB222">
        <v>2.54</v>
      </c>
      <c r="AU222" s="612">
        <v>45923</v>
      </c>
      <c r="AV222" s="613">
        <v>706</v>
      </c>
    </row>
    <row r="223" spans="27:48" ht="15" thickBot="1">
      <c r="AA223">
        <f t="shared" si="7"/>
        <v>2024</v>
      </c>
      <c r="AB223">
        <v>2.77</v>
      </c>
      <c r="AE223" s="150"/>
      <c r="AG223" s="53"/>
      <c r="AU223" s="612">
        <v>45924</v>
      </c>
      <c r="AV223" s="613">
        <v>708</v>
      </c>
    </row>
    <row r="224" spans="27:48" ht="15" thickBot="1">
      <c r="AA224" s="155">
        <f t="shared" si="7"/>
        <v>2025</v>
      </c>
      <c r="AB224">
        <v>3.03</v>
      </c>
      <c r="AE224" s="150"/>
      <c r="AG224" s="53"/>
      <c r="AU224" s="612">
        <v>45925</v>
      </c>
      <c r="AV224" s="613">
        <v>703</v>
      </c>
    </row>
    <row r="225" spans="27:48" ht="15" thickBot="1">
      <c r="AA225" s="155">
        <f t="shared" si="7"/>
        <v>2026</v>
      </c>
      <c r="AB225">
        <v>3.32</v>
      </c>
      <c r="AE225" s="150"/>
      <c r="AG225" s="53"/>
      <c r="AU225" s="612">
        <v>45926</v>
      </c>
      <c r="AV225" s="613">
        <v>698</v>
      </c>
    </row>
    <row r="226" spans="27:48" ht="15" thickBot="1">
      <c r="AA226" s="155">
        <f t="shared" si="7"/>
        <v>2027</v>
      </c>
      <c r="AB226">
        <v>3.64</v>
      </c>
      <c r="AU226" s="612">
        <v>45929</v>
      </c>
      <c r="AV226" s="613">
        <v>699</v>
      </c>
    </row>
    <row r="227" spans="27:48" ht="15" thickBot="1">
      <c r="AA227" s="155">
        <f t="shared" si="7"/>
        <v>2028</v>
      </c>
      <c r="AB227">
        <v>4.08</v>
      </c>
      <c r="AU227" s="612">
        <v>45930</v>
      </c>
      <c r="AV227" s="613">
        <v>697</v>
      </c>
    </row>
    <row r="228" spans="27:48" ht="15" thickBot="1">
      <c r="AA228" s="155">
        <f t="shared" si="7"/>
        <v>2029</v>
      </c>
      <c r="AB228">
        <v>4.3899999999999997</v>
      </c>
      <c r="AU228" s="612">
        <v>45931</v>
      </c>
      <c r="AV228" s="613">
        <v>701</v>
      </c>
    </row>
    <row r="229" spans="27:48" ht="15" thickBot="1">
      <c r="AU229" s="612">
        <v>45933</v>
      </c>
      <c r="AV229" s="613">
        <v>711</v>
      </c>
    </row>
    <row r="230" spans="27:48" ht="15" thickBot="1">
      <c r="AU230" s="612">
        <v>45936</v>
      </c>
      <c r="AV230" s="613">
        <v>716</v>
      </c>
    </row>
    <row r="231" spans="27:48" ht="15" thickBot="1">
      <c r="AU231" s="612">
        <v>45937</v>
      </c>
      <c r="AV231" s="613">
        <v>715</v>
      </c>
    </row>
    <row r="232" spans="27:48" ht="15" thickBot="1">
      <c r="AU232" s="612">
        <v>45938</v>
      </c>
      <c r="AV232" s="613">
        <v>711</v>
      </c>
    </row>
    <row r="233" spans="27:48" ht="15" thickBot="1">
      <c r="AU233" s="612">
        <v>45939</v>
      </c>
      <c r="AV233" s="613">
        <v>716</v>
      </c>
    </row>
    <row r="234" spans="27:48" ht="15" thickBot="1">
      <c r="AU234" s="612">
        <v>45940</v>
      </c>
      <c r="AV234" s="613">
        <v>714</v>
      </c>
    </row>
    <row r="235" spans="27:48" ht="15" thickBot="1">
      <c r="AU235" s="612">
        <v>45943</v>
      </c>
      <c r="AV235" s="613">
        <v>714</v>
      </c>
    </row>
    <row r="236" spans="27:48" ht="15" thickBot="1">
      <c r="AU236" s="612">
        <v>45944</v>
      </c>
      <c r="AV236" s="613">
        <v>708</v>
      </c>
    </row>
    <row r="237" spans="27:48" ht="15" thickBot="1">
      <c r="AA237" t="s">
        <v>1181</v>
      </c>
      <c r="AB237" t="s">
        <v>1182</v>
      </c>
      <c r="AU237" s="612">
        <v>45945</v>
      </c>
      <c r="AV237" s="613">
        <v>709</v>
      </c>
    </row>
    <row r="238" spans="27:48" ht="15" thickBot="1">
      <c r="AA238" t="s">
        <v>1178</v>
      </c>
      <c r="AB238" s="53">
        <v>0.72</v>
      </c>
      <c r="AU238" s="612">
        <v>45946</v>
      </c>
      <c r="AV238" s="613">
        <v>726</v>
      </c>
    </row>
    <row r="239" spans="27:48" ht="15" thickBot="1">
      <c r="AA239" t="s">
        <v>1179</v>
      </c>
      <c r="AB239" s="53">
        <v>0.14000000000000001</v>
      </c>
      <c r="AU239" s="612">
        <v>45947</v>
      </c>
      <c r="AV239" s="613">
        <v>735</v>
      </c>
    </row>
    <row r="240" spans="27:48" ht="15" thickBot="1">
      <c r="AA240" t="s">
        <v>318</v>
      </c>
      <c r="AB240" s="53">
        <v>0.11</v>
      </c>
      <c r="AU240" s="612">
        <v>45950</v>
      </c>
      <c r="AV240" s="613">
        <v>727</v>
      </c>
    </row>
    <row r="241" spans="27:48" ht="15" thickBot="1">
      <c r="AA241" t="s">
        <v>1180</v>
      </c>
      <c r="AB241" s="53">
        <v>0.03</v>
      </c>
      <c r="AU241" s="612">
        <v>45951</v>
      </c>
      <c r="AV241" s="613">
        <v>722</v>
      </c>
    </row>
    <row r="242" spans="27:48" ht="15" thickBot="1">
      <c r="AB242" s="194">
        <f>SUBTOTAL(9,AB238:AB241)</f>
        <v>1</v>
      </c>
      <c r="AU242" s="612">
        <v>45953</v>
      </c>
      <c r="AV242" s="613">
        <v>725</v>
      </c>
    </row>
    <row r="243" spans="27:48" ht="15" thickBot="1">
      <c r="AU243" s="612">
        <v>45954</v>
      </c>
      <c r="AV243" s="613">
        <v>725</v>
      </c>
    </row>
    <row r="244" spans="27:48" ht="15" thickBot="1">
      <c r="AU244" s="612">
        <v>45957</v>
      </c>
      <c r="AV244" s="613">
        <v>723</v>
      </c>
    </row>
    <row r="245" spans="27:48" ht="15" thickBot="1">
      <c r="AU245" s="612">
        <v>45958</v>
      </c>
      <c r="AV245" s="613">
        <v>721</v>
      </c>
    </row>
    <row r="246" spans="27:48" ht="15" thickBot="1">
      <c r="AU246" s="612">
        <v>45959</v>
      </c>
      <c r="AV246" s="613">
        <v>722</v>
      </c>
    </row>
    <row r="247" spans="27:48" ht="15" thickBot="1">
      <c r="AU247" s="612">
        <v>45960</v>
      </c>
      <c r="AV247" s="613">
        <v>722</v>
      </c>
    </row>
    <row r="248" spans="27:48" ht="15" thickBot="1">
      <c r="AU248" s="612">
        <v>45961</v>
      </c>
      <c r="AV248" s="613">
        <v>720</v>
      </c>
    </row>
    <row r="249" spans="27:48" ht="15" thickBot="1">
      <c r="AU249" s="612">
        <v>45964</v>
      </c>
      <c r="AV249" s="613">
        <v>721</v>
      </c>
    </row>
    <row r="250" spans="27:48" ht="15" thickBot="1">
      <c r="AU250" s="612">
        <v>45965</v>
      </c>
      <c r="AV250" s="613">
        <v>717</v>
      </c>
    </row>
    <row r="251" spans="27:48" ht="15" thickBot="1">
      <c r="AU251" s="612">
        <v>45967</v>
      </c>
      <c r="AV251" s="613">
        <v>712</v>
      </c>
    </row>
    <row r="252" spans="27:48" ht="15" thickBot="1">
      <c r="AU252" s="612">
        <v>45968</v>
      </c>
      <c r="AV252" s="613">
        <v>711</v>
      </c>
    </row>
    <row r="253" spans="27:48" ht="15" thickBot="1">
      <c r="AU253" s="612">
        <v>45971</v>
      </c>
      <c r="AV253" s="613">
        <v>719</v>
      </c>
    </row>
    <row r="254" spans="27:48" ht="15" thickBot="1">
      <c r="AU254" s="612">
        <v>45972</v>
      </c>
      <c r="AV254" s="613">
        <v>713</v>
      </c>
    </row>
    <row r="255" spans="27:48" ht="15" thickBot="1">
      <c r="AU255" s="612">
        <v>45973</v>
      </c>
      <c r="AV255" s="613">
        <v>722</v>
      </c>
    </row>
    <row r="256" spans="27:48" ht="15" thickBot="1">
      <c r="AU256" s="612">
        <v>45974</v>
      </c>
      <c r="AV256" s="613">
        <v>722</v>
      </c>
    </row>
    <row r="257" spans="31:48" ht="15" thickBot="1">
      <c r="AU257" s="612">
        <v>45975</v>
      </c>
      <c r="AV257" s="613">
        <v>739</v>
      </c>
    </row>
    <row r="258" spans="31:48" ht="15" thickBot="1">
      <c r="AU258" s="612">
        <v>45978</v>
      </c>
      <c r="AV258" s="613">
        <v>761</v>
      </c>
    </row>
    <row r="259" spans="31:48" ht="15" thickBot="1">
      <c r="AU259" s="612">
        <v>45979</v>
      </c>
      <c r="AV259" s="613">
        <v>756</v>
      </c>
    </row>
    <row r="260" spans="31:48" ht="15" thickBot="1">
      <c r="AU260" s="612">
        <v>45980</v>
      </c>
      <c r="AV260" s="613">
        <v>748</v>
      </c>
    </row>
    <row r="261" spans="31:48" ht="15" thickBot="1">
      <c r="AU261" s="612">
        <v>45981</v>
      </c>
      <c r="AV261" s="613">
        <v>736</v>
      </c>
    </row>
    <row r="262" spans="31:48" ht="15" thickBot="1">
      <c r="AU262" s="612">
        <v>45982</v>
      </c>
      <c r="AV262" s="613">
        <v>740</v>
      </c>
    </row>
    <row r="263" spans="31:48" ht="15" thickBot="1">
      <c r="AU263" s="612">
        <v>45985</v>
      </c>
      <c r="AV263" s="613">
        <v>736</v>
      </c>
    </row>
    <row r="264" spans="31:48" ht="15" thickBot="1">
      <c r="AU264" s="612">
        <v>45986</v>
      </c>
      <c r="AV264" s="613">
        <v>731</v>
      </c>
    </row>
    <row r="265" spans="31:48" ht="15" thickBot="1">
      <c r="AU265" s="612">
        <v>45987</v>
      </c>
      <c r="AV265" s="613">
        <v>735</v>
      </c>
    </row>
    <row r="266" spans="31:48" ht="15" thickBot="1">
      <c r="AU266" s="612">
        <v>45988</v>
      </c>
      <c r="AV266" s="613">
        <v>727</v>
      </c>
    </row>
    <row r="267" spans="31:48" ht="15" thickBot="1">
      <c r="AU267" s="612">
        <v>45989</v>
      </c>
      <c r="AV267" s="613">
        <v>717</v>
      </c>
    </row>
    <row r="272" spans="31:48" ht="15.6">
      <c r="AE272" s="640">
        <v>2020</v>
      </c>
      <c r="AF272" s="640">
        <v>2021</v>
      </c>
      <c r="AG272" s="640">
        <v>2022</v>
      </c>
      <c r="AH272" s="640">
        <v>2023</v>
      </c>
      <c r="AI272" s="640">
        <v>2024</v>
      </c>
      <c r="AJ272" s="640">
        <v>2025</v>
      </c>
      <c r="AK272" s="620">
        <v>2026</v>
      </c>
      <c r="AL272" s="620">
        <v>2027</v>
      </c>
      <c r="AM272" s="620">
        <v>2028</v>
      </c>
      <c r="AN272" s="620">
        <v>2029</v>
      </c>
      <c r="AO272" s="620">
        <v>2030</v>
      </c>
    </row>
    <row r="273" spans="30:41">
      <c r="AD273" t="s">
        <v>42</v>
      </c>
      <c r="AE273" s="24">
        <v>7315</v>
      </c>
      <c r="AF273" s="24">
        <v>8048</v>
      </c>
      <c r="AG273" s="24">
        <v>9512</v>
      </c>
      <c r="AH273" s="24">
        <v>9764</v>
      </c>
      <c r="AI273" s="24">
        <v>9653</v>
      </c>
      <c r="AJ273" s="24">
        <v>10831</v>
      </c>
      <c r="AK273" s="24">
        <v>12347.340000000002</v>
      </c>
      <c r="AL273" s="24">
        <v>14014.230900000002</v>
      </c>
      <c r="AM273" s="24">
        <v>15836.080917000001</v>
      </c>
      <c r="AN273" s="24">
        <v>17815.591031625001</v>
      </c>
      <c r="AO273" s="24">
        <v>19953.461955420004</v>
      </c>
    </row>
    <row r="274" spans="30:41">
      <c r="AD274" t="s">
        <v>632</v>
      </c>
      <c r="AE274" s="194">
        <v>-2.5906735751295429E-3</v>
      </c>
      <c r="AF274" s="194">
        <f>AF273/AE273-1</f>
        <v>0.10020505809979485</v>
      </c>
      <c r="AG274" s="194">
        <f t="shared" ref="AG274:AO274" si="8">AG273/AF273-1</f>
        <v>0.18190854870775341</v>
      </c>
      <c r="AH274" s="194">
        <f t="shared" si="8"/>
        <v>2.6492851135407891E-2</v>
      </c>
      <c r="AI274" s="194">
        <f t="shared" si="8"/>
        <v>-1.1368291683736209E-2</v>
      </c>
      <c r="AJ274" s="194">
        <f t="shared" si="8"/>
        <v>0.12203460064228744</v>
      </c>
      <c r="AK274" s="194">
        <f t="shared" si="8"/>
        <v>0.14000000000000012</v>
      </c>
      <c r="AL274" s="194">
        <f t="shared" si="8"/>
        <v>0.13500000000000001</v>
      </c>
      <c r="AM274" s="194">
        <f t="shared" si="8"/>
        <v>0.12999999999999989</v>
      </c>
      <c r="AN274" s="194">
        <f t="shared" si="8"/>
        <v>0.125</v>
      </c>
      <c r="AO274" s="194">
        <f t="shared" si="8"/>
        <v>0.12000000000000011</v>
      </c>
    </row>
    <row r="276" spans="30:41" ht="15.6">
      <c r="AE276" s="640">
        <v>2020</v>
      </c>
      <c r="AF276" s="640">
        <v>2021</v>
      </c>
      <c r="AG276" s="640">
        <v>2022</v>
      </c>
      <c r="AH276" s="640">
        <v>2023</v>
      </c>
      <c r="AI276" s="640">
        <v>2024</v>
      </c>
      <c r="AJ276" s="640">
        <v>2025</v>
      </c>
      <c r="AK276" s="620">
        <v>2026</v>
      </c>
      <c r="AL276" s="620">
        <v>2027</v>
      </c>
      <c r="AM276" s="620">
        <v>2028</v>
      </c>
      <c r="AN276" s="620">
        <v>2029</v>
      </c>
      <c r="AO276" s="620">
        <v>2030</v>
      </c>
    </row>
    <row r="277" spans="30:41">
      <c r="AE277" s="621">
        <v>0.48803827751196172</v>
      </c>
      <c r="AF277" s="621">
        <v>0.46943339960238567</v>
      </c>
      <c r="AG277" s="621">
        <v>0.42851135407905805</v>
      </c>
      <c r="AH277" s="621">
        <v>0.45196640721015979</v>
      </c>
      <c r="AI277" s="621">
        <v>0.50813218688490625</v>
      </c>
      <c r="AJ277" s="621">
        <v>0.50253900840180965</v>
      </c>
      <c r="AK277" s="621">
        <v>0.47999999999999993</v>
      </c>
      <c r="AL277" s="621">
        <v>0.48</v>
      </c>
      <c r="AM277" s="621">
        <v>0.48</v>
      </c>
      <c r="AN277" s="621">
        <v>0.5</v>
      </c>
      <c r="AO277" s="621">
        <v>0.5</v>
      </c>
    </row>
    <row r="278" spans="30:41">
      <c r="AD278" t="s">
        <v>52</v>
      </c>
    </row>
    <row r="280" spans="30:41" ht="15.6">
      <c r="AE280" s="638">
        <v>2020</v>
      </c>
      <c r="AF280" s="638">
        <v>2021</v>
      </c>
      <c r="AG280" s="638">
        <v>2022</v>
      </c>
      <c r="AH280" s="638">
        <v>2023</v>
      </c>
      <c r="AI280" s="638">
        <v>2024</v>
      </c>
      <c r="AJ280" s="638">
        <v>2025</v>
      </c>
      <c r="AK280" s="620">
        <v>2026</v>
      </c>
      <c r="AL280" s="620">
        <v>2027</v>
      </c>
      <c r="AM280" s="620">
        <v>2028</v>
      </c>
      <c r="AN280" s="620">
        <v>2029</v>
      </c>
      <c r="AO280" s="620">
        <v>2030</v>
      </c>
    </row>
    <row r="281" spans="30:41">
      <c r="AE281" s="621">
        <v>0.48803827751196172</v>
      </c>
      <c r="AF281" s="621">
        <v>0.46943339960238567</v>
      </c>
      <c r="AG281" s="621">
        <v>0.42851135407905805</v>
      </c>
      <c r="AH281" s="621">
        <v>0.45196640721015979</v>
      </c>
      <c r="AI281" s="621">
        <v>0.50813218688490625</v>
      </c>
      <c r="AJ281" s="621">
        <v>0.50253900840180965</v>
      </c>
      <c r="AK281" s="621">
        <v>0.47999999999999993</v>
      </c>
      <c r="AL281" s="621">
        <v>0.48</v>
      </c>
      <c r="AM281" s="621">
        <v>0.48</v>
      </c>
      <c r="AN281" s="621">
        <v>0.5</v>
      </c>
      <c r="AO281" s="621">
        <v>0.5</v>
      </c>
    </row>
    <row r="285" spans="30:41" ht="15.6">
      <c r="AE285" s="639">
        <v>2019</v>
      </c>
      <c r="AF285" s="640">
        <v>2020</v>
      </c>
      <c r="AG285" s="640">
        <v>2021</v>
      </c>
      <c r="AH285" s="640">
        <v>2022</v>
      </c>
      <c r="AI285" s="640">
        <v>2023</v>
      </c>
      <c r="AJ285" s="640">
        <v>2024</v>
      </c>
      <c r="AK285" s="640">
        <v>2025</v>
      </c>
    </row>
    <row r="286" spans="30:41">
      <c r="AD286" t="s">
        <v>1183</v>
      </c>
      <c r="AE286">
        <v>1992</v>
      </c>
      <c r="AF286">
        <v>2129.9999999999991</v>
      </c>
      <c r="AG286">
        <v>2176</v>
      </c>
      <c r="AH286">
        <v>2395</v>
      </c>
      <c r="AI286">
        <v>2603</v>
      </c>
      <c r="AJ286">
        <v>2879</v>
      </c>
      <c r="AK286">
        <v>3304</v>
      </c>
    </row>
    <row r="288" spans="30:41">
      <c r="AD288" t="s">
        <v>453</v>
      </c>
      <c r="AE288" s="194">
        <v>0.27161167166621214</v>
      </c>
      <c r="AF288" s="194">
        <v>0.29118250170881738</v>
      </c>
      <c r="AG288" s="194">
        <v>0.27037773359840955</v>
      </c>
      <c r="AH288" s="194">
        <v>0.25178721614802357</v>
      </c>
      <c r="AI288" s="194">
        <v>0.26659156083572305</v>
      </c>
      <c r="AJ288" s="194">
        <v>0.29824924893815397</v>
      </c>
      <c r="AK288" s="194">
        <v>0.30505031853014497</v>
      </c>
    </row>
    <row r="292" spans="30:42" ht="15.6">
      <c r="AE292" s="640">
        <v>2020</v>
      </c>
      <c r="AF292" s="640">
        <v>2021</v>
      </c>
      <c r="AG292" s="640">
        <v>2022</v>
      </c>
      <c r="AH292" s="640">
        <v>2023</v>
      </c>
      <c r="AI292" s="640">
        <v>2024</v>
      </c>
      <c r="AJ292" s="640">
        <v>2025</v>
      </c>
      <c r="AK292" s="620">
        <v>2026</v>
      </c>
      <c r="AL292" s="620">
        <v>2027</v>
      </c>
      <c r="AM292" s="620">
        <v>2028</v>
      </c>
      <c r="AN292" s="620">
        <v>2029</v>
      </c>
      <c r="AO292" s="620">
        <v>2030</v>
      </c>
    </row>
    <row r="293" spans="30:42">
      <c r="AD293" t="s">
        <v>59</v>
      </c>
      <c r="AE293">
        <v>1440.0000000000009</v>
      </c>
      <c r="AF293" s="24">
        <v>1602</v>
      </c>
      <c r="AG293" s="24">
        <v>1681</v>
      </c>
      <c r="AH293" s="24">
        <v>1810</v>
      </c>
      <c r="AI293" s="24">
        <v>2026</v>
      </c>
      <c r="AJ293" s="24">
        <v>2139</v>
      </c>
      <c r="AK293" s="24">
        <v>2086.7004599999996</v>
      </c>
      <c r="AL293" s="24">
        <v>2368.4050220999989</v>
      </c>
      <c r="AM293" s="24">
        <v>2676.2976749729996</v>
      </c>
      <c r="AN293" s="24">
        <v>3367.1467049771245</v>
      </c>
      <c r="AO293" s="24">
        <v>3771.2043095743802</v>
      </c>
      <c r="AP293" s="24"/>
    </row>
    <row r="294" spans="30:42">
      <c r="AD294" t="s">
        <v>59</v>
      </c>
      <c r="AE294" s="194">
        <v>0.19685577580314434</v>
      </c>
      <c r="AF294" s="194">
        <v>0.19905566600397614</v>
      </c>
      <c r="AG294" s="194">
        <v>0.17672413793103448</v>
      </c>
      <c r="AH294" s="194">
        <v>0.18537484637443671</v>
      </c>
      <c r="AI294" s="194">
        <v>0.20988293794675231</v>
      </c>
      <c r="AJ294" s="194">
        <v>0.19748868987166468</v>
      </c>
      <c r="AK294" s="194">
        <v>0.16899999999999993</v>
      </c>
      <c r="AL294" s="194">
        <v>0.1689999999999999</v>
      </c>
      <c r="AM294" s="194">
        <v>0.16899999999999996</v>
      </c>
      <c r="AN294" s="194">
        <v>0.18899999999999997</v>
      </c>
      <c r="AO294" s="194">
        <v>0.18899999999999997</v>
      </c>
      <c r="AP294" s="194"/>
    </row>
    <row r="297" spans="30:42" ht="15.6">
      <c r="AF297" s="639">
        <v>2019</v>
      </c>
      <c r="AG297" s="640">
        <v>2020</v>
      </c>
      <c r="AH297" s="640">
        <v>2021</v>
      </c>
      <c r="AI297" s="640">
        <v>2022</v>
      </c>
      <c r="AJ297" s="640">
        <v>2023</v>
      </c>
      <c r="AK297" s="640">
        <v>2024</v>
      </c>
      <c r="AL297" s="640">
        <v>2025</v>
      </c>
    </row>
    <row r="298" spans="30:42">
      <c r="AE298" s="18" t="s">
        <v>485</v>
      </c>
      <c r="AF298" s="46">
        <v>1411</v>
      </c>
      <c r="AG298" s="46">
        <v>1380</v>
      </c>
      <c r="AH298" s="46">
        <v>1126</v>
      </c>
      <c r="AI298" s="46">
        <v>1412</v>
      </c>
      <c r="AJ298" s="46">
        <v>1225</v>
      </c>
      <c r="AK298" s="46">
        <v>1336</v>
      </c>
      <c r="AL298" s="46">
        <v>1235</v>
      </c>
    </row>
    <row r="299" spans="30:42">
      <c r="AE299" s="15" t="s">
        <v>75</v>
      </c>
      <c r="AF299" s="225">
        <v>70.222934278701928</v>
      </c>
      <c r="AG299" s="225">
        <v>69.631920710868087</v>
      </c>
      <c r="AH299" s="225">
        <v>56.827162027832998</v>
      </c>
      <c r="AI299" s="225">
        <v>48.694806560134566</v>
      </c>
      <c r="AJ299" s="225">
        <v>49.288457599344532</v>
      </c>
      <c r="AK299" s="225">
        <v>48.41836734693878</v>
      </c>
      <c r="AL299" s="225">
        <v>43.320792170621367</v>
      </c>
    </row>
    <row r="303" spans="30:42" ht="15.6">
      <c r="AF303" s="639">
        <v>2019</v>
      </c>
      <c r="AG303" s="640">
        <v>2020</v>
      </c>
      <c r="AH303" s="640">
        <v>2021</v>
      </c>
      <c r="AI303" s="640">
        <v>2022</v>
      </c>
      <c r="AJ303" s="640">
        <v>2023</v>
      </c>
      <c r="AK303" s="640">
        <v>2024</v>
      </c>
      <c r="AL303" s="640">
        <v>2025</v>
      </c>
    </row>
    <row r="304" spans="30:42">
      <c r="AE304" s="229" t="s">
        <v>193</v>
      </c>
      <c r="AF304" s="141">
        <v>517</v>
      </c>
      <c r="AG304" s="141">
        <v>539</v>
      </c>
      <c r="AH304" s="141">
        <v>388</v>
      </c>
      <c r="AI304" s="141">
        <v>652</v>
      </c>
      <c r="AJ304" s="141">
        <v>1015</v>
      </c>
      <c r="AK304" s="141">
        <v>1069</v>
      </c>
      <c r="AL304" s="141">
        <v>1271</v>
      </c>
    </row>
    <row r="305" spans="31:38">
      <c r="AE305" s="15" t="s">
        <v>515</v>
      </c>
      <c r="AF305" s="221">
        <v>25.730160894464138</v>
      </c>
      <c r="AG305" s="221">
        <v>26.345864661654137</v>
      </c>
      <c r="AH305" s="221">
        <v>21.021061133200796</v>
      </c>
      <c r="AI305" s="221">
        <v>19.953742640874687</v>
      </c>
      <c r="AJ305" s="221">
        <v>31.158080704629253</v>
      </c>
      <c r="AK305" s="221">
        <v>39.400186470527295</v>
      </c>
      <c r="AL305" s="221">
        <v>39.428492290647213</v>
      </c>
    </row>
    <row r="309" spans="31:38" ht="15.6">
      <c r="AF309" s="639">
        <v>2019</v>
      </c>
      <c r="AG309" s="640">
        <v>2020</v>
      </c>
      <c r="AH309" s="640">
        <v>2021</v>
      </c>
      <c r="AI309" s="640">
        <v>2022</v>
      </c>
      <c r="AJ309" s="640">
        <v>2023</v>
      </c>
      <c r="AK309" s="640">
        <v>2024</v>
      </c>
      <c r="AL309" s="640">
        <v>2025</v>
      </c>
    </row>
    <row r="310" spans="31:38">
      <c r="AE310" s="18" t="s">
        <v>587</v>
      </c>
      <c r="AF310" s="18">
        <v>944</v>
      </c>
      <c r="AG310" s="18">
        <v>978</v>
      </c>
      <c r="AH310" s="18">
        <v>1134</v>
      </c>
      <c r="AI310" s="18">
        <v>1344</v>
      </c>
      <c r="AJ310" s="18">
        <v>1452</v>
      </c>
      <c r="AK310" s="18">
        <v>1581</v>
      </c>
      <c r="AL310" s="18">
        <v>1363</v>
      </c>
    </row>
    <row r="311" spans="31:38">
      <c r="AE311" t="s">
        <v>594</v>
      </c>
      <c r="AF311" s="270">
        <v>85.775454319143634</v>
      </c>
      <c r="AG311" s="270">
        <v>93.662216288384528</v>
      </c>
      <c r="AH311" s="270">
        <v>90.266978922716632</v>
      </c>
      <c r="AI311" s="270">
        <v>83.192604856512148</v>
      </c>
      <c r="AJ311" s="270">
        <v>95.359745841898715</v>
      </c>
      <c r="AK311" s="270">
        <v>116.58013900589721</v>
      </c>
      <c r="AL311" s="270">
        <v>99.71789161098738</v>
      </c>
    </row>
    <row r="314" spans="31:38" ht="15.6">
      <c r="AF314" s="639">
        <v>2019</v>
      </c>
      <c r="AG314" s="640">
        <v>2020</v>
      </c>
      <c r="AH314" s="640">
        <v>2021</v>
      </c>
      <c r="AI314" s="640">
        <v>2022</v>
      </c>
      <c r="AJ314" s="640">
        <v>2023</v>
      </c>
      <c r="AK314" s="640">
        <v>2024</v>
      </c>
      <c r="AL314" s="640">
        <v>2025</v>
      </c>
    </row>
    <row r="315" spans="31:38">
      <c r="AE315" t="s">
        <v>606</v>
      </c>
      <c r="AF315" s="194">
        <v>0.95988538681948421</v>
      </c>
      <c r="AG315" s="194">
        <v>0.97014925373134331</v>
      </c>
      <c r="AH315" s="194">
        <v>0.97701149425287359</v>
      </c>
      <c r="AI315" s="194">
        <v>1</v>
      </c>
      <c r="AJ315" s="194">
        <v>0.99578947368421056</v>
      </c>
      <c r="AK315" s="194">
        <v>1</v>
      </c>
      <c r="AL315" s="194">
        <v>1</v>
      </c>
    </row>
    <row r="316" spans="31:38">
      <c r="AE316" t="s">
        <v>605</v>
      </c>
      <c r="AF316" s="194">
        <v>4.0114613180515762E-2</v>
      </c>
      <c r="AG316" s="194">
        <v>2.9850746268656716E-2</v>
      </c>
      <c r="AH316" s="194">
        <v>2.2988505747126436E-2</v>
      </c>
      <c r="AI316" s="194">
        <v>0</v>
      </c>
      <c r="AJ316" s="194">
        <v>4.2105263157894736E-3</v>
      </c>
      <c r="AK316" s="194">
        <v>0</v>
      </c>
      <c r="AL316" s="194">
        <v>0</v>
      </c>
    </row>
    <row r="322" spans="31:54">
      <c r="AE322" t="s">
        <v>154</v>
      </c>
      <c r="AF322" t="s">
        <v>146</v>
      </c>
      <c r="AG322" t="s">
        <v>1187</v>
      </c>
      <c r="AH322" t="s">
        <v>1188</v>
      </c>
      <c r="AI322" t="s">
        <v>1189</v>
      </c>
      <c r="AJ322" t="s">
        <v>1190</v>
      </c>
      <c r="AK322" t="s">
        <v>1191</v>
      </c>
    </row>
    <row r="326" spans="31:54" ht="28.8">
      <c r="AV326" s="657" t="s">
        <v>1192</v>
      </c>
      <c r="AW326" s="658" t="s">
        <v>1193</v>
      </c>
      <c r="AX326" s="658" t="s">
        <v>1194</v>
      </c>
      <c r="AY326" s="658" t="s">
        <v>1195</v>
      </c>
      <c r="AZ326" s="658" t="s">
        <v>1196</v>
      </c>
      <c r="BA326" s="658" t="s">
        <v>1197</v>
      </c>
      <c r="BB326" s="658" t="s">
        <v>1191</v>
      </c>
    </row>
    <row r="327" spans="31:54" ht="25.05" customHeight="1">
      <c r="AV327" s="659" t="s">
        <v>1198</v>
      </c>
      <c r="AW327" s="660">
        <v>42145</v>
      </c>
      <c r="AX327" s="660">
        <v>42013</v>
      </c>
      <c r="AY327" s="660">
        <v>323</v>
      </c>
      <c r="AZ327" s="660">
        <v>720</v>
      </c>
      <c r="BA327" s="661">
        <f>AY327-AZ327</f>
        <v>-397</v>
      </c>
      <c r="BB327" s="662">
        <v>-0.55000000000000004</v>
      </c>
    </row>
    <row r="328" spans="31:54" ht="25.05" customHeight="1">
      <c r="AV328" s="659" t="s">
        <v>1199</v>
      </c>
      <c r="AW328" s="660">
        <v>110355</v>
      </c>
      <c r="AX328" s="660">
        <v>110223</v>
      </c>
      <c r="AY328" s="660">
        <v>848</v>
      </c>
      <c r="AZ328" s="660">
        <v>720</v>
      </c>
      <c r="BA328" s="663">
        <f>AY328-AZ328</f>
        <v>128</v>
      </c>
      <c r="BB328" s="664">
        <v>0.18</v>
      </c>
    </row>
  </sheetData>
  <autoFilter ref="AU18:AV267" xr:uid="{B1366758-3BEF-4F44-8468-747CFBC757A7}">
    <filterColumn colId="0">
      <filters>
        <dateGroupItem year="2025" dateTimeGrouping="year"/>
      </filters>
    </filterColumn>
    <filterColumn colId="1">
      <customFilters>
        <customFilter operator="notEqual" val=" "/>
      </customFilters>
    </filterColumn>
  </autoFilter>
  <pageMargins left="0.7" right="0.7" top="0.75" bottom="0.75" header="0.3" footer="0.3"/>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751E0-FAF0-47B0-9E66-1C71377CB028}">
  <dimension ref="B2:O61"/>
  <sheetViews>
    <sheetView showGridLines="0" workbookViewId="0">
      <selection activeCell="I52" sqref="I52"/>
    </sheetView>
  </sheetViews>
  <sheetFormatPr defaultRowHeight="14.4"/>
  <cols>
    <col min="2" max="2" width="26.109375" bestFit="1" customWidth="1"/>
    <col min="3" max="3" width="10.88671875" customWidth="1"/>
    <col min="4" max="4" width="13.77734375" customWidth="1"/>
    <col min="5" max="5" width="16.6640625" customWidth="1"/>
    <col min="6" max="6" width="16.33203125" customWidth="1"/>
    <col min="7" max="7" width="10.77734375" customWidth="1"/>
    <col min="8" max="8" width="4.44140625" customWidth="1"/>
    <col min="9" max="9" width="15.77734375" customWidth="1"/>
    <col min="10" max="10" width="26.109375" bestFit="1" customWidth="1"/>
    <col min="11" max="15" width="10.77734375" customWidth="1"/>
  </cols>
  <sheetData>
    <row r="2" spans="2:7">
      <c r="B2" t="s">
        <v>1054</v>
      </c>
    </row>
    <row r="3" spans="2:7">
      <c r="C3" s="675" t="s">
        <v>600</v>
      </c>
      <c r="D3" s="675"/>
      <c r="E3" s="675"/>
      <c r="F3" s="675"/>
      <c r="G3" s="675"/>
    </row>
    <row r="5" spans="2:7">
      <c r="B5" s="213" t="s">
        <v>1055</v>
      </c>
      <c r="C5" s="213">
        <v>2021</v>
      </c>
      <c r="D5" s="213">
        <f>C5+1</f>
        <v>2022</v>
      </c>
      <c r="E5" s="213">
        <f t="shared" ref="E5:G5" si="0">D5+1</f>
        <v>2023</v>
      </c>
      <c r="F5" s="213">
        <f t="shared" si="0"/>
        <v>2024</v>
      </c>
      <c r="G5" s="213">
        <f t="shared" si="0"/>
        <v>2025</v>
      </c>
    </row>
    <row r="7" spans="2:7">
      <c r="B7" t="s">
        <v>1025</v>
      </c>
      <c r="C7" s="538">
        <v>350</v>
      </c>
      <c r="D7" s="538">
        <v>868</v>
      </c>
      <c r="E7" s="538">
        <v>999</v>
      </c>
      <c r="F7" s="539">
        <v>1158</v>
      </c>
      <c r="G7" s="538">
        <v>730</v>
      </c>
    </row>
    <row r="8" spans="2:7">
      <c r="B8" t="s">
        <v>501</v>
      </c>
      <c r="C8" s="211">
        <v>0</v>
      </c>
      <c r="D8" s="211">
        <v>0</v>
      </c>
      <c r="E8" s="211">
        <v>98</v>
      </c>
      <c r="F8" s="211">
        <v>13</v>
      </c>
      <c r="G8" s="211">
        <v>1</v>
      </c>
    </row>
    <row r="9" spans="2:7">
      <c r="B9" t="s">
        <v>1031</v>
      </c>
      <c r="C9" s="539">
        <v>0</v>
      </c>
      <c r="D9" s="539">
        <v>38.5</v>
      </c>
      <c r="E9" s="539">
        <v>52</v>
      </c>
      <c r="F9" s="539">
        <v>33.5</v>
      </c>
      <c r="G9" s="539">
        <v>0</v>
      </c>
    </row>
    <row r="10" spans="2:7">
      <c r="B10" t="s">
        <v>1026</v>
      </c>
      <c r="C10" s="538">
        <v>185</v>
      </c>
      <c r="D10" s="538">
        <v>289</v>
      </c>
      <c r="E10" s="538">
        <v>467</v>
      </c>
      <c r="F10" s="538">
        <v>587</v>
      </c>
      <c r="G10" s="538">
        <v>528</v>
      </c>
    </row>
    <row r="11" spans="2:7">
      <c r="B11" t="s">
        <v>1027</v>
      </c>
      <c r="C11" s="539">
        <v>1768</v>
      </c>
      <c r="D11" s="539">
        <v>1608</v>
      </c>
      <c r="E11" s="539">
        <v>1034</v>
      </c>
      <c r="F11" s="539">
        <v>3155</v>
      </c>
      <c r="G11" s="539">
        <v>3883</v>
      </c>
    </row>
    <row r="12" spans="2:7">
      <c r="B12" t="s">
        <v>1028</v>
      </c>
      <c r="C12" s="539">
        <v>2104</v>
      </c>
      <c r="D12" s="539">
        <v>2466</v>
      </c>
      <c r="E12" s="539">
        <v>2981</v>
      </c>
      <c r="F12" s="539">
        <v>2041</v>
      </c>
      <c r="G12" s="539">
        <v>1225</v>
      </c>
    </row>
    <row r="13" spans="2:7">
      <c r="B13" t="s">
        <v>1029</v>
      </c>
      <c r="C13" s="538">
        <v>91.91</v>
      </c>
      <c r="D13" s="538">
        <v>264</v>
      </c>
      <c r="E13" s="538">
        <v>73.61</v>
      </c>
      <c r="F13" s="538">
        <v>65.69</v>
      </c>
      <c r="G13" s="538">
        <v>62</v>
      </c>
    </row>
    <row r="14" spans="2:7">
      <c r="B14" t="s">
        <v>1030</v>
      </c>
      <c r="C14" s="538">
        <v>5</v>
      </c>
      <c r="D14" s="538">
        <v>0</v>
      </c>
      <c r="E14" s="538">
        <v>0</v>
      </c>
      <c r="F14" s="538">
        <v>0</v>
      </c>
      <c r="G14" s="538">
        <v>0</v>
      </c>
    </row>
    <row r="15" spans="2:7">
      <c r="B15" t="s">
        <v>502</v>
      </c>
      <c r="C15" s="538">
        <v>351</v>
      </c>
      <c r="D15" s="538">
        <v>345</v>
      </c>
      <c r="E15" s="538">
        <v>475</v>
      </c>
      <c r="F15" s="538">
        <v>383</v>
      </c>
      <c r="G15" s="538">
        <v>379</v>
      </c>
    </row>
    <row r="18" spans="2:15">
      <c r="C18" s="675" t="s">
        <v>205</v>
      </c>
      <c r="D18" s="675"/>
      <c r="E18" s="675"/>
      <c r="F18" s="675"/>
      <c r="G18" s="675"/>
    </row>
    <row r="20" spans="2:15">
      <c r="B20" s="213" t="s">
        <v>1055</v>
      </c>
      <c r="C20" s="213">
        <v>2021</v>
      </c>
      <c r="D20" s="213">
        <f>C20+1</f>
        <v>2022</v>
      </c>
      <c r="E20" s="213">
        <f t="shared" ref="E20:G20" si="1">D20+1</f>
        <v>2023</v>
      </c>
      <c r="F20" s="213">
        <f t="shared" si="1"/>
        <v>2024</v>
      </c>
      <c r="G20" s="213">
        <f t="shared" si="1"/>
        <v>2025</v>
      </c>
    </row>
    <row r="22" spans="2:15">
      <c r="B22" t="s">
        <v>1025</v>
      </c>
      <c r="C22" s="538">
        <v>7664</v>
      </c>
      <c r="D22" s="538">
        <v>8381</v>
      </c>
      <c r="E22" s="538">
        <v>8973</v>
      </c>
      <c r="F22" s="539">
        <v>9866</v>
      </c>
      <c r="G22" s="538">
        <v>10801</v>
      </c>
    </row>
    <row r="23" spans="2:15">
      <c r="B23" t="s">
        <v>501</v>
      </c>
      <c r="C23" s="211">
        <v>47674</v>
      </c>
      <c r="D23" s="211">
        <v>49061</v>
      </c>
      <c r="E23" s="211">
        <v>50304</v>
      </c>
      <c r="F23" s="211">
        <v>51218</v>
      </c>
      <c r="G23" s="211">
        <v>49402</v>
      </c>
    </row>
    <row r="24" spans="2:15">
      <c r="B24" t="s">
        <v>1031</v>
      </c>
      <c r="C24" s="538">
        <v>436</v>
      </c>
      <c r="D24" s="538">
        <v>462</v>
      </c>
      <c r="E24" s="538">
        <v>486</v>
      </c>
      <c r="F24" s="538">
        <v>500</v>
      </c>
      <c r="G24" s="539">
        <v>1438</v>
      </c>
    </row>
    <row r="25" spans="2:15">
      <c r="B25" t="s">
        <v>1026</v>
      </c>
      <c r="C25" s="538">
        <v>345</v>
      </c>
      <c r="D25" s="538">
        <v>470</v>
      </c>
      <c r="E25" s="538">
        <v>651</v>
      </c>
      <c r="F25" s="538">
        <v>786</v>
      </c>
      <c r="G25" s="538">
        <v>1036</v>
      </c>
    </row>
    <row r="26" spans="2:15">
      <c r="B26" t="s">
        <v>1027</v>
      </c>
      <c r="C26" s="539">
        <v>9439</v>
      </c>
      <c r="D26" s="539">
        <v>11556</v>
      </c>
      <c r="E26" s="539">
        <v>13794</v>
      </c>
      <c r="F26" s="539">
        <v>12599</v>
      </c>
      <c r="G26" s="539">
        <v>12004</v>
      </c>
    </row>
    <row r="27" spans="2:15">
      <c r="B27" t="s">
        <v>1028</v>
      </c>
      <c r="C27" s="539">
        <v>3548</v>
      </c>
      <c r="D27" s="539">
        <v>2558</v>
      </c>
      <c r="E27" s="539">
        <v>3534</v>
      </c>
      <c r="F27" s="539">
        <v>3942</v>
      </c>
      <c r="G27" s="539">
        <v>4356</v>
      </c>
    </row>
    <row r="28" spans="2:15">
      <c r="B28" t="s">
        <v>1029</v>
      </c>
      <c r="C28" s="538">
        <v>1763</v>
      </c>
      <c r="D28" s="538">
        <v>2077</v>
      </c>
      <c r="E28" s="538">
        <v>2303</v>
      </c>
      <c r="F28" s="538">
        <v>2447</v>
      </c>
      <c r="G28" s="538">
        <v>2695</v>
      </c>
    </row>
    <row r="29" spans="2:15">
      <c r="B29" t="s">
        <v>1030</v>
      </c>
      <c r="C29" s="538">
        <v>757</v>
      </c>
      <c r="D29" s="538">
        <v>810</v>
      </c>
      <c r="E29" s="538">
        <v>790</v>
      </c>
      <c r="F29" s="538">
        <v>831</v>
      </c>
      <c r="G29" s="538">
        <v>748</v>
      </c>
    </row>
    <row r="30" spans="2:15">
      <c r="B30" t="s">
        <v>502</v>
      </c>
      <c r="C30" s="538">
        <v>3240</v>
      </c>
      <c r="D30" s="538">
        <v>3348</v>
      </c>
      <c r="E30" s="538">
        <v>3799</v>
      </c>
      <c r="F30" s="538">
        <v>3833</v>
      </c>
      <c r="G30" s="538">
        <v>3974</v>
      </c>
    </row>
    <row r="32" spans="2:15">
      <c r="B32" s="675" t="s">
        <v>1060</v>
      </c>
      <c r="C32" s="675"/>
      <c r="D32" s="675"/>
      <c r="E32" s="675"/>
      <c r="F32" s="675"/>
      <c r="G32" s="675"/>
      <c r="H32" s="675"/>
      <c r="I32" s="675"/>
      <c r="J32" s="675"/>
      <c r="K32" s="675"/>
      <c r="L32" s="675"/>
      <c r="M32" s="675"/>
      <c r="N32" s="675"/>
      <c r="O32" s="675"/>
    </row>
    <row r="33" spans="2:15">
      <c r="B33" s="497"/>
      <c r="C33" s="497"/>
      <c r="D33" s="497"/>
      <c r="E33" s="497"/>
      <c r="F33" s="497"/>
      <c r="G33" s="497"/>
      <c r="H33" s="497"/>
      <c r="I33" s="497"/>
      <c r="J33" s="497"/>
      <c r="K33" s="497"/>
      <c r="L33" s="497"/>
      <c r="M33" s="497"/>
      <c r="N33" s="497"/>
      <c r="O33" s="497"/>
    </row>
    <row r="34" spans="2:15">
      <c r="B34" s="678" t="s">
        <v>1061</v>
      </c>
      <c r="C34" s="678"/>
      <c r="D34" s="678"/>
      <c r="E34" s="678"/>
      <c r="F34" s="678"/>
      <c r="G34" s="678"/>
      <c r="H34" s="497"/>
      <c r="I34" s="497"/>
      <c r="J34" s="678" t="s">
        <v>1062</v>
      </c>
      <c r="K34" s="678"/>
      <c r="L34" s="678"/>
      <c r="M34" s="678"/>
      <c r="N34" s="678"/>
      <c r="O34" s="678"/>
    </row>
    <row r="36" spans="2:15">
      <c r="B36" s="213" t="s">
        <v>1055</v>
      </c>
      <c r="C36" s="213">
        <v>2021</v>
      </c>
      <c r="D36" s="213">
        <f>C36+1</f>
        <v>2022</v>
      </c>
      <c r="E36" s="213">
        <f t="shared" ref="E36:G36" si="2">D36+1</f>
        <v>2023</v>
      </c>
      <c r="F36" s="213">
        <f t="shared" si="2"/>
        <v>2024</v>
      </c>
      <c r="G36" s="213">
        <f t="shared" si="2"/>
        <v>2025</v>
      </c>
      <c r="J36" s="213" t="s">
        <v>1055</v>
      </c>
      <c r="K36" s="213">
        <v>2021</v>
      </c>
      <c r="L36" s="213">
        <f>K36+1</f>
        <v>2022</v>
      </c>
      <c r="M36" s="213">
        <f t="shared" ref="M36:O36" si="3">L36+1</f>
        <v>2023</v>
      </c>
      <c r="N36" s="213">
        <f t="shared" si="3"/>
        <v>2024</v>
      </c>
      <c r="O36" s="213">
        <f t="shared" si="3"/>
        <v>2025</v>
      </c>
    </row>
    <row r="38" spans="2:15">
      <c r="B38" t="s">
        <v>1025</v>
      </c>
      <c r="C38" s="542">
        <f>C7/C22</f>
        <v>4.5668058455114825E-2</v>
      </c>
      <c r="D38" s="542">
        <f t="shared" ref="D38:G38" si="4">D7/D22</f>
        <v>0.10356759336594679</v>
      </c>
      <c r="E38" s="542">
        <f t="shared" si="4"/>
        <v>0.11133400200601805</v>
      </c>
      <c r="F38" s="542">
        <f t="shared" si="4"/>
        <v>0.11737279545915265</v>
      </c>
      <c r="G38" s="542">
        <f t="shared" si="4"/>
        <v>6.7586334598648268E-2</v>
      </c>
      <c r="J38" t="s">
        <v>1025</v>
      </c>
      <c r="K38" s="542">
        <f>C7/(C7+C22)</f>
        <v>4.3673571250311953E-2</v>
      </c>
      <c r="L38" s="542">
        <f t="shared" ref="L38:O38" si="5">D7/(D7+D22)</f>
        <v>9.3847983565790896E-2</v>
      </c>
      <c r="M38" s="542">
        <f t="shared" si="5"/>
        <v>0.10018050541516245</v>
      </c>
      <c r="N38" s="542">
        <f t="shared" si="5"/>
        <v>0.10504354136429608</v>
      </c>
      <c r="O38" s="542">
        <f t="shared" si="5"/>
        <v>6.3307605584944929E-2</v>
      </c>
    </row>
    <row r="39" spans="2:15">
      <c r="B39" t="s">
        <v>501</v>
      </c>
      <c r="C39" s="542">
        <f t="shared" ref="C39:G39" si="6">C8/C23</f>
        <v>0</v>
      </c>
      <c r="D39" s="542">
        <f t="shared" si="6"/>
        <v>0</v>
      </c>
      <c r="E39" s="542">
        <f t="shared" si="6"/>
        <v>1.9481552162849873E-3</v>
      </c>
      <c r="F39" s="542">
        <f t="shared" si="6"/>
        <v>2.5381701745480105E-4</v>
      </c>
      <c r="G39" s="542">
        <f t="shared" si="6"/>
        <v>2.0242095461722196E-5</v>
      </c>
      <c r="J39" t="s">
        <v>501</v>
      </c>
      <c r="K39" s="542">
        <f t="shared" ref="K39:O39" si="7">C8/(C8+C23)</f>
        <v>0</v>
      </c>
      <c r="L39" s="542">
        <f t="shared" si="7"/>
        <v>0</v>
      </c>
      <c r="M39" s="542">
        <f t="shared" si="7"/>
        <v>1.9443672870124201E-3</v>
      </c>
      <c r="N39" s="542">
        <f t="shared" si="7"/>
        <v>2.5375261072397572E-4</v>
      </c>
      <c r="O39" s="542">
        <f t="shared" si="7"/>
        <v>2.0241685727587392E-5</v>
      </c>
    </row>
    <row r="40" spans="2:15">
      <c r="B40" t="s">
        <v>1031</v>
      </c>
      <c r="C40" s="542">
        <f t="shared" ref="C40:G40" si="8">C9/C24</f>
        <v>0</v>
      </c>
      <c r="D40" s="542">
        <f t="shared" si="8"/>
        <v>8.3333333333333329E-2</v>
      </c>
      <c r="E40" s="542">
        <f t="shared" si="8"/>
        <v>0.10699588477366255</v>
      </c>
      <c r="F40" s="542">
        <f t="shared" si="8"/>
        <v>6.7000000000000004E-2</v>
      </c>
      <c r="G40" s="542">
        <f t="shared" si="8"/>
        <v>0</v>
      </c>
      <c r="J40" t="s">
        <v>1031</v>
      </c>
      <c r="K40" s="542">
        <f t="shared" ref="K40:O40" si="9">C9/(C9+C24)</f>
        <v>0</v>
      </c>
      <c r="L40" s="542">
        <f t="shared" si="9"/>
        <v>7.6923076923076927E-2</v>
      </c>
      <c r="M40" s="542">
        <f t="shared" si="9"/>
        <v>9.6654275092936809E-2</v>
      </c>
      <c r="N40" s="542">
        <f t="shared" si="9"/>
        <v>6.2792877225866919E-2</v>
      </c>
      <c r="O40" s="542">
        <f t="shared" si="9"/>
        <v>0</v>
      </c>
    </row>
    <row r="41" spans="2:15">
      <c r="B41" t="s">
        <v>1026</v>
      </c>
      <c r="C41" s="542">
        <f t="shared" ref="C41:G41" si="10">C10/C25</f>
        <v>0.53623188405797106</v>
      </c>
      <c r="D41" s="542">
        <f t="shared" si="10"/>
        <v>0.61489361702127665</v>
      </c>
      <c r="E41" s="542">
        <f t="shared" si="10"/>
        <v>0.71735791090629797</v>
      </c>
      <c r="F41" s="542">
        <f t="shared" si="10"/>
        <v>0.7468193384223919</v>
      </c>
      <c r="G41" s="542">
        <f t="shared" si="10"/>
        <v>0.50965250965250963</v>
      </c>
      <c r="J41" t="s">
        <v>1026</v>
      </c>
      <c r="K41" s="542">
        <f t="shared" ref="K41:O41" si="11">C10/(C10+C25)</f>
        <v>0.34905660377358488</v>
      </c>
      <c r="L41" s="542">
        <f t="shared" si="11"/>
        <v>0.38076416337285901</v>
      </c>
      <c r="M41" s="542">
        <f t="shared" si="11"/>
        <v>0.41771019677996424</v>
      </c>
      <c r="N41" s="542">
        <f t="shared" si="11"/>
        <v>0.42753095411507647</v>
      </c>
      <c r="O41" s="542">
        <f t="shared" si="11"/>
        <v>0.33759590792838873</v>
      </c>
    </row>
    <row r="42" spans="2:15">
      <c r="B42" t="s">
        <v>1027</v>
      </c>
      <c r="C42" s="542">
        <f t="shared" ref="C42:G42" si="12">C11/C26</f>
        <v>0.18730797753999365</v>
      </c>
      <c r="D42" s="542">
        <f t="shared" si="12"/>
        <v>0.1391484942886812</v>
      </c>
      <c r="E42" s="542">
        <f t="shared" si="12"/>
        <v>7.4960127591706532E-2</v>
      </c>
      <c r="F42" s="542">
        <f t="shared" si="12"/>
        <v>0.25041669973807446</v>
      </c>
      <c r="G42" s="542">
        <f t="shared" si="12"/>
        <v>0.32347550816394532</v>
      </c>
      <c r="J42" t="s">
        <v>1027</v>
      </c>
      <c r="K42" s="542">
        <f t="shared" ref="K42:O42" si="13">C11/(C11+C26)</f>
        <v>0.15775854376728829</v>
      </c>
      <c r="L42" s="542">
        <f t="shared" si="13"/>
        <v>0.12215132178669097</v>
      </c>
      <c r="M42" s="542">
        <f t="shared" si="13"/>
        <v>6.9732937685459948E-2</v>
      </c>
      <c r="N42" s="542">
        <f t="shared" si="13"/>
        <v>0.20026659895899454</v>
      </c>
      <c r="O42" s="542">
        <f t="shared" si="13"/>
        <v>0.24441367155535973</v>
      </c>
    </row>
    <row r="43" spans="2:15">
      <c r="B43" t="s">
        <v>1028</v>
      </c>
      <c r="C43" s="542">
        <f t="shared" ref="C43:G43" si="14">C12/C27</f>
        <v>0.59301014656144302</v>
      </c>
      <c r="D43" s="542">
        <f t="shared" si="14"/>
        <v>0.96403440187646594</v>
      </c>
      <c r="E43" s="542">
        <f t="shared" si="14"/>
        <v>0.84352009054895305</v>
      </c>
      <c r="F43" s="542">
        <f t="shared" si="14"/>
        <v>0.51775748351090822</v>
      </c>
      <c r="G43" s="542">
        <f t="shared" si="14"/>
        <v>0.2812213039485767</v>
      </c>
      <c r="J43" t="s">
        <v>1028</v>
      </c>
      <c r="K43" s="542">
        <f t="shared" ref="K43:O43" si="15">C12/(C12+C27)</f>
        <v>0.37225760792639773</v>
      </c>
      <c r="L43" s="542">
        <f t="shared" si="15"/>
        <v>0.490843949044586</v>
      </c>
      <c r="M43" s="542">
        <f t="shared" si="15"/>
        <v>0.45755947812739833</v>
      </c>
      <c r="N43" s="542">
        <f t="shared" si="15"/>
        <v>0.34113321076383085</v>
      </c>
      <c r="O43" s="542">
        <f t="shared" si="15"/>
        <v>0.21949471420892314</v>
      </c>
    </row>
    <row r="44" spans="2:15">
      <c r="B44" t="s">
        <v>1029</v>
      </c>
      <c r="C44" s="542">
        <f t="shared" ref="C44:G44" si="16">C13/C28</f>
        <v>5.2132728304027223E-2</v>
      </c>
      <c r="D44" s="542">
        <f t="shared" si="16"/>
        <v>0.12710640346653829</v>
      </c>
      <c r="E44" s="542">
        <f t="shared" si="16"/>
        <v>3.1962657403386885E-2</v>
      </c>
      <c r="F44" s="542">
        <f t="shared" si="16"/>
        <v>2.6845116469145891E-2</v>
      </c>
      <c r="G44" s="542">
        <f t="shared" si="16"/>
        <v>2.3005565862708719E-2</v>
      </c>
      <c r="J44" t="s">
        <v>1029</v>
      </c>
      <c r="K44" s="542">
        <f t="shared" ref="K44:O44" si="17">C13/(C13+C28)</f>
        <v>4.9549573833770906E-2</v>
      </c>
      <c r="L44" s="542">
        <f t="shared" si="17"/>
        <v>0.11277231952157198</v>
      </c>
      <c r="M44" s="542">
        <f t="shared" si="17"/>
        <v>3.0972687988353155E-2</v>
      </c>
      <c r="N44" s="542">
        <f t="shared" si="17"/>
        <v>2.6143296626324773E-2</v>
      </c>
      <c r="O44" s="542">
        <f t="shared" si="17"/>
        <v>2.2488211824446862E-2</v>
      </c>
    </row>
    <row r="45" spans="2:15">
      <c r="B45" t="s">
        <v>1030</v>
      </c>
      <c r="C45" s="542">
        <f t="shared" ref="C45:G45" si="18">C14/C29</f>
        <v>6.6050198150594455E-3</v>
      </c>
      <c r="D45" s="542">
        <f t="shared" si="18"/>
        <v>0</v>
      </c>
      <c r="E45" s="542">
        <f t="shared" si="18"/>
        <v>0</v>
      </c>
      <c r="F45" s="542">
        <f t="shared" si="18"/>
        <v>0</v>
      </c>
      <c r="G45" s="542">
        <f t="shared" si="18"/>
        <v>0</v>
      </c>
      <c r="J45" t="s">
        <v>1030</v>
      </c>
      <c r="K45" s="542">
        <f t="shared" ref="K45:O45" si="19">C14/(C14+C29)</f>
        <v>6.5616797900262466E-3</v>
      </c>
      <c r="L45" s="542">
        <f t="shared" si="19"/>
        <v>0</v>
      </c>
      <c r="M45" s="542">
        <f t="shared" si="19"/>
        <v>0</v>
      </c>
      <c r="N45" s="542">
        <f t="shared" si="19"/>
        <v>0</v>
      </c>
      <c r="O45" s="542">
        <f t="shared" si="19"/>
        <v>0</v>
      </c>
    </row>
    <row r="46" spans="2:15">
      <c r="B46" t="s">
        <v>502</v>
      </c>
      <c r="C46" s="542">
        <f t="shared" ref="C46:G46" si="20">C15/C30</f>
        <v>0.10833333333333334</v>
      </c>
      <c r="D46" s="542">
        <f t="shared" si="20"/>
        <v>0.10304659498207885</v>
      </c>
      <c r="E46" s="542">
        <f t="shared" si="20"/>
        <v>0.12503290339563042</v>
      </c>
      <c r="F46" s="542">
        <f t="shared" si="20"/>
        <v>9.9921732324549956E-2</v>
      </c>
      <c r="G46" s="542">
        <f t="shared" si="20"/>
        <v>9.5369904378459991E-2</v>
      </c>
      <c r="J46" t="s">
        <v>502</v>
      </c>
      <c r="K46" s="542">
        <f t="shared" ref="K46:O46" si="21">C15/(C15+C30)</f>
        <v>9.7744360902255634E-2</v>
      </c>
      <c r="L46" s="542">
        <f t="shared" si="21"/>
        <v>9.3419983753046304E-2</v>
      </c>
      <c r="M46" s="542">
        <f t="shared" si="21"/>
        <v>0.11113710809546093</v>
      </c>
      <c r="N46" s="542">
        <f t="shared" si="21"/>
        <v>9.0844402277039854E-2</v>
      </c>
      <c r="O46" s="542">
        <f t="shared" si="21"/>
        <v>8.7066390994716289E-2</v>
      </c>
    </row>
    <row r="49" spans="2:7" ht="15.6">
      <c r="B49" s="673" t="s">
        <v>1063</v>
      </c>
      <c r="C49" s="673"/>
      <c r="D49" s="673"/>
      <c r="E49" s="673"/>
      <c r="F49" s="673"/>
      <c r="G49" s="673"/>
    </row>
    <row r="51" spans="2:7">
      <c r="B51" s="541" t="s">
        <v>1055</v>
      </c>
      <c r="C51" s="540" t="s">
        <v>1056</v>
      </c>
      <c r="D51" s="540" t="s">
        <v>1057</v>
      </c>
      <c r="E51" s="540" t="s">
        <v>1058</v>
      </c>
      <c r="F51" s="540" t="s">
        <v>1059</v>
      </c>
      <c r="G51" s="213"/>
    </row>
    <row r="53" spans="2:7">
      <c r="B53" t="s">
        <v>1025</v>
      </c>
      <c r="C53" s="543">
        <f>AVERAGE(F38:G38)</f>
        <v>9.2479565028900451E-2</v>
      </c>
      <c r="D53" s="543">
        <f>AVERAGE(C38:G38)</f>
        <v>8.9105756776976103E-2</v>
      </c>
      <c r="E53" s="543">
        <f>AVERAGE(N38:O38)</f>
        <v>8.4175573474620513E-2</v>
      </c>
      <c r="F53" s="542">
        <f>AVERAGE(K38:O38)</f>
        <v>8.1210641436101252E-2</v>
      </c>
      <c r="G53" s="538"/>
    </row>
    <row r="54" spans="2:7">
      <c r="B54" t="s">
        <v>501</v>
      </c>
      <c r="C54" s="543">
        <f t="shared" ref="C54:C61" si="22">AVERAGE(F39:G39)</f>
        <v>1.3702955645826162E-4</v>
      </c>
      <c r="D54" s="543">
        <f t="shared" ref="D54:D61" si="23">AVERAGE(C39:G39)</f>
        <v>4.444428658403021E-4</v>
      </c>
      <c r="E54" s="543">
        <f t="shared" ref="E54:E61" si="24">AVERAGE(N39:O39)</f>
        <v>1.3699714822578156E-4</v>
      </c>
      <c r="F54" s="542">
        <f t="shared" ref="F54:F61" si="25">AVERAGE(K39:O39)</f>
        <v>4.4367231669279665E-4</v>
      </c>
      <c r="G54" s="211"/>
    </row>
    <row r="55" spans="2:7">
      <c r="B55" t="s">
        <v>1031</v>
      </c>
      <c r="C55" s="543">
        <f t="shared" si="22"/>
        <v>3.3500000000000002E-2</v>
      </c>
      <c r="D55" s="543">
        <f t="shared" si="23"/>
        <v>5.1465843621399179E-2</v>
      </c>
      <c r="E55" s="543">
        <f t="shared" si="24"/>
        <v>3.139643861293346E-2</v>
      </c>
      <c r="F55" s="542">
        <f t="shared" si="25"/>
        <v>4.7274045848376134E-2</v>
      </c>
      <c r="G55" s="539"/>
    </row>
    <row r="56" spans="2:7">
      <c r="B56" t="s">
        <v>1026</v>
      </c>
      <c r="C56" s="543">
        <f t="shared" si="22"/>
        <v>0.62823592403745077</v>
      </c>
      <c r="D56" s="543">
        <f t="shared" si="23"/>
        <v>0.62499105201208949</v>
      </c>
      <c r="E56" s="543">
        <f t="shared" si="24"/>
        <v>0.38256343102173263</v>
      </c>
      <c r="F56" s="542">
        <f t="shared" si="25"/>
        <v>0.38253156519397469</v>
      </c>
      <c r="G56" s="538"/>
    </row>
    <row r="57" spans="2:7">
      <c r="B57" t="s">
        <v>1027</v>
      </c>
      <c r="C57" s="543">
        <f t="shared" si="22"/>
        <v>0.28694610395100989</v>
      </c>
      <c r="D57" s="543">
        <f t="shared" si="23"/>
        <v>0.19506176146448023</v>
      </c>
      <c r="E57" s="543">
        <f t="shared" si="24"/>
        <v>0.22234013525717713</v>
      </c>
      <c r="F57" s="542">
        <f t="shared" si="25"/>
        <v>0.15886461475075869</v>
      </c>
      <c r="G57" s="539"/>
    </row>
    <row r="58" spans="2:7">
      <c r="B58" t="s">
        <v>1028</v>
      </c>
      <c r="C58" s="543">
        <f t="shared" si="22"/>
        <v>0.39948939372974246</v>
      </c>
      <c r="D58" s="543">
        <f t="shared" si="23"/>
        <v>0.63990868528926936</v>
      </c>
      <c r="E58" s="543">
        <f t="shared" si="24"/>
        <v>0.28031396248637697</v>
      </c>
      <c r="F58" s="542">
        <f t="shared" si="25"/>
        <v>0.37625779201422721</v>
      </c>
      <c r="G58" s="539"/>
    </row>
    <row r="59" spans="2:7">
      <c r="B59" t="s">
        <v>1029</v>
      </c>
      <c r="C59" s="543">
        <f t="shared" si="22"/>
        <v>2.4925341165927303E-2</v>
      </c>
      <c r="D59" s="543">
        <f t="shared" si="23"/>
        <v>5.2210494301161404E-2</v>
      </c>
      <c r="E59" s="543">
        <f t="shared" si="24"/>
        <v>2.4315754225385816E-2</v>
      </c>
      <c r="F59" s="542">
        <f t="shared" si="25"/>
        <v>4.8385217958893535E-2</v>
      </c>
      <c r="G59" s="538"/>
    </row>
    <row r="60" spans="2:7">
      <c r="B60" t="s">
        <v>1030</v>
      </c>
      <c r="C60" s="543">
        <f t="shared" si="22"/>
        <v>0</v>
      </c>
      <c r="D60" s="543">
        <f t="shared" si="23"/>
        <v>1.321003963011889E-3</v>
      </c>
      <c r="E60" s="543">
        <f t="shared" si="24"/>
        <v>0</v>
      </c>
      <c r="F60" s="542">
        <f t="shared" si="25"/>
        <v>1.3123359580052493E-3</v>
      </c>
      <c r="G60" s="538"/>
    </row>
    <row r="61" spans="2:7">
      <c r="B61" t="s">
        <v>502</v>
      </c>
      <c r="C61" s="543">
        <f t="shared" si="22"/>
        <v>9.7645818351504973E-2</v>
      </c>
      <c r="D61" s="543">
        <f t="shared" si="23"/>
        <v>0.10634089368281052</v>
      </c>
      <c r="E61" s="543">
        <f t="shared" si="24"/>
        <v>8.8955396635878065E-2</v>
      </c>
      <c r="F61" s="542">
        <f t="shared" si="25"/>
        <v>9.6042449204503805E-2</v>
      </c>
      <c r="G61" s="538"/>
    </row>
  </sheetData>
  <mergeCells count="6">
    <mergeCell ref="C3:G3"/>
    <mergeCell ref="C18:G18"/>
    <mergeCell ref="B49:G49"/>
    <mergeCell ref="B32:O32"/>
    <mergeCell ref="B34:G34"/>
    <mergeCell ref="J34:O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Input Sheet</vt:lpstr>
      <vt:lpstr>WACC</vt:lpstr>
      <vt:lpstr>Damodaran Data</vt:lpstr>
      <vt:lpstr>Assumptions Working </vt:lpstr>
      <vt:lpstr>ControlSheet</vt:lpstr>
      <vt:lpstr>Schedules</vt:lpstr>
      <vt:lpstr>3 Statement Model</vt:lpstr>
      <vt:lpstr>Ratio Analysis</vt:lpstr>
      <vt:lpstr>Common Size Statement</vt:lpstr>
      <vt:lpstr>DCF Val</vt:lpstr>
      <vt:lpstr>Option Value</vt:lpstr>
      <vt:lpstr>Client Data &gt;</vt:lpstr>
      <vt:lpstr>P&amp;l 25-24</vt:lpstr>
      <vt:lpstr>Balance Sheet</vt:lpstr>
      <vt:lpstr>Cash Flow</vt:lpstr>
      <vt:lpstr>Scratch</vt:lpstr>
      <vt:lpstr>Cal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 Verma</dc:creator>
  <cp:lastModifiedBy>AJAY RAWAT</cp:lastModifiedBy>
  <cp:lastPrinted>2025-12-02T17:04:35Z</cp:lastPrinted>
  <dcterms:created xsi:type="dcterms:W3CDTF">2023-09-22T06:48:58Z</dcterms:created>
  <dcterms:modified xsi:type="dcterms:W3CDTF">2025-12-05T08:25:53Z</dcterms:modified>
</cp:coreProperties>
</file>