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jay Rawat\Desktop\WACC WIP\"/>
    </mc:Choice>
  </mc:AlternateContent>
  <xr:revisionPtr revIDLastSave="0" documentId="13_ncr:1_{39B09685-A3E8-435A-AFBB-FC353E990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cc Sheet" sheetId="2" r:id="rId1"/>
    <sheet name="Ke(cost of eq)" sheetId="3" r:id="rId2"/>
    <sheet name="Kd(cost of debt)" sheetId="4" r:id="rId3"/>
    <sheet name="Info" sheetId="5" r:id="rId4"/>
  </sheets>
  <calcPr calcId="191029" iterate="1" iterateDelta="9.8999999999999999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4" i="4" l="1"/>
  <c r="C72" i="4"/>
  <c r="C56" i="4"/>
  <c r="C44" i="4"/>
  <c r="C28" i="4"/>
  <c r="C8" i="4"/>
  <c r="C9" i="5"/>
  <c r="S15" i="2" l="1"/>
  <c r="S14" i="2"/>
  <c r="S13" i="2"/>
  <c r="S12" i="2"/>
  <c r="S11" i="2"/>
  <c r="S10" i="2"/>
  <c r="S9" i="2"/>
  <c r="S8" i="2"/>
  <c r="S7" i="2"/>
  <c r="S6" i="2"/>
  <c r="O15" i="2"/>
  <c r="N13" i="2"/>
  <c r="N10" i="2"/>
  <c r="N8" i="2"/>
  <c r="N7" i="2"/>
  <c r="C88" i="4"/>
  <c r="C87" i="4"/>
  <c r="C76" i="4"/>
  <c r="C75" i="4"/>
  <c r="C60" i="4"/>
  <c r="C59" i="4"/>
  <c r="C89" i="4"/>
  <c r="C77" i="4"/>
  <c r="C61" i="4"/>
  <c r="C48" i="4"/>
  <c r="C47" i="4"/>
  <c r="C49" i="4"/>
  <c r="C31" i="4"/>
  <c r="C32" i="4"/>
  <c r="C33" i="4"/>
  <c r="F15" i="2"/>
  <c r="G15" i="2" s="1"/>
  <c r="H15" i="2" s="1"/>
  <c r="F14" i="2"/>
  <c r="G14" i="2" s="1"/>
  <c r="H14" i="2" s="1"/>
  <c r="F13" i="2"/>
  <c r="G13" i="2" s="1"/>
  <c r="I13" i="2" s="1"/>
  <c r="F12" i="2"/>
  <c r="G12" i="2" s="1"/>
  <c r="H12" i="2" s="1"/>
  <c r="F11" i="2"/>
  <c r="G11" i="2" s="1"/>
  <c r="H11" i="2" s="1"/>
  <c r="F10" i="2"/>
  <c r="G10" i="2" s="1"/>
  <c r="I10" i="2" s="1"/>
  <c r="F9" i="2"/>
  <c r="F8" i="2"/>
  <c r="G8" i="2" s="1"/>
  <c r="H8" i="2" s="1"/>
  <c r="F7" i="2"/>
  <c r="G7" i="2" s="1"/>
  <c r="C11" i="4"/>
  <c r="C12" i="4"/>
  <c r="C13" i="4"/>
  <c r="C15" i="3"/>
  <c r="C16" i="3" s="1"/>
  <c r="C9" i="3"/>
  <c r="J11" i="2" s="1"/>
  <c r="G9" i="2"/>
  <c r="I9" i="2" s="1"/>
  <c r="F6" i="2"/>
  <c r="G6" i="2" s="1"/>
  <c r="I6" i="2" s="1"/>
  <c r="C78" i="4" l="1"/>
  <c r="N14" i="2" s="1"/>
  <c r="C14" i="4"/>
  <c r="N6" i="2" s="1"/>
  <c r="C90" i="4"/>
  <c r="N15" i="2" s="1"/>
  <c r="P15" i="2" s="1"/>
  <c r="O6" i="2"/>
  <c r="O7" i="2"/>
  <c r="P7" i="2" s="1"/>
  <c r="O8" i="2"/>
  <c r="P8" i="2" s="1"/>
  <c r="O9" i="2"/>
  <c r="O10" i="2"/>
  <c r="P10" i="2" s="1"/>
  <c r="O11" i="2"/>
  <c r="O12" i="2"/>
  <c r="O13" i="2"/>
  <c r="P13" i="2" s="1"/>
  <c r="O14" i="2"/>
  <c r="P14" i="2" s="1"/>
  <c r="C62" i="4"/>
  <c r="N12" i="2" s="1"/>
  <c r="P12" i="2" s="1"/>
  <c r="C50" i="4"/>
  <c r="N11" i="2" s="1"/>
  <c r="C34" i="4"/>
  <c r="N9" i="2" s="1"/>
  <c r="H7" i="2"/>
  <c r="I7" i="2"/>
  <c r="I8" i="2"/>
  <c r="H9" i="2"/>
  <c r="I11" i="2"/>
  <c r="H6" i="2"/>
  <c r="J12" i="2"/>
  <c r="J13" i="2"/>
  <c r="J14" i="2"/>
  <c r="J15" i="2"/>
  <c r="K15" i="2"/>
  <c r="K14" i="2"/>
  <c r="K13" i="2"/>
  <c r="K8" i="2"/>
  <c r="K12" i="2"/>
  <c r="K9" i="2"/>
  <c r="K7" i="2"/>
  <c r="K6" i="2"/>
  <c r="K11" i="2"/>
  <c r="M11" i="2" s="1"/>
  <c r="K10" i="2"/>
  <c r="J6" i="2"/>
  <c r="M6" i="2" s="1"/>
  <c r="J7" i="2"/>
  <c r="M7" i="2" s="1"/>
  <c r="J8" i="2"/>
  <c r="J9" i="2"/>
  <c r="J10" i="2"/>
  <c r="I12" i="2"/>
  <c r="H13" i="2"/>
  <c r="I14" i="2"/>
  <c r="I15" i="2"/>
  <c r="H10" i="2"/>
  <c r="M10" i="2" l="1"/>
  <c r="P11" i="2"/>
  <c r="R11" i="2" s="1"/>
  <c r="T11" i="2" s="1"/>
  <c r="M12" i="2"/>
  <c r="M8" i="2"/>
  <c r="Q8" i="2" s="1"/>
  <c r="M14" i="2"/>
  <c r="Q14" i="2" s="1"/>
  <c r="M9" i="2"/>
  <c r="P6" i="2"/>
  <c r="R6" i="2" s="1"/>
  <c r="T6" i="2" s="1"/>
  <c r="P9" i="2"/>
  <c r="M13" i="2"/>
  <c r="Q13" i="2" s="1"/>
  <c r="R12" i="2"/>
  <c r="T12" i="2" s="1"/>
  <c r="M15" i="2"/>
  <c r="R15" i="2" s="1"/>
  <c r="T15" i="2" s="1"/>
  <c r="R8" i="2"/>
  <c r="T8" i="2" s="1"/>
  <c r="R14" i="2"/>
  <c r="T14" i="2" s="1"/>
  <c r="R9" i="2"/>
  <c r="T9" i="2" s="1"/>
  <c r="Q9" i="2"/>
  <c r="R7" i="2"/>
  <c r="T7" i="2" s="1"/>
  <c r="Q7" i="2"/>
  <c r="Q6" i="2"/>
  <c r="Q12" i="2"/>
  <c r="Q11" i="2"/>
  <c r="Q10" i="2"/>
  <c r="R10" i="2"/>
  <c r="T10" i="2" s="1"/>
  <c r="Q15" i="2" l="1"/>
  <c r="R13" i="2"/>
  <c r="T13" i="2" s="1"/>
</calcChain>
</file>

<file path=xl/sharedStrings.xml><?xml version="1.0" encoding="utf-8"?>
<sst xmlns="http://schemas.openxmlformats.org/spreadsheetml/2006/main" count="157" uniqueCount="95">
  <si>
    <t>S.No.</t>
  </si>
  <si>
    <t>Name</t>
  </si>
  <si>
    <t>Debt / Eq</t>
  </si>
  <si>
    <t>Maruti Suzuki</t>
  </si>
  <si>
    <t>M &amp; M</t>
  </si>
  <si>
    <t>Tata Motors</t>
  </si>
  <si>
    <t>Total Debt</t>
  </si>
  <si>
    <t>Kd(Pre tax)</t>
  </si>
  <si>
    <t>Kd(Post tax)</t>
  </si>
  <si>
    <t>Tax Rate</t>
  </si>
  <si>
    <t>Mar Cap Rs.Cr.</t>
  </si>
  <si>
    <t>Total Capital</t>
  </si>
  <si>
    <t>Equity/Total Cap</t>
  </si>
  <si>
    <t>Debt/Total Cap</t>
  </si>
  <si>
    <t>Rf(Risk free rate)</t>
  </si>
  <si>
    <t>ERP(Equity risk prem)</t>
  </si>
  <si>
    <t>Beta (5Y)</t>
  </si>
  <si>
    <t>Ke(Cost of Equity)</t>
  </si>
  <si>
    <t>Ashok Leyland</t>
  </si>
  <si>
    <t>Bajaj Auto</t>
  </si>
  <si>
    <t>Eicher Motors</t>
  </si>
  <si>
    <t>TVS Motor Co.</t>
  </si>
  <si>
    <t>Exide Inds.</t>
  </si>
  <si>
    <t>MRF</t>
  </si>
  <si>
    <t>Calculation of Cost of Equity</t>
  </si>
  <si>
    <t>Cal of Rf (risk free rate)</t>
  </si>
  <si>
    <t>India 10-Year Bond Yield</t>
  </si>
  <si>
    <t>BBB</t>
  </si>
  <si>
    <t xml:space="preserve"> (S&amp;P rating)</t>
  </si>
  <si>
    <t>Default Spread</t>
  </si>
  <si>
    <t>RF</t>
  </si>
  <si>
    <t>Mature Market ERP (US)</t>
  </si>
  <si>
    <t>Indian ERP</t>
  </si>
  <si>
    <t>ERP (Equity risk premium)</t>
  </si>
  <si>
    <t>Beta</t>
  </si>
  <si>
    <t>Beta regression of 5 years</t>
  </si>
  <si>
    <t>Hero Motocorp</t>
  </si>
  <si>
    <t>Tax Calculation</t>
  </si>
  <si>
    <t>India Corporate Tax Rate</t>
  </si>
  <si>
    <t>surcharge</t>
  </si>
  <si>
    <t>education cess</t>
  </si>
  <si>
    <t>Marginal Tax Rate</t>
  </si>
  <si>
    <t>Cost of Debt</t>
  </si>
  <si>
    <t>Cal of Kd for Maruti Suzuki</t>
  </si>
  <si>
    <t>Rating (Spread)</t>
  </si>
  <si>
    <t>Kd</t>
  </si>
  <si>
    <t>10Y Bond rate</t>
  </si>
  <si>
    <t xml:space="preserve">Country default spread </t>
  </si>
  <si>
    <t>Kd(cost of debt)</t>
  </si>
  <si>
    <t>Cal of Kd for M&amp;M</t>
  </si>
  <si>
    <t>Kd(Recently issued Senior Redeemable Non-Convertible Debentures)</t>
  </si>
  <si>
    <t>Cal of Kd for Tata Motors</t>
  </si>
  <si>
    <t>Kd(Recently issued Tranche I,II &amp; III)</t>
  </si>
  <si>
    <t>Cal of Kd for Hero Motocorp</t>
  </si>
  <si>
    <t>Cal of Kd for Ashok Leyland</t>
  </si>
  <si>
    <t>Kd (Recently issued NCD &lt;1)</t>
  </si>
  <si>
    <t>Cal of Kd for Bajaj Auto</t>
  </si>
  <si>
    <t>Cal of Kd for Eicher Motors</t>
  </si>
  <si>
    <t>Rating Approach</t>
  </si>
  <si>
    <t>Rating (CRISIL)</t>
  </si>
  <si>
    <t>AAA Stable</t>
  </si>
  <si>
    <t>Rating (ICRA)</t>
  </si>
  <si>
    <t>Cal of Kd for TVS Motor Co.</t>
  </si>
  <si>
    <t>Cal of Kd for Exide Inds.</t>
  </si>
  <si>
    <t>Cal of Kd for MRF</t>
  </si>
  <si>
    <t>Rating (CARE)</t>
  </si>
  <si>
    <t>#</t>
  </si>
  <si>
    <t>WACC (Post tax)</t>
  </si>
  <si>
    <t>WACC (Pre tax)</t>
  </si>
  <si>
    <t>Size Premium</t>
  </si>
  <si>
    <t>WACC – Auto &amp; Auto Components</t>
  </si>
  <si>
    <t>Large Cap</t>
  </si>
  <si>
    <t>Mid Cap</t>
  </si>
  <si>
    <t>Small Cap</t>
  </si>
  <si>
    <t>Micro</t>
  </si>
  <si>
    <t>Adjusted WACC (Post tax)</t>
  </si>
  <si>
    <t>Data</t>
  </si>
  <si>
    <t>Company default spread</t>
  </si>
  <si>
    <t>Rating is</t>
  </si>
  <si>
    <t>Spread is</t>
  </si>
  <si>
    <t>D2/D</t>
  </si>
  <si>
    <t>C2/C</t>
  </si>
  <si>
    <t>Ca2/CC</t>
  </si>
  <si>
    <t>Caa/CCC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</si>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</sst>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32526"/>
      <name val="Segoe UI"/>
      <family val="2"/>
    </font>
    <font>
      <sz val="11"/>
      <color rgb="FF232526"/>
      <name val="Calibri"/>
      <family val="2"/>
      <scheme val="minor"/>
    </font>
    <font>
      <sz val="9"/>
      <color rgb="FF212529"/>
      <name val="Arial"/>
      <family val="2"/>
    </font>
    <font>
      <sz val="10"/>
      <color rgb="FF000000"/>
      <name val="Times New Roman"/>
      <family val="1"/>
    </font>
    <font>
      <sz val="11"/>
      <color rgb="FF22222F"/>
      <name val="Calibri"/>
      <family val="2"/>
      <scheme val="minor"/>
    </font>
    <font>
      <sz val="10"/>
      <color rgb="FF464646"/>
      <name val="PwC Helvetica Neue"/>
    </font>
    <font>
      <sz val="10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2" fontId="0" fillId="0" borderId="0" xfId="0" applyNumberFormat="1"/>
    <xf numFmtId="0" fontId="4" fillId="0" borderId="0" xfId="0" applyFont="1"/>
    <xf numFmtId="0" fontId="6" fillId="0" borderId="0" xfId="0" applyFont="1" applyAlignment="1">
      <alignment horizontal="right"/>
    </xf>
    <xf numFmtId="10" fontId="7" fillId="0" borderId="0" xfId="0" applyNumberFormat="1" applyFont="1"/>
    <xf numFmtId="10" fontId="5" fillId="0" borderId="0" xfId="1" applyNumberFormat="1" applyFont="1"/>
    <xf numFmtId="0" fontId="2" fillId="4" borderId="0" xfId="0" applyFont="1" applyFill="1"/>
    <xf numFmtId="10" fontId="2" fillId="4" borderId="0" xfId="0" applyNumberFormat="1" applyFont="1" applyFill="1"/>
    <xf numFmtId="0" fontId="0" fillId="5" borderId="0" xfId="0" applyFill="1"/>
    <xf numFmtId="0" fontId="3" fillId="3" borderId="0" xfId="0" applyFont="1" applyFill="1" applyAlignment="1">
      <alignment horizontal="right"/>
    </xf>
    <xf numFmtId="2" fontId="8" fillId="2" borderId="0" xfId="0" applyNumberFormat="1" applyFont="1" applyFill="1" applyAlignment="1">
      <alignment horizontal="right" vertical="center" wrapText="1"/>
    </xf>
    <xf numFmtId="164" fontId="0" fillId="0" borderId="0" xfId="0" applyNumberFormat="1"/>
    <xf numFmtId="0" fontId="9" fillId="0" borderId="0" xfId="0" applyFont="1"/>
    <xf numFmtId="0" fontId="2" fillId="0" borderId="0" xfId="0" applyFont="1"/>
    <xf numFmtId="0" fontId="2" fillId="6" borderId="0" xfId="0" applyFont="1" applyFill="1"/>
    <xf numFmtId="0" fontId="0" fillId="7" borderId="0" xfId="0" applyFill="1"/>
    <xf numFmtId="0" fontId="2" fillId="4" borderId="0" xfId="0" applyFont="1" applyFill="1" applyAlignment="1">
      <alignment wrapText="1"/>
    </xf>
    <xf numFmtId="0" fontId="12" fillId="5" borderId="0" xfId="0" applyFont="1" applyFill="1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10" fontId="10" fillId="0" borderId="0" xfId="1" applyNumberFormat="1" applyFont="1" applyBorder="1" applyAlignment="1">
      <alignment horizontal="right"/>
    </xf>
    <xf numFmtId="165" fontId="2" fillId="4" borderId="0" xfId="0" applyNumberFormat="1" applyFont="1" applyFill="1"/>
    <xf numFmtId="0" fontId="1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213B-2470-47F7-AD3A-91B61A606282}">
  <dimension ref="B2:T18"/>
  <sheetViews>
    <sheetView showGridLines="0" tabSelected="1" topLeftCell="I1" workbookViewId="0">
      <selection activeCell="M8" sqref="M8"/>
    </sheetView>
  </sheetViews>
  <sheetFormatPr defaultRowHeight="14.4"/>
  <cols>
    <col min="1" max="1" width="1.88671875" customWidth="1"/>
    <col min="3" max="10" width="15.77734375" customWidth="1"/>
    <col min="11" max="11" width="18.33203125" bestFit="1" customWidth="1"/>
    <col min="12" max="12" width="14.6640625" customWidth="1"/>
    <col min="13" max="13" width="18.77734375" customWidth="1"/>
    <col min="14" max="16" width="15.77734375" customWidth="1"/>
    <col min="17" max="17" width="16.88671875" customWidth="1"/>
    <col min="18" max="18" width="15.88671875" customWidth="1"/>
    <col min="19" max="19" width="12.77734375" customWidth="1"/>
    <col min="20" max="20" width="23.44140625" customWidth="1"/>
  </cols>
  <sheetData>
    <row r="2" spans="2:20" ht="17.399999999999999">
      <c r="B2" s="28" t="s">
        <v>70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4" spans="2:20">
      <c r="B4" s="5" t="s">
        <v>0</v>
      </c>
      <c r="C4" s="6" t="s">
        <v>1</v>
      </c>
      <c r="D4" s="15" t="s">
        <v>10</v>
      </c>
      <c r="E4" s="15" t="s">
        <v>2</v>
      </c>
      <c r="F4" s="15" t="s">
        <v>6</v>
      </c>
      <c r="G4" s="15" t="s">
        <v>11</v>
      </c>
      <c r="H4" s="15" t="s">
        <v>12</v>
      </c>
      <c r="I4" s="15" t="s">
        <v>13</v>
      </c>
      <c r="J4" s="15" t="s">
        <v>14</v>
      </c>
      <c r="K4" s="15" t="s">
        <v>15</v>
      </c>
      <c r="L4" s="15" t="s">
        <v>16</v>
      </c>
      <c r="M4" s="15" t="s">
        <v>17</v>
      </c>
      <c r="N4" s="15" t="s">
        <v>7</v>
      </c>
      <c r="O4" s="15" t="s">
        <v>9</v>
      </c>
      <c r="P4" s="15" t="s">
        <v>8</v>
      </c>
      <c r="Q4" s="15" t="s">
        <v>68</v>
      </c>
      <c r="R4" s="15" t="s">
        <v>67</v>
      </c>
      <c r="S4" s="15" t="s">
        <v>69</v>
      </c>
      <c r="T4" s="15" t="s">
        <v>75</v>
      </c>
    </row>
    <row r="5" spans="2:20" ht="6.6" customHeight="1">
      <c r="B5" s="3"/>
    </row>
    <row r="6" spans="2:20">
      <c r="B6" s="3">
        <v>1</v>
      </c>
      <c r="C6" t="s">
        <v>3</v>
      </c>
      <c r="D6" s="7">
        <v>442833.86</v>
      </c>
      <c r="E6" s="7">
        <v>0</v>
      </c>
      <c r="F6" s="7">
        <f>D6*E6</f>
        <v>0</v>
      </c>
      <c r="G6" s="7">
        <f>D6+F6</f>
        <v>442833.86</v>
      </c>
      <c r="H6" s="4">
        <f>D6/G6</f>
        <v>1</v>
      </c>
      <c r="I6" s="4">
        <f>F6/G6</f>
        <v>0</v>
      </c>
      <c r="J6" s="17">
        <f>'Ke(cost of eq)'!$C$9</f>
        <v>5.2610000000000004E-2</v>
      </c>
      <c r="K6" s="17">
        <f>'Ke(cost of eq)'!$C$16</f>
        <v>5.04E-2</v>
      </c>
      <c r="L6">
        <v>0.19</v>
      </c>
      <c r="M6" s="17">
        <f>J6+(K6*L6)</f>
        <v>6.2186000000000005E-2</v>
      </c>
      <c r="N6" s="17">
        <f>'Kd(cost of debt)'!C14</f>
        <v>8.1110000000000002E-2</v>
      </c>
      <c r="O6" s="17">
        <f>Info!$C$9</f>
        <v>0.25168000000000001</v>
      </c>
      <c r="P6" s="17">
        <f>N6*(1-O6)</f>
        <v>6.0696235199999997E-2</v>
      </c>
      <c r="Q6" s="17">
        <f>(M6*H6)+(N6*I6)</f>
        <v>6.2186000000000005E-2</v>
      </c>
      <c r="R6" s="17">
        <f>(M6*H6)+(P6*I6)</f>
        <v>6.2186000000000005E-2</v>
      </c>
      <c r="S6" s="17">
        <f>Info!C13</f>
        <v>3.5999999999999997E-2</v>
      </c>
      <c r="T6" s="17">
        <f>R6+S6</f>
        <v>9.8185999999999996E-2</v>
      </c>
    </row>
    <row r="7" spans="2:20">
      <c r="B7" s="3">
        <v>2</v>
      </c>
      <c r="C7" t="s">
        <v>4</v>
      </c>
      <c r="D7" s="7">
        <v>420885.35</v>
      </c>
      <c r="E7" s="7">
        <v>1.67</v>
      </c>
      <c r="F7" s="7">
        <f t="shared" ref="F7:F15" si="0">D7*E7</f>
        <v>702878.53449999995</v>
      </c>
      <c r="G7" s="7">
        <f t="shared" ref="G7:G9" si="1">D7+F7</f>
        <v>1123763.8844999999</v>
      </c>
      <c r="H7" s="4">
        <f t="shared" ref="H7:H9" si="2">D7/G7</f>
        <v>0.37453183520599254</v>
      </c>
      <c r="I7" s="4">
        <f t="shared" ref="I7:I9" si="3">F7/G7</f>
        <v>0.62546816479400746</v>
      </c>
      <c r="J7" s="17">
        <f>'Ke(cost of eq)'!$C$9</f>
        <v>5.2610000000000004E-2</v>
      </c>
      <c r="K7" s="17">
        <f>'Ke(cost of eq)'!$C$16</f>
        <v>5.04E-2</v>
      </c>
      <c r="L7">
        <v>0.51</v>
      </c>
      <c r="M7" s="17">
        <f t="shared" ref="M7:M15" si="4">J7+(K7*L7)</f>
        <v>7.8314000000000009E-2</v>
      </c>
      <c r="N7" s="17">
        <f>'Kd(cost of debt)'!C18</f>
        <v>9.5500000000000002E-2</v>
      </c>
      <c r="O7" s="17">
        <f>Info!$C$9</f>
        <v>0.25168000000000001</v>
      </c>
      <c r="P7" s="17">
        <f t="shared" ref="P7:P15" si="5">N7*(1-O7)</f>
        <v>7.1464559999999996E-2</v>
      </c>
      <c r="Q7" s="17">
        <f t="shared" ref="Q7:Q15" si="6">(M7*H7)+(N7*I7)</f>
        <v>8.9063295880149815E-2</v>
      </c>
      <c r="R7" s="17">
        <f t="shared" ref="R7:R15" si="7">(M7*H7)+(P7*I7)</f>
        <v>7.4029893333333333E-2</v>
      </c>
      <c r="S7" s="17">
        <f>Info!C13</f>
        <v>3.5999999999999997E-2</v>
      </c>
      <c r="T7" s="17">
        <f t="shared" ref="T7:T15" si="8">R7+S7</f>
        <v>0.11002989333333332</v>
      </c>
    </row>
    <row r="8" spans="2:20">
      <c r="B8" s="3">
        <v>3</v>
      </c>
      <c r="C8" t="s">
        <v>5</v>
      </c>
      <c r="D8" s="7">
        <v>248902.35</v>
      </c>
      <c r="E8" s="7">
        <v>0.62</v>
      </c>
      <c r="F8" s="7">
        <f t="shared" si="0"/>
        <v>154319.45699999999</v>
      </c>
      <c r="G8" s="7">
        <f t="shared" si="1"/>
        <v>403221.80700000003</v>
      </c>
      <c r="H8" s="4">
        <f t="shared" si="2"/>
        <v>0.61728395061728392</v>
      </c>
      <c r="I8" s="4">
        <f t="shared" si="3"/>
        <v>0.38271604938271603</v>
      </c>
      <c r="J8" s="17">
        <f>'Ke(cost of eq)'!$C$9</f>
        <v>5.2610000000000004E-2</v>
      </c>
      <c r="K8" s="17">
        <f>'Ke(cost of eq)'!$C$16</f>
        <v>5.04E-2</v>
      </c>
      <c r="L8">
        <v>1.1200000000000001</v>
      </c>
      <c r="M8" s="17">
        <f t="shared" si="4"/>
        <v>0.10905800000000002</v>
      </c>
      <c r="N8" s="17">
        <f>'Kd(cost of debt)'!C22</f>
        <v>7.6499999999999999E-2</v>
      </c>
      <c r="O8" s="17">
        <f>Info!$C$9</f>
        <v>0.25168000000000001</v>
      </c>
      <c r="P8" s="17">
        <f t="shared" si="5"/>
        <v>5.7246479999999995E-2</v>
      </c>
      <c r="Q8" s="17">
        <f t="shared" si="6"/>
        <v>9.6597530864197534E-2</v>
      </c>
      <c r="R8" s="17">
        <f t="shared" si="7"/>
        <v>8.9228899753086427E-2</v>
      </c>
      <c r="S8" s="17">
        <f>Info!C13</f>
        <v>3.5999999999999997E-2</v>
      </c>
      <c r="T8" s="17">
        <f t="shared" si="8"/>
        <v>0.12522889975308643</v>
      </c>
    </row>
    <row r="9" spans="2:20">
      <c r="B9" s="3">
        <v>4</v>
      </c>
      <c r="C9" t="s">
        <v>36</v>
      </c>
      <c r="D9" s="16">
        <v>99756.2</v>
      </c>
      <c r="E9" s="16">
        <v>0.04</v>
      </c>
      <c r="F9" s="7">
        <f t="shared" si="0"/>
        <v>3990.248</v>
      </c>
      <c r="G9" s="7">
        <f t="shared" si="1"/>
        <v>103746.448</v>
      </c>
      <c r="H9" s="4">
        <f t="shared" si="2"/>
        <v>0.96153846153846145</v>
      </c>
      <c r="I9" s="4">
        <f t="shared" si="3"/>
        <v>3.8461538461538464E-2</v>
      </c>
      <c r="J9" s="17">
        <f>'Ke(cost of eq)'!$C$9</f>
        <v>5.2610000000000004E-2</v>
      </c>
      <c r="K9" s="17">
        <f>'Ke(cost of eq)'!$C$16</f>
        <v>5.04E-2</v>
      </c>
      <c r="L9">
        <v>0.71</v>
      </c>
      <c r="M9" s="17">
        <f t="shared" si="4"/>
        <v>8.8394E-2</v>
      </c>
      <c r="N9" s="17">
        <f>'Kd(cost of debt)'!C34</f>
        <v>8.1110000000000002E-2</v>
      </c>
      <c r="O9" s="17">
        <f>Info!$C$9</f>
        <v>0.25168000000000001</v>
      </c>
      <c r="P9" s="17">
        <f t="shared" si="5"/>
        <v>6.0696235199999997E-2</v>
      </c>
      <c r="Q9" s="17">
        <f t="shared" si="6"/>
        <v>8.8113846153846154E-2</v>
      </c>
      <c r="R9" s="17">
        <f t="shared" si="7"/>
        <v>8.7328701353846155E-2</v>
      </c>
      <c r="S9" s="17">
        <f>Info!C13</f>
        <v>3.5999999999999997E-2</v>
      </c>
      <c r="T9" s="17">
        <f t="shared" si="8"/>
        <v>0.12332870135384616</v>
      </c>
    </row>
    <row r="10" spans="2:20">
      <c r="B10" s="3">
        <v>5</v>
      </c>
      <c r="C10" t="s">
        <v>18</v>
      </c>
      <c r="D10" s="7">
        <v>77390.710000000006</v>
      </c>
      <c r="E10" s="7">
        <v>4.08</v>
      </c>
      <c r="F10" s="7">
        <f t="shared" si="0"/>
        <v>315754.09680000006</v>
      </c>
      <c r="G10" s="7">
        <f t="shared" ref="G10:G15" si="9">D10+F10</f>
        <v>393144.80680000008</v>
      </c>
      <c r="H10" s="4">
        <f t="shared" ref="H10:H15" si="10">D10/G10</f>
        <v>0.19685039370078738</v>
      </c>
      <c r="I10" s="4">
        <f t="shared" ref="I10:I15" si="11">F10/G10</f>
        <v>0.80314960629921262</v>
      </c>
      <c r="J10" s="17">
        <f>'Ke(cost of eq)'!$C$9</f>
        <v>5.2610000000000004E-2</v>
      </c>
      <c r="K10" s="17">
        <f>'Ke(cost of eq)'!$C$16</f>
        <v>5.04E-2</v>
      </c>
      <c r="L10">
        <v>0.35</v>
      </c>
      <c r="M10" s="17">
        <f t="shared" si="4"/>
        <v>7.0250000000000007E-2</v>
      </c>
      <c r="N10" s="17">
        <f>'Kd(cost of debt)'!C38</f>
        <v>8.7999999999999995E-2</v>
      </c>
      <c r="O10" s="17">
        <f>Info!$C$9</f>
        <v>0.25168000000000001</v>
      </c>
      <c r="P10" s="17">
        <f t="shared" si="5"/>
        <v>6.5852159999999993E-2</v>
      </c>
      <c r="Q10" s="17">
        <f t="shared" si="6"/>
        <v>8.4505905511811016E-2</v>
      </c>
      <c r="R10" s="17">
        <f t="shared" si="7"/>
        <v>6.6717876535433068E-2</v>
      </c>
      <c r="S10" s="17">
        <f>Info!C13</f>
        <v>3.5999999999999997E-2</v>
      </c>
      <c r="T10" s="17">
        <f t="shared" si="8"/>
        <v>0.10271787653543307</v>
      </c>
    </row>
    <row r="11" spans="2:20">
      <c r="B11" s="3">
        <v>6</v>
      </c>
      <c r="C11" t="s">
        <v>19</v>
      </c>
      <c r="D11" s="7">
        <v>239960.18</v>
      </c>
      <c r="E11" s="7">
        <v>0.27</v>
      </c>
      <c r="F11" s="7">
        <f t="shared" si="0"/>
        <v>64789.248599999999</v>
      </c>
      <c r="G11" s="7">
        <f t="shared" si="9"/>
        <v>304749.42859999998</v>
      </c>
      <c r="H11" s="4">
        <f t="shared" si="10"/>
        <v>0.78740157480314965</v>
      </c>
      <c r="I11" s="4">
        <f t="shared" si="11"/>
        <v>0.2125984251968504</v>
      </c>
      <c r="J11" s="17">
        <f>'Ke(cost of eq)'!$C$9</f>
        <v>5.2610000000000004E-2</v>
      </c>
      <c r="K11" s="17">
        <f>'Ke(cost of eq)'!$C$16</f>
        <v>5.04E-2</v>
      </c>
      <c r="L11">
        <v>0.77</v>
      </c>
      <c r="M11" s="17">
        <f t="shared" si="4"/>
        <v>9.1417999999999999E-2</v>
      </c>
      <c r="N11" s="17">
        <f>'Kd(cost of debt)'!C50</f>
        <v>8.1110000000000002E-2</v>
      </c>
      <c r="O11" s="17">
        <f>Info!$C$9</f>
        <v>0.25168000000000001</v>
      </c>
      <c r="P11" s="17">
        <f t="shared" si="5"/>
        <v>6.0696235199999997E-2</v>
      </c>
      <c r="Q11" s="17">
        <f t="shared" si="6"/>
        <v>8.922653543307088E-2</v>
      </c>
      <c r="R11" s="17">
        <f t="shared" si="7"/>
        <v>8.4886601184251981E-2</v>
      </c>
      <c r="S11" s="17">
        <f>Info!C13</f>
        <v>3.5999999999999997E-2</v>
      </c>
      <c r="T11" s="17">
        <f t="shared" si="8"/>
        <v>0.12088660118425198</v>
      </c>
    </row>
    <row r="12" spans="2:20">
      <c r="B12" s="3">
        <v>7</v>
      </c>
      <c r="C12" t="s">
        <v>20</v>
      </c>
      <c r="D12" s="7">
        <v>162170.03</v>
      </c>
      <c r="E12" s="7">
        <v>0.02</v>
      </c>
      <c r="F12" s="7">
        <f t="shared" si="0"/>
        <v>3243.4005999999999</v>
      </c>
      <c r="G12" s="7">
        <f t="shared" si="9"/>
        <v>165413.43059999999</v>
      </c>
      <c r="H12" s="4">
        <f t="shared" si="10"/>
        <v>0.98039215686274517</v>
      </c>
      <c r="I12" s="4">
        <f t="shared" si="11"/>
        <v>1.9607843137254902E-2</v>
      </c>
      <c r="J12" s="17">
        <f>'Ke(cost of eq)'!$C$9</f>
        <v>5.2610000000000004E-2</v>
      </c>
      <c r="K12" s="17">
        <f>'Ke(cost of eq)'!$C$16</f>
        <v>5.04E-2</v>
      </c>
      <c r="L12">
        <v>0.13</v>
      </c>
      <c r="M12" s="17">
        <f t="shared" si="4"/>
        <v>5.9162000000000006E-2</v>
      </c>
      <c r="N12" s="17">
        <f>'Kd(cost of debt)'!C62</f>
        <v>8.1110000000000002E-2</v>
      </c>
      <c r="O12" s="17">
        <f>Info!$C$9</f>
        <v>0.25168000000000001</v>
      </c>
      <c r="P12" s="17">
        <f t="shared" si="5"/>
        <v>6.0696235199999997E-2</v>
      </c>
      <c r="Q12" s="17">
        <f t="shared" si="6"/>
        <v>5.9592352941176485E-2</v>
      </c>
      <c r="R12" s="17">
        <f t="shared" si="7"/>
        <v>5.9192083043137264E-2</v>
      </c>
      <c r="S12" s="17">
        <f>Info!C13</f>
        <v>3.5999999999999997E-2</v>
      </c>
      <c r="T12" s="17">
        <f t="shared" si="8"/>
        <v>9.5192083043137254E-2</v>
      </c>
    </row>
    <row r="13" spans="2:20">
      <c r="B13" s="3">
        <v>8</v>
      </c>
      <c r="C13" t="s">
        <v>21</v>
      </c>
      <c r="D13" s="7">
        <v>152913.17000000001</v>
      </c>
      <c r="E13" s="7">
        <v>3.36</v>
      </c>
      <c r="F13" s="7">
        <f t="shared" si="0"/>
        <v>513788.2512</v>
      </c>
      <c r="G13" s="7">
        <f t="shared" si="9"/>
        <v>666701.42119999998</v>
      </c>
      <c r="H13" s="4">
        <f t="shared" si="10"/>
        <v>0.22935779816513763</v>
      </c>
      <c r="I13" s="4">
        <f t="shared" si="11"/>
        <v>0.77064220183486243</v>
      </c>
      <c r="J13" s="17">
        <f>'Ke(cost of eq)'!$C$9</f>
        <v>5.2610000000000004E-2</v>
      </c>
      <c r="K13" s="17">
        <f>'Ke(cost of eq)'!$C$16</f>
        <v>5.04E-2</v>
      </c>
      <c r="L13">
        <v>0.04</v>
      </c>
      <c r="M13" s="17">
        <f t="shared" si="4"/>
        <v>5.4626000000000001E-2</v>
      </c>
      <c r="N13" s="17">
        <f>'Kd(cost of debt)'!C66</f>
        <v>8.3000000000000004E-2</v>
      </c>
      <c r="O13" s="17">
        <f>Info!$C$9</f>
        <v>0.25168000000000001</v>
      </c>
      <c r="P13" s="17">
        <f t="shared" si="5"/>
        <v>6.2110560000000002E-2</v>
      </c>
      <c r="Q13" s="17">
        <f t="shared" si="6"/>
        <v>7.6492201834862397E-2</v>
      </c>
      <c r="R13" s="17">
        <f t="shared" si="7"/>
        <v>6.0393917798165143E-2</v>
      </c>
      <c r="S13" s="17">
        <f>Info!C13</f>
        <v>3.5999999999999997E-2</v>
      </c>
      <c r="T13" s="17">
        <f t="shared" si="8"/>
        <v>9.6393917798165141E-2</v>
      </c>
    </row>
    <row r="14" spans="2:20">
      <c r="B14" s="3">
        <v>9</v>
      </c>
      <c r="C14" t="s">
        <v>22</v>
      </c>
      <c r="D14" s="7">
        <v>32003.59</v>
      </c>
      <c r="E14" s="7">
        <v>0.14000000000000001</v>
      </c>
      <c r="F14" s="7">
        <f t="shared" si="0"/>
        <v>4480.5026000000007</v>
      </c>
      <c r="G14" s="7">
        <f t="shared" si="9"/>
        <v>36484.092600000004</v>
      </c>
      <c r="H14" s="4">
        <f t="shared" si="10"/>
        <v>0.8771929824561403</v>
      </c>
      <c r="I14" s="4">
        <f t="shared" si="11"/>
        <v>0.12280701754385966</v>
      </c>
      <c r="J14" s="17">
        <f>'Ke(cost of eq)'!$C$9</f>
        <v>5.2610000000000004E-2</v>
      </c>
      <c r="K14" s="17">
        <f>'Ke(cost of eq)'!$C$16</f>
        <v>5.04E-2</v>
      </c>
      <c r="L14">
        <v>0.56000000000000005</v>
      </c>
      <c r="M14" s="17">
        <f t="shared" si="4"/>
        <v>8.0834000000000003E-2</v>
      </c>
      <c r="N14" s="17">
        <f>'Kd(cost of debt)'!C78</f>
        <v>8.1110000000000002E-2</v>
      </c>
      <c r="O14" s="17">
        <f>Info!$C$9</f>
        <v>0.25168000000000001</v>
      </c>
      <c r="P14" s="17">
        <f t="shared" si="5"/>
        <v>6.0696235199999997E-2</v>
      </c>
      <c r="Q14" s="17">
        <f t="shared" si="6"/>
        <v>8.0867894736842111E-2</v>
      </c>
      <c r="R14" s="17">
        <f t="shared" si="7"/>
        <v>7.8360941164912282E-2</v>
      </c>
      <c r="S14" s="17">
        <f>Info!C14</f>
        <v>8.1000000000000003E-2</v>
      </c>
      <c r="T14" s="17">
        <f t="shared" si="8"/>
        <v>0.15936094116491228</v>
      </c>
    </row>
    <row r="15" spans="2:20">
      <c r="B15" s="3">
        <v>10</v>
      </c>
      <c r="C15" t="s">
        <v>23</v>
      </c>
      <c r="D15" s="7">
        <v>61310.43</v>
      </c>
      <c r="E15" s="7">
        <v>0.2</v>
      </c>
      <c r="F15" s="7">
        <f t="shared" si="0"/>
        <v>12262.086000000001</v>
      </c>
      <c r="G15" s="7">
        <f t="shared" si="9"/>
        <v>73572.516000000003</v>
      </c>
      <c r="H15" s="4">
        <f t="shared" si="10"/>
        <v>0.83333333333333326</v>
      </c>
      <c r="I15" s="4">
        <f t="shared" si="11"/>
        <v>0.16666666666666669</v>
      </c>
      <c r="J15" s="17">
        <f>'Ke(cost of eq)'!$C$9</f>
        <v>5.2610000000000004E-2</v>
      </c>
      <c r="K15" s="17">
        <f>'Ke(cost of eq)'!$C$16</f>
        <v>5.04E-2</v>
      </c>
      <c r="L15">
        <v>0.33</v>
      </c>
      <c r="M15" s="17">
        <f t="shared" si="4"/>
        <v>6.9241999999999998E-2</v>
      </c>
      <c r="N15" s="17">
        <f>'Kd(cost of debt)'!C90</f>
        <v>8.1110000000000002E-2</v>
      </c>
      <c r="O15" s="17">
        <f>Info!$C$9</f>
        <v>0.25168000000000001</v>
      </c>
      <c r="P15" s="17">
        <f t="shared" si="5"/>
        <v>6.0696235199999997E-2</v>
      </c>
      <c r="Q15" s="17">
        <f t="shared" si="6"/>
        <v>7.1219999999999992E-2</v>
      </c>
      <c r="R15" s="17">
        <f t="shared" si="7"/>
        <v>6.7817705866666661E-2</v>
      </c>
      <c r="S15" s="17">
        <f>Info!C13</f>
        <v>3.5999999999999997E-2</v>
      </c>
      <c r="T15" s="17">
        <f t="shared" si="8"/>
        <v>0.10381770586666667</v>
      </c>
    </row>
    <row r="16" spans="2:20">
      <c r="O16" s="17"/>
    </row>
    <row r="18" spans="15:15">
      <c r="O18" s="2"/>
    </row>
  </sheetData>
  <mergeCells count="1">
    <mergeCell ref="B2:T2"/>
  </mergeCells>
  <pageMargins left="0.7" right="0.7" top="0.75" bottom="0.75" header="0.3" footer="0.3"/>
  <ignoredErrors>
    <ignoredError sqref="S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C8B6-A7AD-4E66-9B62-7EC60F8564C0}">
  <dimension ref="A2:H20"/>
  <sheetViews>
    <sheetView showGridLines="0" workbookViewId="0">
      <selection activeCell="C16" sqref="C16"/>
    </sheetView>
  </sheetViews>
  <sheetFormatPr defaultRowHeight="14.4"/>
  <cols>
    <col min="1" max="1" width="1.88671875" customWidth="1"/>
    <col min="2" max="2" width="23.44140625" customWidth="1"/>
  </cols>
  <sheetData>
    <row r="2" spans="1:8" ht="15.6">
      <c r="B2" s="29" t="s">
        <v>24</v>
      </c>
      <c r="C2" s="29"/>
      <c r="D2" s="29"/>
      <c r="E2" s="29"/>
      <c r="F2" s="29"/>
      <c r="G2" s="29"/>
      <c r="H2" s="29"/>
    </row>
    <row r="4" spans="1:8">
      <c r="A4" t="s">
        <v>66</v>
      </c>
      <c r="B4" s="14" t="s">
        <v>25</v>
      </c>
      <c r="C4" s="14"/>
    </row>
    <row r="6" spans="1:8" ht="15">
      <c r="B6" s="8" t="s">
        <v>26</v>
      </c>
      <c r="C6" s="11">
        <v>6.4610000000000001E-2</v>
      </c>
    </row>
    <row r="7" spans="1:8">
      <c r="B7" t="s">
        <v>28</v>
      </c>
      <c r="C7" s="9" t="s">
        <v>27</v>
      </c>
    </row>
    <row r="8" spans="1:8">
      <c r="B8" t="s">
        <v>29</v>
      </c>
      <c r="C8" s="10">
        <v>1.2E-2</v>
      </c>
    </row>
    <row r="9" spans="1:8">
      <c r="B9" s="12" t="s">
        <v>30</v>
      </c>
      <c r="C9" s="13">
        <f>C6-C8</f>
        <v>5.2610000000000004E-2</v>
      </c>
    </row>
    <row r="12" spans="1:8">
      <c r="A12" t="s">
        <v>66</v>
      </c>
      <c r="B12" s="14" t="s">
        <v>33</v>
      </c>
      <c r="C12" s="14"/>
    </row>
    <row r="14" spans="1:8">
      <c r="B14" t="s">
        <v>31</v>
      </c>
      <c r="C14" s="10">
        <v>3.8399999999999997E-2</v>
      </c>
    </row>
    <row r="15" spans="1:8">
      <c r="B15" t="s">
        <v>29</v>
      </c>
      <c r="C15" s="2">
        <f>C8</f>
        <v>1.2E-2</v>
      </c>
    </row>
    <row r="16" spans="1:8">
      <c r="B16" s="12" t="s">
        <v>32</v>
      </c>
      <c r="C16" s="13">
        <f>C14+C15</f>
        <v>5.04E-2</v>
      </c>
    </row>
    <row r="18" spans="1:3">
      <c r="A18" t="s">
        <v>66</v>
      </c>
      <c r="B18" s="14" t="s">
        <v>34</v>
      </c>
      <c r="C18" s="14"/>
    </row>
    <row r="20" spans="1:3">
      <c r="B20" s="20" t="s">
        <v>35</v>
      </c>
      <c r="C20" s="20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0DD9-3478-4265-8493-115C395EE36F}">
  <dimension ref="A2:O90"/>
  <sheetViews>
    <sheetView showGridLines="0" topLeftCell="A64" workbookViewId="0">
      <selection activeCell="C72" sqref="C72"/>
    </sheetView>
  </sheetViews>
  <sheetFormatPr defaultRowHeight="14.4"/>
  <cols>
    <col min="1" max="1" width="1.88671875" customWidth="1"/>
    <col min="2" max="2" width="31.33203125" customWidth="1"/>
    <col min="3" max="3" width="11.109375" customWidth="1"/>
    <col min="4" max="4" width="18.44140625" bestFit="1" customWidth="1"/>
    <col min="5" max="5" width="16.77734375" bestFit="1" customWidth="1"/>
  </cols>
  <sheetData>
    <row r="2" spans="1:15" ht="15.6">
      <c r="B2" s="29" t="s">
        <v>42</v>
      </c>
      <c r="C2" s="29"/>
      <c r="D2" s="29"/>
      <c r="E2" s="29"/>
      <c r="F2" s="29"/>
      <c r="G2" s="24"/>
      <c r="H2" s="24"/>
      <c r="I2" s="24"/>
      <c r="J2" s="24"/>
      <c r="K2" s="24"/>
      <c r="L2" s="24"/>
      <c r="M2" s="24"/>
      <c r="N2" s="24"/>
      <c r="O2" s="24"/>
    </row>
    <row r="4" spans="1:15">
      <c r="A4" t="s">
        <v>66</v>
      </c>
      <c r="B4" s="21" t="s">
        <v>43</v>
      </c>
      <c r="C4" s="21"/>
    </row>
    <row r="5" spans="1:15" ht="4.8" customHeight="1"/>
    <row r="6" spans="1:15">
      <c r="B6" s="19" t="s">
        <v>58</v>
      </c>
      <c r="C6" s="19"/>
    </row>
    <row r="7" spans="1:15">
      <c r="B7" t="s">
        <v>59</v>
      </c>
      <c r="C7" s="25" t="s">
        <v>60</v>
      </c>
    </row>
    <row r="8" spans="1:15">
      <c r="B8" t="s">
        <v>44</v>
      </c>
      <c r="C8" s="26">
        <f>Info!C35</f>
        <v>4.4999999999999997E-3</v>
      </c>
    </row>
    <row r="9" spans="1:15" ht="3.6" customHeight="1"/>
    <row r="10" spans="1:15">
      <c r="B10" t="s">
        <v>45</v>
      </c>
    </row>
    <row r="11" spans="1:15">
      <c r="B11" t="s">
        <v>46</v>
      </c>
      <c r="C11" s="2">
        <f>'Ke(cost of eq)'!C6</f>
        <v>6.4610000000000001E-2</v>
      </c>
    </row>
    <row r="12" spans="1:15">
      <c r="B12" t="s">
        <v>47</v>
      </c>
      <c r="C12" s="2">
        <f>'Ke(cost of eq)'!C8</f>
        <v>1.2E-2</v>
      </c>
    </row>
    <row r="13" spans="1:15">
      <c r="B13" t="s">
        <v>77</v>
      </c>
      <c r="C13" s="2">
        <f>C8</f>
        <v>4.4999999999999997E-3</v>
      </c>
    </row>
    <row r="14" spans="1:15">
      <c r="B14" s="12" t="s">
        <v>48</v>
      </c>
      <c r="C14" s="13">
        <f>SUM(C11:C13)</f>
        <v>8.1110000000000002E-2</v>
      </c>
    </row>
    <row r="16" spans="1:15">
      <c r="A16" t="s">
        <v>66</v>
      </c>
      <c r="B16" s="21" t="s">
        <v>49</v>
      </c>
      <c r="C16" s="21"/>
    </row>
    <row r="17" spans="1:3" ht="4.8" customHeight="1"/>
    <row r="18" spans="1:3" ht="43.2">
      <c r="B18" s="22" t="s">
        <v>50</v>
      </c>
      <c r="C18" s="13">
        <v>9.5500000000000002E-2</v>
      </c>
    </row>
    <row r="20" spans="1:3">
      <c r="A20" t="s">
        <v>66</v>
      </c>
      <c r="B20" s="21" t="s">
        <v>51</v>
      </c>
      <c r="C20" s="21"/>
    </row>
    <row r="21" spans="1:3" ht="4.8" customHeight="1"/>
    <row r="22" spans="1:3">
      <c r="B22" s="12" t="s">
        <v>52</v>
      </c>
      <c r="C22" s="13">
        <v>7.6499999999999999E-2</v>
      </c>
    </row>
    <row r="24" spans="1:3">
      <c r="A24" t="s">
        <v>66</v>
      </c>
      <c r="B24" s="21" t="s">
        <v>53</v>
      </c>
      <c r="C24" s="21"/>
    </row>
    <row r="25" spans="1:3" ht="4.8" customHeight="1"/>
    <row r="26" spans="1:3">
      <c r="B26" s="19" t="s">
        <v>58</v>
      </c>
      <c r="C26" s="19"/>
    </row>
    <row r="27" spans="1:3">
      <c r="B27" t="s">
        <v>59</v>
      </c>
      <c r="C27" s="25" t="s">
        <v>60</v>
      </c>
    </row>
    <row r="28" spans="1:3">
      <c r="B28" t="s">
        <v>44</v>
      </c>
      <c r="C28" s="26">
        <f>Info!C35</f>
        <v>4.4999999999999997E-3</v>
      </c>
    </row>
    <row r="29" spans="1:3" ht="3" customHeight="1"/>
    <row r="30" spans="1:3">
      <c r="B30" t="s">
        <v>45</v>
      </c>
    </row>
    <row r="31" spans="1:3">
      <c r="B31" t="s">
        <v>46</v>
      </c>
      <c r="C31" s="2">
        <f>'Ke(cost of eq)'!C6</f>
        <v>6.4610000000000001E-2</v>
      </c>
    </row>
    <row r="32" spans="1:3">
      <c r="B32" t="s">
        <v>47</v>
      </c>
      <c r="C32" s="2">
        <f>'Ke(cost of eq)'!C8</f>
        <v>1.2E-2</v>
      </c>
    </row>
    <row r="33" spans="1:3">
      <c r="B33" t="s">
        <v>77</v>
      </c>
      <c r="C33" s="2">
        <f>C28</f>
        <v>4.4999999999999997E-3</v>
      </c>
    </row>
    <row r="34" spans="1:3">
      <c r="B34" s="12" t="s">
        <v>48</v>
      </c>
      <c r="C34" s="13">
        <f>SUM(C31:C33)</f>
        <v>8.1110000000000002E-2</v>
      </c>
    </row>
    <row r="36" spans="1:3">
      <c r="A36" t="s">
        <v>66</v>
      </c>
      <c r="B36" s="21" t="s">
        <v>54</v>
      </c>
      <c r="C36" s="21"/>
    </row>
    <row r="37" spans="1:3" ht="7.2" customHeight="1"/>
    <row r="38" spans="1:3">
      <c r="B38" s="12" t="s">
        <v>55</v>
      </c>
      <c r="C38" s="13">
        <v>8.7999999999999995E-2</v>
      </c>
    </row>
    <row r="40" spans="1:3">
      <c r="A40" t="s">
        <v>66</v>
      </c>
      <c r="B40" s="21" t="s">
        <v>56</v>
      </c>
      <c r="C40" s="21"/>
    </row>
    <row r="41" spans="1:3" ht="4.8" customHeight="1"/>
    <row r="42" spans="1:3">
      <c r="B42" s="19" t="s">
        <v>58</v>
      </c>
      <c r="C42" s="19"/>
    </row>
    <row r="43" spans="1:3">
      <c r="B43" t="s">
        <v>59</v>
      </c>
      <c r="C43" s="25" t="s">
        <v>60</v>
      </c>
    </row>
    <row r="44" spans="1:3">
      <c r="B44" t="s">
        <v>44</v>
      </c>
      <c r="C44" s="26">
        <f>Info!C35</f>
        <v>4.4999999999999997E-3</v>
      </c>
    </row>
    <row r="45" spans="1:3" ht="1.2" customHeight="1"/>
    <row r="46" spans="1:3">
      <c r="B46" t="s">
        <v>45</v>
      </c>
    </row>
    <row r="47" spans="1:3">
      <c r="B47" t="s">
        <v>46</v>
      </c>
      <c r="C47" s="2">
        <f>'Ke(cost of eq)'!C6</f>
        <v>6.4610000000000001E-2</v>
      </c>
    </row>
    <row r="48" spans="1:3">
      <c r="B48" t="s">
        <v>47</v>
      </c>
      <c r="C48" s="2">
        <f>'Ke(cost of eq)'!C8</f>
        <v>1.2E-2</v>
      </c>
    </row>
    <row r="49" spans="1:3">
      <c r="B49" t="s">
        <v>77</v>
      </c>
      <c r="C49" s="2">
        <f>C44</f>
        <v>4.4999999999999997E-3</v>
      </c>
    </row>
    <row r="50" spans="1:3">
      <c r="B50" s="12" t="s">
        <v>48</v>
      </c>
      <c r="C50" s="13">
        <f>SUM(C47:C49)</f>
        <v>8.1110000000000002E-2</v>
      </c>
    </row>
    <row r="52" spans="1:3">
      <c r="A52" t="s">
        <v>66</v>
      </c>
      <c r="B52" s="21" t="s">
        <v>57</v>
      </c>
      <c r="C52" s="21"/>
    </row>
    <row r="53" spans="1:3" ht="4.8" customHeight="1"/>
    <row r="54" spans="1:3">
      <c r="B54" s="19" t="s">
        <v>58</v>
      </c>
      <c r="C54" s="19"/>
    </row>
    <row r="55" spans="1:3">
      <c r="B55" t="s">
        <v>61</v>
      </c>
      <c r="C55" s="25" t="s">
        <v>60</v>
      </c>
    </row>
    <row r="56" spans="1:3">
      <c r="B56" t="s">
        <v>44</v>
      </c>
      <c r="C56" s="26">
        <f>Info!C35</f>
        <v>4.4999999999999997E-3</v>
      </c>
    </row>
    <row r="57" spans="1:3" ht="1.8" customHeight="1"/>
    <row r="58" spans="1:3">
      <c r="B58" t="s">
        <v>45</v>
      </c>
    </row>
    <row r="59" spans="1:3">
      <c r="B59" t="s">
        <v>46</v>
      </c>
      <c r="C59" s="2">
        <f>'Ke(cost of eq)'!C6</f>
        <v>6.4610000000000001E-2</v>
      </c>
    </row>
    <row r="60" spans="1:3">
      <c r="B60" t="s">
        <v>47</v>
      </c>
      <c r="C60" s="2">
        <f>'Ke(cost of eq)'!C8</f>
        <v>1.2E-2</v>
      </c>
    </row>
    <row r="61" spans="1:3">
      <c r="B61" t="s">
        <v>77</v>
      </c>
      <c r="C61" s="2">
        <f>C56</f>
        <v>4.4999999999999997E-3</v>
      </c>
    </row>
    <row r="62" spans="1:3">
      <c r="B62" s="12" t="s">
        <v>48</v>
      </c>
      <c r="C62" s="13">
        <f>SUM(C59:C61)</f>
        <v>8.1110000000000002E-2</v>
      </c>
    </row>
    <row r="64" spans="1:3">
      <c r="A64" t="s">
        <v>66</v>
      </c>
      <c r="B64" s="21" t="s">
        <v>62</v>
      </c>
      <c r="C64" s="21"/>
    </row>
    <row r="65" spans="1:3" ht="4.8" customHeight="1"/>
    <row r="66" spans="1:3">
      <c r="B66" s="12" t="s">
        <v>55</v>
      </c>
      <c r="C66" s="13">
        <v>8.3000000000000004E-2</v>
      </c>
    </row>
    <row r="68" spans="1:3">
      <c r="A68" t="s">
        <v>66</v>
      </c>
      <c r="B68" s="21" t="s">
        <v>63</v>
      </c>
      <c r="C68" s="21"/>
    </row>
    <row r="69" spans="1:3" ht="4.2" customHeight="1"/>
    <row r="70" spans="1:3">
      <c r="B70" s="19" t="s">
        <v>58</v>
      </c>
      <c r="C70" s="19"/>
    </row>
    <row r="71" spans="1:3">
      <c r="B71" t="s">
        <v>61</v>
      </c>
      <c r="C71" s="25" t="s">
        <v>60</v>
      </c>
    </row>
    <row r="72" spans="1:3">
      <c r="B72" t="s">
        <v>44</v>
      </c>
      <c r="C72" s="26">
        <f>Info!C35</f>
        <v>4.4999999999999997E-3</v>
      </c>
    </row>
    <row r="73" spans="1:3" ht="6" customHeight="1"/>
    <row r="74" spans="1:3">
      <c r="B74" t="s">
        <v>45</v>
      </c>
    </row>
    <row r="75" spans="1:3">
      <c r="B75" t="s">
        <v>46</v>
      </c>
      <c r="C75" s="2">
        <f>'Ke(cost of eq)'!C6</f>
        <v>6.4610000000000001E-2</v>
      </c>
    </row>
    <row r="76" spans="1:3">
      <c r="B76" t="s">
        <v>47</v>
      </c>
      <c r="C76" s="2">
        <f>'Ke(cost of eq)'!C8</f>
        <v>1.2E-2</v>
      </c>
    </row>
    <row r="77" spans="1:3">
      <c r="B77" t="s">
        <v>77</v>
      </c>
      <c r="C77" s="2">
        <f>C72</f>
        <v>4.4999999999999997E-3</v>
      </c>
    </row>
    <row r="78" spans="1:3">
      <c r="B78" s="12" t="s">
        <v>48</v>
      </c>
      <c r="C78" s="13">
        <f>SUM(C75:C77)</f>
        <v>8.1110000000000002E-2</v>
      </c>
    </row>
    <row r="80" spans="1:3">
      <c r="A80" t="s">
        <v>66</v>
      </c>
      <c r="B80" s="21" t="s">
        <v>64</v>
      </c>
      <c r="C80" s="21"/>
    </row>
    <row r="81" spans="2:3" ht="4.8" customHeight="1"/>
    <row r="82" spans="2:3">
      <c r="B82" s="19" t="s">
        <v>58</v>
      </c>
      <c r="C82" s="19"/>
    </row>
    <row r="83" spans="2:3">
      <c r="B83" t="s">
        <v>65</v>
      </c>
      <c r="C83" s="25" t="s">
        <v>60</v>
      </c>
    </row>
    <row r="84" spans="2:3">
      <c r="B84" t="s">
        <v>44</v>
      </c>
      <c r="C84" s="26">
        <f>Info!C35</f>
        <v>4.4999999999999997E-3</v>
      </c>
    </row>
    <row r="85" spans="2:3" ht="5.4" customHeight="1"/>
    <row r="86" spans="2:3">
      <c r="B86" t="s">
        <v>45</v>
      </c>
    </row>
    <row r="87" spans="2:3">
      <c r="B87" t="s">
        <v>46</v>
      </c>
      <c r="C87" s="2">
        <f>'Ke(cost of eq)'!C6</f>
        <v>6.4610000000000001E-2</v>
      </c>
    </row>
    <row r="88" spans="2:3">
      <c r="B88" t="s">
        <v>47</v>
      </c>
      <c r="C88" s="2">
        <f>'Ke(cost of eq)'!C8</f>
        <v>1.2E-2</v>
      </c>
    </row>
    <row r="89" spans="2:3">
      <c r="B89" t="s">
        <v>77</v>
      </c>
      <c r="C89" s="2">
        <f>C84</f>
        <v>4.4999999999999997E-3</v>
      </c>
    </row>
    <row r="90" spans="2:3">
      <c r="B90" s="12" t="s">
        <v>48</v>
      </c>
      <c r="C90" s="13">
        <f>SUM(C87:C89)</f>
        <v>8.1110000000000002E-2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88D1-8385-48F3-8350-C32C3955F718}">
  <dimension ref="A2:G35"/>
  <sheetViews>
    <sheetView showGridLines="0" workbookViewId="0">
      <selection activeCell="I18" sqref="I18"/>
    </sheetView>
  </sheetViews>
  <sheetFormatPr defaultRowHeight="14.4"/>
  <cols>
    <col min="1" max="1" width="1.88671875" customWidth="1"/>
    <col min="2" max="2" width="21.6640625" bestFit="1" customWidth="1"/>
    <col min="3" max="3" width="17.5546875" customWidth="1"/>
  </cols>
  <sheetData>
    <row r="2" spans="1:7">
      <c r="B2" s="30" t="s">
        <v>76</v>
      </c>
      <c r="C2" s="30"/>
      <c r="D2" s="30"/>
      <c r="E2" s="30"/>
      <c r="F2" s="30"/>
      <c r="G2" s="30"/>
    </row>
    <row r="4" spans="1:7">
      <c r="A4" t="s">
        <v>66</v>
      </c>
      <c r="B4" s="14" t="s">
        <v>37</v>
      </c>
      <c r="C4" s="14"/>
    </row>
    <row r="5" spans="1:7" ht="4.2" customHeight="1"/>
    <row r="6" spans="1:7">
      <c r="B6" t="s">
        <v>38</v>
      </c>
      <c r="C6" s="1">
        <v>0.22</v>
      </c>
    </row>
    <row r="7" spans="1:7">
      <c r="B7" s="18" t="s">
        <v>39</v>
      </c>
      <c r="C7" s="1">
        <v>0.1</v>
      </c>
    </row>
    <row r="8" spans="1:7">
      <c r="B8" s="18" t="s">
        <v>40</v>
      </c>
      <c r="C8" s="1">
        <v>0.04</v>
      </c>
    </row>
    <row r="9" spans="1:7">
      <c r="B9" s="12" t="s">
        <v>41</v>
      </c>
      <c r="C9" s="27">
        <f>(C6 + (C6*C7)) * (1+C8)</f>
        <v>0.25168000000000001</v>
      </c>
    </row>
    <row r="11" spans="1:7">
      <c r="A11" t="s">
        <v>66</v>
      </c>
      <c r="B11" s="23" t="s">
        <v>69</v>
      </c>
      <c r="C11" s="23"/>
    </row>
    <row r="12" spans="1:7" ht="8.4" customHeight="1"/>
    <row r="13" spans="1:7">
      <c r="B13" t="s">
        <v>71</v>
      </c>
      <c r="C13" s="17">
        <v>3.5999999999999997E-2</v>
      </c>
    </row>
    <row r="14" spans="1:7">
      <c r="B14" t="s">
        <v>72</v>
      </c>
      <c r="C14" s="17">
        <v>8.1000000000000003E-2</v>
      </c>
    </row>
    <row r="15" spans="1:7">
      <c r="B15" t="s">
        <v>73</v>
      </c>
      <c r="C15" s="17">
        <v>0.115</v>
      </c>
    </row>
    <row r="16" spans="1:7">
      <c r="B16" t="s">
        <v>74</v>
      </c>
      <c r="C16" s="17">
        <v>0.16</v>
      </c>
    </row>
    <row r="18" spans="1:3">
      <c r="A18" t="s">
        <v>66</v>
      </c>
      <c r="B18" s="14" t="s">
        <v>77</v>
      </c>
      <c r="C18" s="14"/>
    </row>
    <row r="19" spans="1:3" s="31" customFormat="1" ht="6" customHeight="1"/>
    <row r="20" spans="1:3">
      <c r="B20" t="s">
        <v>78</v>
      </c>
      <c r="C20" s="25" t="s">
        <v>79</v>
      </c>
    </row>
    <row r="21" spans="1:3">
      <c r="B21" t="s">
        <v>80</v>
      </c>
      <c r="C21" s="32">
        <v>0.19</v>
      </c>
    </row>
    <row r="22" spans="1:3">
      <c r="B22" t="s">
        <v>81</v>
      </c>
      <c r="C22" s="32">
        <v>0.155</v>
      </c>
    </row>
    <row r="23" spans="1:3">
      <c r="B23" t="s">
        <v>82</v>
      </c>
      <c r="C23" s="32">
        <v>0.10100000000000001</v>
      </c>
    </row>
    <row r="24" spans="1:3">
      <c r="B24" t="s">
        <v>83</v>
      </c>
      <c r="C24" s="32">
        <v>7.2800000000000004E-2</v>
      </c>
    </row>
    <row r="25" spans="1:3">
      <c r="B25" t="s">
        <v>84</v>
      </c>
      <c r="C25" s="32">
        <v>4.4200000000000003E-2</v>
      </c>
    </row>
    <row r="26" spans="1:3">
      <c r="B26" t="s">
        <v>85</v>
      </c>
      <c r="C26" s="32">
        <v>0.03</v>
      </c>
    </row>
    <row r="27" spans="1:3">
      <c r="B27" t="s">
        <v>86</v>
      </c>
      <c r="C27" s="32">
        <v>2.6100000000000002E-2</v>
      </c>
    </row>
    <row r="28" spans="1:3">
      <c r="B28" t="s">
        <v>87</v>
      </c>
      <c r="C28" s="32">
        <v>1.83E-2</v>
      </c>
    </row>
    <row r="29" spans="1:3">
      <c r="B29" t="s">
        <v>88</v>
      </c>
      <c r="C29" s="32">
        <v>1.55E-2</v>
      </c>
    </row>
    <row r="30" spans="1:3">
      <c r="B30" t="s">
        <v>89</v>
      </c>
      <c r="C30" s="32">
        <v>1.2E-2</v>
      </c>
    </row>
    <row r="31" spans="1:3">
      <c r="B31" t="s">
        <v>90</v>
      </c>
      <c r="C31" s="32">
        <v>9.4999999999999998E-3</v>
      </c>
    </row>
    <row r="32" spans="1:3">
      <c r="B32" t="s">
        <v>91</v>
      </c>
      <c r="C32" s="32">
        <v>8.5000000000000006E-3</v>
      </c>
    </row>
    <row r="33" spans="2:3">
      <c r="B33" t="s">
        <v>92</v>
      </c>
      <c r="C33" s="32">
        <v>7.7000000000000002E-3</v>
      </c>
    </row>
    <row r="34" spans="2:3">
      <c r="B34" t="s">
        <v>93</v>
      </c>
      <c r="C34" s="32">
        <v>6.0000000000000001E-3</v>
      </c>
    </row>
    <row r="35" spans="2:3">
      <c r="B35" t="s">
        <v>94</v>
      </c>
      <c r="C35" s="32">
        <v>4.4999999999999997E-3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Wacc Sheet</vt:lpstr>
      <vt:lpstr>Ke(cost of eq)</vt:lpstr>
      <vt:lpstr>Kd(cost of debt)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Rawat</dc:creator>
  <cp:lastModifiedBy>AJAY RAWAT</cp:lastModifiedBy>
  <dcterms:created xsi:type="dcterms:W3CDTF">2015-06-05T18:17:20Z</dcterms:created>
  <dcterms:modified xsi:type="dcterms:W3CDTF">2025-08-21T17:52:55Z</dcterms:modified>
</cp:coreProperties>
</file>