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80" windowWidth="13950" windowHeight="11055" tabRatio="231"/>
  </bookViews>
  <sheets>
    <sheet name="SNHRT" sheetId="1" r:id="rId1"/>
    <sheet name="Sheet1" sheetId="2" r:id="rId2"/>
  </sheets>
  <definedNames>
    <definedName name="\a">#REF!</definedName>
    <definedName name="_Regression_Out" hidden="1">#REF!</definedName>
    <definedName name="_Regression_X" hidden="1">#REF!</definedName>
    <definedName name="_Regression_Y" hidden="1">#REF!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F32" i="1" l="1"/>
  <c r="G45" i="1" l="1"/>
  <c r="G44" i="1"/>
  <c r="G43" i="1"/>
  <c r="G42" i="1"/>
  <c r="G41" i="1"/>
  <c r="G40" i="1"/>
  <c r="G39" i="1"/>
  <c r="G38" i="1"/>
  <c r="G37" i="1"/>
  <c r="B28" i="1" l="1"/>
  <c r="D11" i="1"/>
  <c r="D12" i="1"/>
  <c r="E11" i="1"/>
  <c r="E12" i="1"/>
  <c r="D13" i="1"/>
  <c r="B18" i="1" s="1"/>
  <c r="E13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B16" i="1" l="1"/>
  <c r="B15" i="1"/>
  <c r="B17" i="1"/>
  <c r="B23" i="1" s="1"/>
  <c r="B22" i="1" s="1"/>
  <c r="B21" i="1" l="1"/>
  <c r="E45" i="1" s="1"/>
  <c r="F45" i="1" s="1"/>
  <c r="C45" i="1" s="1"/>
  <c r="D45" i="1" s="1"/>
  <c r="E41" i="1"/>
  <c r="F41" i="1" s="1"/>
  <c r="C41" i="1" s="1"/>
  <c r="D41" i="1" s="1"/>
  <c r="D105" i="1" l="1"/>
  <c r="E105" i="1" s="1"/>
  <c r="B105" i="1" s="1"/>
  <c r="C105" i="1" s="1"/>
  <c r="E37" i="1"/>
  <c r="F37" i="1" s="1"/>
  <c r="C37" i="1" s="1"/>
  <c r="D37" i="1" s="1"/>
  <c r="D64" i="1"/>
  <c r="E64" i="1" s="1"/>
  <c r="B64" i="1" s="1"/>
  <c r="C64" i="1" s="1"/>
  <c r="D72" i="1"/>
  <c r="E72" i="1" s="1"/>
  <c r="B72" i="1" s="1"/>
  <c r="C72" i="1" s="1"/>
  <c r="D68" i="1"/>
  <c r="E68" i="1" s="1"/>
  <c r="B68" i="1" s="1"/>
  <c r="C68" i="1" s="1"/>
  <c r="D58" i="1"/>
  <c r="E58" i="1" s="1"/>
  <c r="B58" i="1" s="1"/>
  <c r="C58" i="1" s="1"/>
  <c r="D54" i="1"/>
  <c r="E54" i="1" s="1"/>
  <c r="B54" i="1" s="1"/>
  <c r="C54" i="1" s="1"/>
  <c r="D65" i="1"/>
  <c r="E65" i="1" s="1"/>
  <c r="B65" i="1" s="1"/>
  <c r="C65" i="1" s="1"/>
  <c r="D55" i="1"/>
  <c r="E55" i="1" s="1"/>
  <c r="B55" i="1" s="1"/>
  <c r="C55" i="1" s="1"/>
  <c r="D98" i="1"/>
  <c r="E98" i="1" s="1"/>
  <c r="B98" i="1" s="1"/>
  <c r="C98" i="1" s="1"/>
  <c r="D78" i="1"/>
  <c r="E78" i="1" s="1"/>
  <c r="B78" i="1" s="1"/>
  <c r="C78" i="1" s="1"/>
  <c r="D86" i="1"/>
  <c r="E86" i="1" s="1"/>
  <c r="B86" i="1" s="1"/>
  <c r="C86" i="1" s="1"/>
  <c r="E42" i="1"/>
  <c r="F42" i="1" s="1"/>
  <c r="C42" i="1" s="1"/>
  <c r="D42" i="1" s="1"/>
  <c r="D90" i="1"/>
  <c r="E90" i="1" s="1"/>
  <c r="B90" i="1" s="1"/>
  <c r="C90" i="1" s="1"/>
  <c r="E38" i="1"/>
  <c r="F38" i="1" s="1"/>
  <c r="C38" i="1" s="1"/>
  <c r="D38" i="1" s="1"/>
  <c r="D117" i="1"/>
  <c r="E117" i="1" s="1"/>
  <c r="B117" i="1" s="1"/>
  <c r="C117" i="1" s="1"/>
  <c r="E43" i="1"/>
  <c r="F43" i="1" s="1"/>
  <c r="C43" i="1" s="1"/>
  <c r="D43" i="1" s="1"/>
  <c r="E39" i="1"/>
  <c r="F39" i="1" s="1"/>
  <c r="C39" i="1" s="1"/>
  <c r="D39" i="1" s="1"/>
  <c r="D112" i="1"/>
  <c r="E112" i="1" s="1"/>
  <c r="B112" i="1" s="1"/>
  <c r="C112" i="1" s="1"/>
  <c r="D62" i="1"/>
  <c r="E62" i="1" s="1"/>
  <c r="B62" i="1" s="1"/>
  <c r="C62" i="1" s="1"/>
  <c r="D66" i="1"/>
  <c r="E66" i="1" s="1"/>
  <c r="B66" i="1" s="1"/>
  <c r="C66" i="1" s="1"/>
  <c r="D70" i="1"/>
  <c r="E70" i="1" s="1"/>
  <c r="B70" i="1" s="1"/>
  <c r="C70" i="1" s="1"/>
  <c r="D74" i="1"/>
  <c r="E74" i="1" s="1"/>
  <c r="B74" i="1" s="1"/>
  <c r="C74" i="1" s="1"/>
  <c r="D60" i="1"/>
  <c r="E60" i="1" s="1"/>
  <c r="B60" i="1" s="1"/>
  <c r="C60" i="1" s="1"/>
  <c r="D53" i="1"/>
  <c r="E53" i="1" s="1"/>
  <c r="B53" i="1" s="1"/>
  <c r="C53" i="1" s="1"/>
  <c r="D73" i="1"/>
  <c r="E73" i="1" s="1"/>
  <c r="B73" i="1" s="1"/>
  <c r="C73" i="1" s="1"/>
  <c r="D102" i="1"/>
  <c r="E102" i="1" s="1"/>
  <c r="B102" i="1" s="1"/>
  <c r="C102" i="1" s="1"/>
  <c r="D87" i="1"/>
  <c r="E87" i="1" s="1"/>
  <c r="B87" i="1" s="1"/>
  <c r="C87" i="1" s="1"/>
  <c r="E40" i="1"/>
  <c r="F40" i="1" s="1"/>
  <c r="C40" i="1" s="1"/>
  <c r="D40" i="1" s="1"/>
  <c r="D120" i="1"/>
  <c r="E120" i="1" s="1"/>
  <c r="B120" i="1" s="1"/>
  <c r="C120" i="1" s="1"/>
  <c r="D57" i="1"/>
  <c r="E57" i="1" s="1"/>
  <c r="B57" i="1" s="1"/>
  <c r="C57" i="1" s="1"/>
  <c r="D115" i="1"/>
  <c r="E115" i="1" s="1"/>
  <c r="B115" i="1" s="1"/>
  <c r="C115" i="1" s="1"/>
  <c r="D103" i="1"/>
  <c r="E103" i="1" s="1"/>
  <c r="B103" i="1" s="1"/>
  <c r="C103" i="1" s="1"/>
  <c r="D92" i="1"/>
  <c r="E92" i="1" s="1"/>
  <c r="B92" i="1" s="1"/>
  <c r="C92" i="1" s="1"/>
  <c r="D56" i="1"/>
  <c r="E56" i="1" s="1"/>
  <c r="B56" i="1" s="1"/>
  <c r="C56" i="1" s="1"/>
  <c r="F27" i="1"/>
  <c r="G27" i="1" s="1"/>
  <c r="C27" i="1" s="1"/>
  <c r="D27" i="1" s="1"/>
  <c r="E27" i="1" s="1"/>
  <c r="D69" i="1"/>
  <c r="E69" i="1" s="1"/>
  <c r="B69" i="1" s="1"/>
  <c r="C69" i="1" s="1"/>
  <c r="D59" i="1"/>
  <c r="E59" i="1" s="1"/>
  <c r="B59" i="1" s="1"/>
  <c r="C59" i="1" s="1"/>
  <c r="D52" i="1"/>
  <c r="E52" i="1" s="1"/>
  <c r="B52" i="1" s="1"/>
  <c r="C52" i="1" s="1"/>
  <c r="D100" i="1"/>
  <c r="E100" i="1" s="1"/>
  <c r="B100" i="1" s="1"/>
  <c r="C100" i="1" s="1"/>
  <c r="D94" i="1"/>
  <c r="E94" i="1" s="1"/>
  <c r="B94" i="1" s="1"/>
  <c r="C94" i="1" s="1"/>
  <c r="D91" i="1"/>
  <c r="E91" i="1" s="1"/>
  <c r="B91" i="1" s="1"/>
  <c r="C91" i="1" s="1"/>
  <c r="D32" i="1"/>
  <c r="D82" i="1"/>
  <c r="E82" i="1" s="1"/>
  <c r="B82" i="1" s="1"/>
  <c r="C82" i="1" s="1"/>
  <c r="D116" i="1"/>
  <c r="E116" i="1" s="1"/>
  <c r="B116" i="1" s="1"/>
  <c r="C116" i="1" s="1"/>
  <c r="D107" i="1"/>
  <c r="E107" i="1" s="1"/>
  <c r="B107" i="1" s="1"/>
  <c r="C107" i="1" s="1"/>
  <c r="D67" i="1"/>
  <c r="E67" i="1" s="1"/>
  <c r="B67" i="1" s="1"/>
  <c r="C67" i="1" s="1"/>
  <c r="D93" i="1"/>
  <c r="E93" i="1" s="1"/>
  <c r="B93" i="1" s="1"/>
  <c r="C93" i="1" s="1"/>
  <c r="D81" i="1"/>
  <c r="E81" i="1" s="1"/>
  <c r="B81" i="1" s="1"/>
  <c r="C81" i="1" s="1"/>
  <c r="D106" i="1"/>
  <c r="E106" i="1" s="1"/>
  <c r="B106" i="1" s="1"/>
  <c r="C106" i="1" s="1"/>
  <c r="D71" i="1"/>
  <c r="E71" i="1" s="1"/>
  <c r="B71" i="1" s="1"/>
  <c r="C71" i="1" s="1"/>
  <c r="D108" i="1"/>
  <c r="E108" i="1" s="1"/>
  <c r="B108" i="1" s="1"/>
  <c r="C108" i="1" s="1"/>
  <c r="D83" i="1"/>
  <c r="E83" i="1" s="1"/>
  <c r="B83" i="1" s="1"/>
  <c r="C83" i="1" s="1"/>
  <c r="D95" i="1"/>
  <c r="E95" i="1" s="1"/>
  <c r="B95" i="1" s="1"/>
  <c r="C95" i="1" s="1"/>
  <c r="D96" i="1"/>
  <c r="E96" i="1" s="1"/>
  <c r="B96" i="1" s="1"/>
  <c r="C96" i="1" s="1"/>
  <c r="D89" i="1"/>
  <c r="E89" i="1" s="1"/>
  <c r="B89" i="1" s="1"/>
  <c r="C89" i="1" s="1"/>
  <c r="D76" i="1"/>
  <c r="E76" i="1" s="1"/>
  <c r="B76" i="1" s="1"/>
  <c r="C76" i="1" s="1"/>
  <c r="D80" i="1"/>
  <c r="E80" i="1" s="1"/>
  <c r="B80" i="1" s="1"/>
  <c r="C80" i="1" s="1"/>
  <c r="E44" i="1"/>
  <c r="F44" i="1" s="1"/>
  <c r="C44" i="1" s="1"/>
  <c r="D44" i="1" s="1"/>
  <c r="D111" i="1"/>
  <c r="E111" i="1" s="1"/>
  <c r="B111" i="1" s="1"/>
  <c r="C111" i="1" s="1"/>
  <c r="D84" i="1"/>
  <c r="E84" i="1" s="1"/>
  <c r="B84" i="1" s="1"/>
  <c r="C84" i="1" s="1"/>
  <c r="D114" i="1"/>
  <c r="E114" i="1" s="1"/>
  <c r="B114" i="1" s="1"/>
  <c r="C114" i="1" s="1"/>
  <c r="D118" i="1"/>
  <c r="E118" i="1" s="1"/>
  <c r="B118" i="1" s="1"/>
  <c r="C118" i="1" s="1"/>
  <c r="D122" i="1"/>
  <c r="E122" i="1" s="1"/>
  <c r="B122" i="1" s="1"/>
  <c r="C122" i="1" s="1"/>
  <c r="D109" i="1"/>
  <c r="E109" i="1" s="1"/>
  <c r="B109" i="1" s="1"/>
  <c r="C109" i="1" s="1"/>
  <c r="D104" i="1"/>
  <c r="E104" i="1" s="1"/>
  <c r="B104" i="1" s="1"/>
  <c r="C104" i="1" s="1"/>
  <c r="D75" i="1"/>
  <c r="E75" i="1" s="1"/>
  <c r="B75" i="1" s="1"/>
  <c r="C75" i="1" s="1"/>
  <c r="D101" i="1"/>
  <c r="E101" i="1" s="1"/>
  <c r="B101" i="1" s="1"/>
  <c r="C101" i="1" s="1"/>
  <c r="D97" i="1"/>
  <c r="E97" i="1" s="1"/>
  <c r="B97" i="1" s="1"/>
  <c r="C97" i="1" s="1"/>
  <c r="D77" i="1"/>
  <c r="E77" i="1" s="1"/>
  <c r="B77" i="1" s="1"/>
  <c r="C77" i="1" s="1"/>
  <c r="D85" i="1"/>
  <c r="E85" i="1" s="1"/>
  <c r="B85" i="1" s="1"/>
  <c r="C85" i="1" s="1"/>
  <c r="D119" i="1"/>
  <c r="E119" i="1" s="1"/>
  <c r="B119" i="1" s="1"/>
  <c r="C119" i="1" s="1"/>
  <c r="D110" i="1"/>
  <c r="E110" i="1" s="1"/>
  <c r="B110" i="1" s="1"/>
  <c r="C110" i="1" s="1"/>
  <c r="D63" i="1"/>
  <c r="E63" i="1" s="1"/>
  <c r="B63" i="1" s="1"/>
  <c r="C63" i="1" s="1"/>
  <c r="D61" i="1"/>
  <c r="E61" i="1" s="1"/>
  <c r="B61" i="1" s="1"/>
  <c r="C61" i="1" s="1"/>
  <c r="D99" i="1"/>
  <c r="E99" i="1" s="1"/>
  <c r="B99" i="1" s="1"/>
  <c r="C99" i="1" s="1"/>
  <c r="D121" i="1"/>
  <c r="E121" i="1" s="1"/>
  <c r="B121" i="1" s="1"/>
  <c r="C121" i="1" s="1"/>
  <c r="D113" i="1"/>
  <c r="E113" i="1" s="1"/>
  <c r="B113" i="1" s="1"/>
  <c r="C113" i="1" s="1"/>
  <c r="D79" i="1"/>
  <c r="E79" i="1" s="1"/>
  <c r="B79" i="1" s="1"/>
  <c r="C79" i="1" s="1"/>
  <c r="D88" i="1"/>
  <c r="E88" i="1" s="1"/>
  <c r="B88" i="1" s="1"/>
  <c r="C88" i="1" s="1"/>
</calcChain>
</file>

<file path=xl/sharedStrings.xml><?xml version="1.0" encoding="utf-8"?>
<sst xmlns="http://schemas.openxmlformats.org/spreadsheetml/2006/main" count="51" uniqueCount="43">
  <si>
    <t>FINDING RESISTANCE AND TEMPERATURE USING STEINHART &amp; HART EQUATION</t>
  </si>
  <si>
    <t>1/T = a + b(Ln R) + c(Ln R)^3,  T in degrees Kelvin</t>
  </si>
  <si>
    <t>Serial No.:</t>
  </si>
  <si>
    <t>Fill in temperatures and resistance for basis of calculating a,b,and c.</t>
  </si>
  <si>
    <t>LnR</t>
  </si>
  <si>
    <t>Low</t>
  </si>
  <si>
    <t>Mid</t>
  </si>
  <si>
    <t>High</t>
  </si>
  <si>
    <t>Ln(R1) - Ln(R2)</t>
  </si>
  <si>
    <t>Ln(R1) - Ln(R3)</t>
  </si>
  <si>
    <t>(1/T1) - (1/T2)</t>
  </si>
  <si>
    <t>(1/T1) - (1/T3)</t>
  </si>
  <si>
    <t>Coefficients</t>
  </si>
  <si>
    <t>a=</t>
  </si>
  <si>
    <t>b=</t>
  </si>
  <si>
    <t>c=</t>
  </si>
  <si>
    <t>Solving for R, given T:</t>
  </si>
  <si>
    <t>dR/dT</t>
  </si>
  <si>
    <t>%dR/dT</t>
  </si>
  <si>
    <t>alpha</t>
  </si>
  <si>
    <t>beta</t>
  </si>
  <si>
    <t>Solving For T, given R:</t>
  </si>
  <si>
    <t>Ohms=</t>
  </si>
  <si>
    <t>To find resistance -</t>
  </si>
  <si>
    <t>DRDT</t>
  </si>
  <si>
    <t>Enter  Temp:</t>
  </si>
  <si>
    <t>R vs. T Table</t>
  </si>
  <si>
    <t>Enter Lowest Temperature (C):</t>
  </si>
  <si>
    <t>Enter Highest Temperature (C):</t>
  </si>
  <si>
    <t>Enter Temperature Increment (C):</t>
  </si>
  <si>
    <t>DR/DT</t>
  </si>
  <si>
    <t>www.meas-spec.com</t>
  </si>
  <si>
    <t>0 280 130 006</t>
  </si>
  <si>
    <r>
      <t xml:space="preserve">Temp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</t>
    </r>
  </si>
  <si>
    <t>Resistance Ω</t>
  </si>
  <si>
    <r>
      <t xml:space="preserve">Temp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K</t>
    </r>
  </si>
  <si>
    <r>
      <t xml:space="preserve">Degrees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C=</t>
    </r>
  </si>
  <si>
    <r>
      <t xml:space="preserve">Temp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K=</t>
    </r>
  </si>
  <si>
    <r>
      <t xml:space="preserve">Temp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C=</t>
    </r>
  </si>
  <si>
    <r>
      <t xml:space="preserve">Degree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C</t>
    </r>
  </si>
  <si>
    <t>Thermistor Calculator</t>
  </si>
  <si>
    <r>
      <t xml:space="preserve">Degree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F</t>
    </r>
  </si>
  <si>
    <r>
      <t xml:space="preserve">Temp </t>
    </r>
    <r>
      <rPr>
        <b/>
        <sz val="10"/>
        <rFont val="Calibri"/>
        <family val="2"/>
      </rPr>
      <t>°</t>
    </r>
    <r>
      <rPr>
        <b/>
        <sz val="10"/>
        <rFont val="Arial"/>
        <family val="2"/>
      </rPr>
      <t>F=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</si>
</sst>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_)"/>
    <numFmt numFmtId="165" formatCode="0.00_)"/>
    <numFmt numFmtId="166" formatCode="0.000_)"/>
    <numFmt numFmtId="167" formatCode="0.00000"/>
    <numFmt numFmtId="168" formatCode="0.0000000"/>
    <numFmt numFmtId="169" formatCode="0.00000000"/>
    <numFmt numFmtId="170" formatCode="0.000000000"/>
    <numFmt numFmtId="171" formatCode="General_)"/>
    <numFmt numFmtId="172" formatCode="0.00000000E+00_)"/>
  </numFmts>
  <fonts count="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171" fontId="2" fillId="0" borderId="0"/>
  </cellStyleXfs>
  <cellXfs count="56">
    <xf numFmtId="0" fontId="0" fillId="0" borderId="0" xfId="0"/>
    <xf numFmtId="0" fontId="1" fillId="0" borderId="0" xfId="2"/>
    <xf numFmtId="171" fontId="1" fillId="0" borderId="0" xfId="2" applyNumberFormat="1" applyAlignment="1" applyProtection="1">
      <alignment horizontal="left"/>
    </xf>
    <xf numFmtId="0" fontId="3" fillId="0" borderId="0" xfId="2" applyFont="1" applyAlignment="1">
      <alignment horizontal="right"/>
    </xf>
    <xf numFmtId="171" fontId="2" fillId="0" borderId="0" xfId="3"/>
    <xf numFmtId="0" fontId="3" fillId="0" borderId="0" xfId="2" applyFont="1" applyAlignment="1">
      <alignment horizontal="center"/>
    </xf>
    <xf numFmtId="168" fontId="1" fillId="0" borderId="0" xfId="2" applyNumberFormat="1"/>
    <xf numFmtId="169" fontId="1" fillId="0" borderId="0" xfId="2" applyNumberFormat="1"/>
    <xf numFmtId="0" fontId="3" fillId="0" borderId="0" xfId="2" applyFont="1" applyAlignment="1" applyProtection="1">
      <alignment horizontal="center"/>
      <protection hidden="1"/>
    </xf>
    <xf numFmtId="0" fontId="1" fillId="0" borderId="0" xfId="2" applyAlignment="1">
      <alignment horizontal="right"/>
    </xf>
    <xf numFmtId="165" fontId="1" fillId="0" borderId="0" xfId="2" applyNumberFormat="1" applyFill="1" applyAlignment="1" applyProtection="1">
      <alignment horizontal="center"/>
      <protection locked="0" hidden="1"/>
    </xf>
    <xf numFmtId="39" fontId="1" fillId="0" borderId="0" xfId="2" applyNumberFormat="1" applyAlignment="1" applyProtection="1">
      <alignment horizontal="center"/>
      <protection hidden="1"/>
    </xf>
    <xf numFmtId="164" fontId="1" fillId="0" borderId="0" xfId="2" applyNumberFormat="1" applyAlignment="1" applyProtection="1">
      <alignment horizontal="center"/>
      <protection hidden="1"/>
    </xf>
    <xf numFmtId="0" fontId="1" fillId="0" borderId="0" xfId="2" applyProtection="1">
      <protection hidden="1"/>
    </xf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Continuous"/>
    </xf>
    <xf numFmtId="170" fontId="1" fillId="0" borderId="0" xfId="2" applyNumberFormat="1"/>
    <xf numFmtId="172" fontId="1" fillId="0" borderId="0" xfId="2" applyNumberFormat="1" applyProtection="1"/>
    <xf numFmtId="0" fontId="1" fillId="0" borderId="0" xfId="2" applyProtection="1"/>
    <xf numFmtId="0" fontId="3" fillId="0" borderId="0" xfId="2" applyFont="1" applyAlignment="1">
      <alignment horizontal="centerContinuous"/>
    </xf>
    <xf numFmtId="165" fontId="3" fillId="0" borderId="0" xfId="2" applyNumberFormat="1" applyFont="1" applyFill="1" applyAlignment="1" applyProtection="1">
      <alignment horizontal="center"/>
      <protection locked="0" hidden="1"/>
    </xf>
    <xf numFmtId="39" fontId="3" fillId="0" borderId="0" xfId="2" applyNumberFormat="1" applyFont="1" applyAlignment="1" applyProtection="1">
      <alignment horizontal="center"/>
      <protection hidden="1"/>
    </xf>
    <xf numFmtId="2" fontId="1" fillId="0" borderId="0" xfId="2" applyNumberFormat="1"/>
    <xf numFmtId="167" fontId="1" fillId="0" borderId="0" xfId="2" applyNumberFormat="1"/>
    <xf numFmtId="167" fontId="1" fillId="0" borderId="0" xfId="2" applyNumberFormat="1" applyAlignment="1">
      <alignment horizontal="right"/>
    </xf>
    <xf numFmtId="49" fontId="1" fillId="0" borderId="0" xfId="2" applyNumberFormat="1"/>
    <xf numFmtId="2" fontId="1" fillId="0" borderId="0" xfId="2" applyNumberFormat="1" applyAlignment="1">
      <alignment horizontal="left"/>
    </xf>
    <xf numFmtId="0" fontId="4" fillId="0" borderId="0" xfId="2" applyFont="1" applyFill="1" applyBorder="1" applyAlignment="1">
      <alignment horizontal="left"/>
    </xf>
    <xf numFmtId="0" fontId="3" fillId="0" borderId="0" xfId="2" applyFont="1" applyAlignment="1">
      <alignment horizontal="left"/>
    </xf>
    <xf numFmtId="0" fontId="4" fillId="0" borderId="0" xfId="2" applyFont="1"/>
    <xf numFmtId="0" fontId="5" fillId="0" borderId="0" xfId="2" applyFont="1" applyFill="1" applyBorder="1" applyAlignment="1">
      <alignment horizontal="left"/>
    </xf>
    <xf numFmtId="2" fontId="5" fillId="0" borderId="0" xfId="2" applyNumberFormat="1" applyFont="1" applyAlignment="1">
      <alignment horizontal="left"/>
    </xf>
    <xf numFmtId="0" fontId="5" fillId="0" borderId="0" xfId="2" applyFont="1"/>
    <xf numFmtId="171" fontId="5" fillId="0" borderId="0" xfId="3" applyFont="1"/>
    <xf numFmtId="171" fontId="4" fillId="2" borderId="1" xfId="3" applyFont="1" applyFill="1" applyBorder="1" applyProtection="1">
      <protection locked="0"/>
    </xf>
    <xf numFmtId="171" fontId="4" fillId="2" borderId="3" xfId="3" applyFont="1" applyFill="1" applyBorder="1" applyProtection="1">
      <protection locked="0"/>
    </xf>
    <xf numFmtId="39" fontId="5" fillId="0" borderId="0" xfId="3" applyNumberFormat="1" applyFont="1" applyAlignment="1" applyProtection="1">
      <alignment horizontal="center"/>
    </xf>
    <xf numFmtId="165" fontId="5" fillId="0" borderId="0" xfId="3" applyNumberFormat="1" applyFont="1" applyAlignment="1" applyProtection="1">
      <alignment horizontal="center"/>
    </xf>
    <xf numFmtId="171" fontId="5" fillId="0" borderId="0" xfId="3" applyFont="1" applyProtection="1"/>
    <xf numFmtId="166" fontId="5" fillId="0" borderId="0" xfId="3" applyNumberFormat="1" applyFont="1" applyAlignment="1">
      <alignment horizontal="center"/>
    </xf>
    <xf numFmtId="0" fontId="4" fillId="2" borderId="1" xfId="2" applyFont="1" applyFill="1" applyBorder="1" applyAlignment="1" applyProtection="1">
      <alignment horizontal="center"/>
      <protection locked="0"/>
    </xf>
    <xf numFmtId="0" fontId="4" fillId="2" borderId="1" xfId="2" applyFont="1" applyFill="1" applyBorder="1" applyAlignment="1" applyProtection="1">
      <alignment horizontal="left"/>
      <protection locked="0"/>
    </xf>
    <xf numFmtId="165" fontId="1" fillId="2" borderId="1" xfId="2" applyNumberFormat="1" applyFill="1" applyBorder="1" applyAlignment="1" applyProtection="1">
      <alignment horizontal="center"/>
      <protection locked="0"/>
    </xf>
    <xf numFmtId="0" fontId="6" fillId="0" borderId="0" xfId="1" applyAlignment="1" applyProtection="1"/>
    <xf numFmtId="0" fontId="3" fillId="2" borderId="1" xfId="2" applyFont="1" applyFill="1" applyBorder="1" applyAlignment="1" applyProtection="1">
      <alignment horizontal="center"/>
      <protection locked="0"/>
    </xf>
    <xf numFmtId="0" fontId="1" fillId="0" borderId="0" xfId="2" applyAlignment="1">
      <alignment horizontal="left"/>
    </xf>
    <xf numFmtId="171" fontId="3" fillId="0" borderId="1" xfId="3" applyFont="1" applyBorder="1" applyAlignment="1">
      <alignment horizontal="center"/>
    </xf>
    <xf numFmtId="164" fontId="5" fillId="0" borderId="1" xfId="3" applyNumberFormat="1" applyFont="1" applyBorder="1" applyAlignment="1" applyProtection="1">
      <alignment horizontal="center"/>
    </xf>
    <xf numFmtId="37" fontId="5" fillId="0" borderId="1" xfId="3" applyNumberFormat="1" applyFont="1" applyBorder="1" applyAlignment="1" applyProtection="1">
      <alignment horizontal="center"/>
    </xf>
    <xf numFmtId="165" fontId="5" fillId="0" borderId="1" xfId="3" applyNumberFormat="1" applyFont="1" applyBorder="1" applyAlignment="1" applyProtection="1">
      <alignment horizontal="center"/>
    </xf>
    <xf numFmtId="171" fontId="5" fillId="0" borderId="1" xfId="3" applyFont="1" applyBorder="1" applyProtection="1"/>
    <xf numFmtId="164" fontId="5" fillId="0" borderId="1" xfId="3" applyNumberFormat="1" applyFont="1" applyBorder="1" applyAlignment="1">
      <alignment horizontal="center"/>
    </xf>
    <xf numFmtId="164" fontId="5" fillId="3" borderId="1" xfId="3" applyNumberFormat="1" applyFont="1" applyFill="1" applyBorder="1" applyAlignment="1">
      <alignment horizontal="center"/>
    </xf>
    <xf numFmtId="37" fontId="5" fillId="3" borderId="1" xfId="3" applyNumberFormat="1" applyFont="1" applyFill="1" applyBorder="1" applyAlignment="1" applyProtection="1">
      <alignment horizontal="center"/>
    </xf>
    <xf numFmtId="165" fontId="5" fillId="3" borderId="1" xfId="3" applyNumberFormat="1" applyFont="1" applyFill="1" applyBorder="1" applyAlignment="1" applyProtection="1">
      <alignment horizontal="center"/>
    </xf>
    <xf numFmtId="171" fontId="5" fillId="3" borderId="1" xfId="3" applyFont="1" applyFill="1" applyBorder="1" applyProtection="1"/>
  </cellXfs>
  <cellStyles count="4">
    <cellStyle name="Hyperlink" xfId="1" builtinId="8"/>
    <cellStyle name="Normal" xfId="0" builtinId="0"/>
    <cellStyle name="Normal_ST&amp;HT_EQ" xfId="2"/>
    <cellStyle name="Normal_STEINHRT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tx2"/>
                </a:solidFill>
              </a:rPr>
              <a:t>T1 Air Temp Sensor</a:t>
            </a:r>
          </a:p>
          <a:p>
            <a:pPr>
              <a:defRPr/>
            </a:pPr>
            <a:r>
              <a:rPr lang="en-US" sz="1400">
                <a:solidFill>
                  <a:schemeClr val="tx2"/>
                </a:solidFill>
              </a:rPr>
              <a:t>Resistance </a:t>
            </a:r>
            <a:r>
              <a:rPr lang="el-GR" sz="1400">
                <a:solidFill>
                  <a:schemeClr val="tx2"/>
                </a:solidFill>
              </a:rPr>
              <a:t>Ω</a:t>
            </a:r>
            <a:r>
              <a:rPr lang="en-US" sz="1400">
                <a:solidFill>
                  <a:schemeClr val="tx2"/>
                </a:solidFill>
              </a:rPr>
              <a:t> vs. Temp  °C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Resistance</c:v>
          </c:tx>
          <c:marker>
            <c:symbol val="none"/>
          </c:marker>
          <c:cat>
            <c:numRef>
              <c:f>SNHRT!$A$52:$A$122</c:f>
              <c:numCache>
                <c:formatCode>0_)</c:formatCode>
                <c:ptCount val="7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</c:numCache>
            </c:numRef>
          </c:cat>
          <c:val>
            <c:numRef>
              <c:f>SNHRT!$B$52:$B$122</c:f>
              <c:numCache>
                <c:formatCode>#,##0_);\(#,##0\)</c:formatCode>
                <c:ptCount val="71"/>
                <c:pt idx="0">
                  <c:v>959.82862090037156</c:v>
                </c:pt>
                <c:pt idx="1">
                  <c:v>920.93466679571623</c:v>
                </c:pt>
                <c:pt idx="2">
                  <c:v>883.78367192603525</c:v>
                </c:pt>
                <c:pt idx="3">
                  <c:v>848.29064074177506</c:v>
                </c:pt>
                <c:pt idx="4">
                  <c:v>814.37504118293077</c:v>
                </c:pt>
                <c:pt idx="5">
                  <c:v>781.96055411672069</c:v>
                </c:pt>
                <c:pt idx="6">
                  <c:v>750.97483772736496</c:v>
                </c:pt>
                <c:pt idx="7">
                  <c:v>721.34930591377042</c:v>
                </c:pt>
                <c:pt idx="8">
                  <c:v>693.01891981372603</c:v>
                </c:pt>
                <c:pt idx="9">
                  <c:v>665.92199163143084</c:v>
                </c:pt>
                <c:pt idx="10">
                  <c:v>640.00000000000102</c:v>
                </c:pt>
                <c:pt idx="11">
                  <c:v>615.19741616096587</c:v>
                </c:pt>
                <c:pt idx="12">
                  <c:v>591.46154028991623</c:v>
                </c:pt>
                <c:pt idx="13">
                  <c:v>568.74234734146364</c:v>
                </c:pt>
                <c:pt idx="14">
                  <c:v>546.99234182730993</c:v>
                </c:pt>
                <c:pt idx="15">
                  <c:v>526.16642097955821</c:v>
                </c:pt>
                <c:pt idx="16">
                  <c:v>506.22174578658417</c:v>
                </c:pt>
                <c:pt idx="17">
                  <c:v>487.117619422046</c:v>
                </c:pt>
                <c:pt idx="18">
                  <c:v>468.81537261820455</c:v>
                </c:pt>
                <c:pt idx="19">
                  <c:v>451.27825556374881</c:v>
                </c:pt>
                <c:pt idx="20">
                  <c:v>434.47133593272514</c:v>
                </c:pt>
                <c:pt idx="21">
                  <c:v>418.3614026765523</c:v>
                </c:pt>
                <c:pt idx="22">
                  <c:v>402.91687523411281</c:v>
                </c:pt>
                <c:pt idx="23">
                  <c:v>388.1077178369477</c:v>
                </c:pt>
                <c:pt idx="24">
                  <c:v>373.90535860660623</c:v>
                </c:pt>
                <c:pt idx="25">
                  <c:v>360.28261316052414</c:v>
                </c:pt>
                <c:pt idx="26">
                  <c:v>347.21361246026174</c:v>
                </c:pt>
                <c:pt idx="27">
                  <c:v>334.67373465260738</c:v>
                </c:pt>
                <c:pt idx="28">
                  <c:v>322.63954066953733</c:v>
                </c:pt>
                <c:pt idx="29">
                  <c:v>311.08871336751031</c:v>
                </c:pt>
                <c:pt idx="30">
                  <c:v>299.99999999999943</c:v>
                </c:pt>
                <c:pt idx="31">
                  <c:v>289.35315782994724</c:v>
                </c:pt>
                <c:pt idx="32">
                  <c:v>279.12890270060507</c:v>
                </c:pt>
                <c:pt idx="33">
                  <c:v>269.30886039426127</c:v>
                </c:pt>
                <c:pt idx="34">
                  <c:v>259.87552061881161</c:v>
                </c:pt>
                <c:pt idx="35">
                  <c:v>250.81219347171196</c:v>
                </c:pt>
                <c:pt idx="36">
                  <c:v>242.10296824005601</c:v>
                </c:pt>
                <c:pt idx="37">
                  <c:v>233.73267440394272</c:v>
                </c:pt>
                <c:pt idx="38">
                  <c:v>225.68684471829025</c:v>
                </c:pt>
                <c:pt idx="39">
                  <c:v>217.95168025571374</c:v>
                </c:pt>
                <c:pt idx="40">
                  <c:v>210.51401730013336</c:v>
                </c:pt>
                <c:pt idx="41">
                  <c:v>203.36129598719216</c:v>
                </c:pt>
                <c:pt idx="42">
                  <c:v>196.48153059392894</c:v>
                </c:pt>
                <c:pt idx="43">
                  <c:v>189.86328138567038</c:v>
                </c:pt>
                <c:pt idx="44">
                  <c:v>183.4956279337249</c:v>
                </c:pt>
                <c:pt idx="45">
                  <c:v>177.3681438224061</c:v>
                </c:pt>
                <c:pt idx="46">
                  <c:v>171.47087266871026</c:v>
                </c:pt>
                <c:pt idx="47">
                  <c:v>165.79430538243156</c:v>
                </c:pt>
                <c:pt idx="48">
                  <c:v>160.32935859873643</c:v>
                </c:pt>
                <c:pt idx="49">
                  <c:v>155.06735421906129</c:v>
                </c:pt>
                <c:pt idx="50">
                  <c:v>150.00000000000023</c:v>
                </c:pt>
                <c:pt idx="51">
                  <c:v>145.11937113324126</c:v>
                </c:pt>
                <c:pt idx="52">
                  <c:v>140.41789276292178</c:v>
                </c:pt>
                <c:pt idx="53">
                  <c:v>135.88832338981257</c:v>
                </c:pt>
                <c:pt idx="54">
                  <c:v>131.52373911462391</c:v>
                </c:pt>
                <c:pt idx="55">
                  <c:v>127.31751867546907</c:v>
                </c:pt>
                <c:pt idx="56">
                  <c:v>123.26332923701302</c:v>
                </c:pt>
                <c:pt idx="57">
                  <c:v>119.35511289125921</c:v>
                </c:pt>
                <c:pt idx="58">
                  <c:v>115.58707383220356</c:v>
                </c:pt>
                <c:pt idx="59">
                  <c:v>111.95366616864874</c:v>
                </c:pt>
                <c:pt idx="60">
                  <c:v>108.44958234152209</c:v>
                </c:pt>
                <c:pt idx="61">
                  <c:v>105.06974211386768</c:v>
                </c:pt>
                <c:pt idx="62">
                  <c:v>101.80928210350135</c:v>
                </c:pt>
                <c:pt idx="63">
                  <c:v>98.663545829936027</c:v>
                </c:pt>
                <c:pt idx="64">
                  <c:v>95.628074248777182</c:v>
                </c:pt>
                <c:pt idx="65">
                  <c:v>92.698596748261465</c:v>
                </c:pt>
                <c:pt idx="66">
                  <c:v>89.871022583991646</c:v>
                </c:pt>
                <c:pt idx="67">
                  <c:v>87.141432729237025</c:v>
                </c:pt>
                <c:pt idx="68">
                  <c:v>84.506072119415123</c:v>
                </c:pt>
                <c:pt idx="69">
                  <c:v>81.96134227050311</c:v>
                </c:pt>
                <c:pt idx="70">
                  <c:v>79.503794252258643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96608"/>
        <c:axId val="70198400"/>
      </c:lineChart>
      <c:catAx>
        <c:axId val="70196608"/>
        <c:scaling>
          <c:orientation val="minMax"/>
        </c:scaling>
        <c:delete val="0"/>
        <c:axPos val="b"/>
        <c:minorGridlines/>
        <c:numFmt formatCode="0_)" sourceLinked="1"/>
        <c:majorTickMark val="out"/>
        <c:minorTickMark val="none"/>
        <c:tickLblPos val="low"/>
        <c:crossAx val="70198400"/>
        <c:crosses val="autoZero"/>
        <c:auto val="1"/>
        <c:lblAlgn val="ctr"/>
        <c:lblOffset val="200"/>
        <c:tickLblSkip val="10"/>
        <c:tickMarkSkip val="10"/>
        <c:noMultiLvlLbl val="0"/>
      </c:catAx>
      <c:valAx>
        <c:axId val="70198400"/>
        <c:scaling>
          <c:orientation val="minMax"/>
        </c:scaling>
        <c:delete val="0"/>
        <c:axPos val="l"/>
        <c:minorGridlines/>
        <c:numFmt formatCode="#,##0_);\(#,##0\)" sourceLinked="1"/>
        <c:majorTickMark val="out"/>
        <c:minorTickMark val="none"/>
        <c:tickLblPos val="nextTo"/>
        <c:crossAx val="70196608"/>
        <c:crossesAt val="1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2700000" scaled="0"/>
      <a:tileRect/>
    </a:gradFill>
    <a:effectLst>
      <a:glow rad="139700">
        <a:schemeClr val="accent2">
          <a:satMod val="175000"/>
          <a:alpha val="40000"/>
        </a:schemeClr>
      </a:glow>
      <a:innerShdw blurRad="63500" dist="50800" dir="10800000">
        <a:prstClr val="black">
          <a:alpha val="50000"/>
        </a:prstClr>
      </a:innerShdw>
    </a:effectLst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0</xdr:col>
      <xdr:colOff>904875</xdr:colOff>
      <xdr:row>2</xdr:row>
      <xdr:rowOff>47625</xdr:rowOff>
    </xdr:to>
    <xdr:pic>
      <xdr:nvPicPr>
        <xdr:cNvPr id="1030" name="Picture 4" descr="meas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9048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85724</xdr:colOff>
      <xdr:row>123</xdr:row>
      <xdr:rowOff>0</xdr:rowOff>
    </xdr:from>
    <xdr:to>
      <xdr:col>7</xdr:col>
      <xdr:colOff>647700</xdr:colOff>
      <xdr:row>159</xdr:row>
      <xdr:rowOff>0</xdr:rowOff>
    </xdr:to>
    <xdr:graphicFrame macro="">
      <xdr:nvGraphicFramePr>
        <xdr:cNvPr id="2" name="Chart 1" title="T1 Air Temp Sens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159</xdr:row>
      <xdr:rowOff>161924</xdr:rowOff>
    </xdr:from>
    <xdr:to>
      <xdr:col>7</xdr:col>
      <xdr:colOff>828413</xdr:colOff>
      <xdr:row>192</xdr:row>
      <xdr:rowOff>85724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98474"/>
          <a:ext cx="7086338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0.01164</cdr:x>
      <cdr:y>0.07476</cdr:y>
    </cdr:from>
    <cdr:to>
      <cdr:x>0.04269</cdr:x>
      <cdr:y>0.10184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876300"/>
          <a:ext cx="304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SRS%20Thermistor%20Calculator.htm" TargetMode="External"/><Relationship Id="rId1" Type="http://schemas.openxmlformats.org/officeDocument/2006/relationships/hyperlink" Target="http://www.meas-spec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abSelected="1" view="pageLayout" topLeftCell="A16" zoomScaleNormal="100" workbookViewId="0">
      <selection activeCell="F32" sqref="F32"/>
    </sheetView>
  </sheetViews>
  <sheetFormatPr defaultRowHeight="12.75" x14ac:dyDescent="0.2"/>
  <cols>
    <col min="1" max="1" width="13.7109375" style="1" customWidth="1"/>
    <col min="2" max="2" width="13.28515625" style="1" customWidth="1"/>
    <col min="3" max="3" width="12.140625" style="1" customWidth="1"/>
    <col min="4" max="4" width="10.7109375" style="1" customWidth="1"/>
    <col min="5" max="5" width="10.5703125" style="1" customWidth="1"/>
    <col min="6" max="6" width="14.85546875" style="1" customWidth="1"/>
    <col min="7" max="7" width="14" style="1" customWidth="1"/>
    <col min="8" max="8" width="12.42578125" style="1" customWidth="1"/>
    <col min="9" max="9" width="13.5703125" style="1" customWidth="1"/>
    <col min="10" max="10" width="15.5703125" style="1" customWidth="1"/>
    <col min="11" max="16384" width="9.140625" style="1"/>
  </cols>
  <sheetData>
    <row r="1" spans="1:10" x14ac:dyDescent="0.2">
      <c r="B1" s="43" t="s">
        <v>31</v>
      </c>
    </row>
    <row r="4" spans="1:10" x14ac:dyDescent="0.2">
      <c r="A4" s="1" t="s">
        <v>0</v>
      </c>
    </row>
    <row r="5" spans="1:10" x14ac:dyDescent="0.2">
      <c r="D5" s="2" t="s">
        <v>1</v>
      </c>
    </row>
    <row r="6" spans="1:10" x14ac:dyDescent="0.2">
      <c r="A6" s="3" t="s">
        <v>2</v>
      </c>
      <c r="B6" s="44" t="s">
        <v>32</v>
      </c>
    </row>
    <row r="8" spans="1:10" s="4" customFormat="1" x14ac:dyDescent="0.2">
      <c r="A8" s="1" t="s">
        <v>3</v>
      </c>
    </row>
    <row r="9" spans="1:10" s="4" customFormat="1" ht="12" x14ac:dyDescent="0.15"/>
    <row r="10" spans="1:10" x14ac:dyDescent="0.2">
      <c r="B10" s="5" t="s">
        <v>33</v>
      </c>
      <c r="C10" s="5" t="s">
        <v>34</v>
      </c>
      <c r="D10" s="5" t="s">
        <v>35</v>
      </c>
      <c r="E10" s="5" t="s">
        <v>4</v>
      </c>
    </row>
    <row r="11" spans="1:10" x14ac:dyDescent="0.2">
      <c r="A11" s="3" t="s">
        <v>5</v>
      </c>
      <c r="B11" s="40">
        <v>0</v>
      </c>
      <c r="C11" s="40">
        <v>640</v>
      </c>
      <c r="D11" s="1">
        <f>B11+273.15</f>
        <v>273.14999999999998</v>
      </c>
      <c r="E11" s="6">
        <f>LN(C11)</f>
        <v>6.4614681763537174</v>
      </c>
      <c r="G11" s="43" t="s">
        <v>40</v>
      </c>
    </row>
    <row r="12" spans="1:10" x14ac:dyDescent="0.2">
      <c r="A12" s="3" t="s">
        <v>6</v>
      </c>
      <c r="B12" s="40">
        <v>20</v>
      </c>
      <c r="C12" s="40">
        <v>300</v>
      </c>
      <c r="D12" s="1">
        <f>B12+273.15</f>
        <v>293.14999999999998</v>
      </c>
      <c r="E12" s="6">
        <f>LN(C12)</f>
        <v>5.7037824746562009</v>
      </c>
    </row>
    <row r="13" spans="1:10" x14ac:dyDescent="0.2">
      <c r="A13" s="3" t="s">
        <v>7</v>
      </c>
      <c r="B13" s="40">
        <v>40</v>
      </c>
      <c r="C13" s="40">
        <v>150</v>
      </c>
      <c r="D13" s="1">
        <f>B13+273.15</f>
        <v>313.14999999999998</v>
      </c>
      <c r="E13" s="6">
        <f>LN(C13)</f>
        <v>5.0106352940962555</v>
      </c>
    </row>
    <row r="15" spans="1:10" x14ac:dyDescent="0.2">
      <c r="A15" s="1" t="s">
        <v>8</v>
      </c>
      <c r="B15" s="7">
        <f>E11-E12</f>
        <v>0.75768570169751648</v>
      </c>
    </row>
    <row r="16" spans="1:10" x14ac:dyDescent="0.2">
      <c r="A16" s="1" t="s">
        <v>9</v>
      </c>
      <c r="B16" s="7">
        <f>E11-E13</f>
        <v>1.4508328822574619</v>
      </c>
      <c r="F16" s="8"/>
      <c r="G16" s="8"/>
      <c r="H16" s="8"/>
      <c r="I16" s="8"/>
      <c r="J16" s="8"/>
    </row>
    <row r="17" spans="1:10" x14ac:dyDescent="0.2">
      <c r="A17" s="1" t="s">
        <v>10</v>
      </c>
      <c r="B17" s="7">
        <f>(1/D11) - (1/D12)</f>
        <v>2.4976920544887747E-4</v>
      </c>
      <c r="E17" s="9"/>
      <c r="F17" s="10"/>
      <c r="G17" s="11"/>
      <c r="H17" s="12"/>
      <c r="I17" s="13"/>
      <c r="J17" s="13"/>
    </row>
    <row r="18" spans="1:10" x14ac:dyDescent="0.2">
      <c r="A18" s="1" t="s">
        <v>11</v>
      </c>
      <c r="B18" s="7">
        <f>(1/D11)-(1/D13)</f>
        <v>4.6763431312366911E-4</v>
      </c>
      <c r="F18" s="10"/>
      <c r="G18" s="11"/>
      <c r="H18" s="12"/>
      <c r="I18" s="13"/>
      <c r="J18" s="13"/>
    </row>
    <row r="19" spans="1:10" x14ac:dyDescent="0.2">
      <c r="B19" s="7"/>
      <c r="F19" s="10"/>
      <c r="G19" s="11"/>
      <c r="H19" s="12"/>
      <c r="I19" s="13"/>
      <c r="J19" s="13"/>
    </row>
    <row r="20" spans="1:10" x14ac:dyDescent="0.2">
      <c r="A20" s="14" t="s">
        <v>12</v>
      </c>
      <c r="B20" s="15"/>
      <c r="F20" s="10"/>
      <c r="G20" s="11"/>
      <c r="H20" s="12"/>
      <c r="I20" s="13"/>
      <c r="J20" s="13"/>
    </row>
    <row r="21" spans="1:10" x14ac:dyDescent="0.2">
      <c r="A21" s="3" t="s">
        <v>13</v>
      </c>
      <c r="B21" s="16">
        <f>1/D11-B23*E11^3-B22*E11</f>
        <v>1.8068848778464712E-3</v>
      </c>
      <c r="E21" s="17"/>
      <c r="F21" s="10"/>
      <c r="G21" s="11"/>
      <c r="H21" s="12"/>
      <c r="I21" s="13"/>
      <c r="J21" s="13"/>
    </row>
    <row r="22" spans="1:10" x14ac:dyDescent="0.2">
      <c r="A22" s="3" t="s">
        <v>14</v>
      </c>
      <c r="B22" s="16">
        <f>(B17-B23*(E11^3-E12^3))/B15</f>
        <v>2.6125626575717491E-4</v>
      </c>
      <c r="E22" s="18"/>
      <c r="F22" s="10"/>
      <c r="G22" s="11"/>
      <c r="H22" s="12"/>
      <c r="I22" s="13"/>
      <c r="J22" s="13"/>
    </row>
    <row r="23" spans="1:10" x14ac:dyDescent="0.2">
      <c r="A23" s="3" t="s">
        <v>15</v>
      </c>
      <c r="B23" s="16">
        <f>(B17-B15*B18/B16)/((E11^3-E12^3)-B15*(E11^3-E13^3)/B16)</f>
        <v>6.1536943574836541E-7</v>
      </c>
      <c r="F23" s="10"/>
      <c r="G23" s="11"/>
      <c r="H23" s="12"/>
      <c r="I23" s="13"/>
      <c r="J23" s="13"/>
    </row>
    <row r="24" spans="1:10" x14ac:dyDescent="0.2">
      <c r="A24" s="3"/>
      <c r="B24" s="16"/>
      <c r="F24" s="10"/>
      <c r="G24" s="11"/>
      <c r="H24" s="12"/>
      <c r="I24" s="13"/>
      <c r="J24" s="13"/>
    </row>
    <row r="25" spans="1:10" x14ac:dyDescent="0.2">
      <c r="F25" s="10"/>
      <c r="G25" s="11"/>
      <c r="H25" s="12"/>
      <c r="I25" s="13"/>
      <c r="J25" s="13"/>
    </row>
    <row r="26" spans="1:10" x14ac:dyDescent="0.2">
      <c r="A26" s="19" t="s">
        <v>16</v>
      </c>
      <c r="B26" s="19"/>
      <c r="C26" s="5" t="s">
        <v>34</v>
      </c>
      <c r="D26" s="5" t="s">
        <v>17</v>
      </c>
      <c r="E26" s="5" t="s">
        <v>18</v>
      </c>
      <c r="F26" s="20" t="s">
        <v>19</v>
      </c>
      <c r="G26" s="21" t="s">
        <v>20</v>
      </c>
      <c r="H26" s="12"/>
      <c r="I26" s="13"/>
      <c r="J26" s="13"/>
    </row>
    <row r="27" spans="1:10" x14ac:dyDescent="0.2">
      <c r="A27" s="3" t="s">
        <v>36</v>
      </c>
      <c r="B27" s="41">
        <v>28</v>
      </c>
      <c r="C27" s="22">
        <f>EXP((G27-(F27/2))^(1/3)-(G27+(F27/2))^(1/3))</f>
        <v>225.68684471829025</v>
      </c>
      <c r="D27" s="22">
        <f>-1*C27/(B28^2*($B$22+3*$B$23*(LN(C27))^2))</f>
        <v>-7.8882512608729005</v>
      </c>
      <c r="E27" s="22">
        <f>D27/C27*100</f>
        <v>-3.4952197903778024</v>
      </c>
      <c r="F27" s="23">
        <f>($B$21-(1/B28))/$B$23</f>
        <v>-2459.8548192507437</v>
      </c>
      <c r="G27" s="24">
        <f>SQRT(($B$22/(3*$B$23))^3+(F27^2)/4)</f>
        <v>2084.9242611334257</v>
      </c>
    </row>
    <row r="28" spans="1:10" x14ac:dyDescent="0.2">
      <c r="A28" s="3" t="s">
        <v>37</v>
      </c>
      <c r="B28" s="45">
        <f>B27+273.15</f>
        <v>301.14999999999998</v>
      </c>
      <c r="G28" s="25"/>
    </row>
    <row r="29" spans="1:10" x14ac:dyDescent="0.2">
      <c r="E29" s="25"/>
    </row>
    <row r="31" spans="1:10" x14ac:dyDescent="0.2">
      <c r="A31" s="19" t="s">
        <v>21</v>
      </c>
      <c r="B31" s="19"/>
    </row>
    <row r="32" spans="1:10" x14ac:dyDescent="0.2">
      <c r="A32" s="3" t="s">
        <v>22</v>
      </c>
      <c r="B32" s="41">
        <v>253.9</v>
      </c>
      <c r="C32" s="3" t="s">
        <v>38</v>
      </c>
      <c r="D32" s="26">
        <f>1/(B21+B22*LN(B32)+B23*(LN(B32))^3)-273.15</f>
        <v>24.654804831913907</v>
      </c>
      <c r="E32" s="3" t="s">
        <v>42</v>
      </c>
      <c r="F32" s="26">
        <f>(D32*9)/5 + 32</f>
        <v>76.37864869744503</v>
      </c>
    </row>
    <row r="33" spans="1:7" x14ac:dyDescent="0.2">
      <c r="A33" s="3"/>
      <c r="B33" s="27"/>
      <c r="C33" s="3"/>
      <c r="D33" s="26"/>
    </row>
    <row r="34" spans="1:7" x14ac:dyDescent="0.2">
      <c r="A34" s="3"/>
      <c r="B34" s="27"/>
      <c r="C34" s="3"/>
      <c r="D34" s="26"/>
    </row>
    <row r="35" spans="1:7" x14ac:dyDescent="0.2">
      <c r="A35" s="28" t="s">
        <v>23</v>
      </c>
      <c r="B35" s="27"/>
      <c r="C35" s="3"/>
      <c r="D35" s="26"/>
    </row>
    <row r="36" spans="1:7" s="29" customFormat="1" x14ac:dyDescent="0.2">
      <c r="A36" s="1"/>
      <c r="B36" s="8" t="s">
        <v>39</v>
      </c>
      <c r="C36" s="8" t="s">
        <v>34</v>
      </c>
      <c r="D36" s="8" t="s">
        <v>24</v>
      </c>
      <c r="E36" s="8" t="s">
        <v>19</v>
      </c>
      <c r="F36" s="8" t="s">
        <v>20</v>
      </c>
      <c r="G36" s="5" t="s">
        <v>41</v>
      </c>
    </row>
    <row r="37" spans="1:7" x14ac:dyDescent="0.2">
      <c r="A37" s="3" t="s">
        <v>25</v>
      </c>
      <c r="B37" s="42">
        <v>-10</v>
      </c>
      <c r="C37" s="11">
        <f t="shared" ref="C37:C45" si="0">EXP((F37-E37/2)^(1/3)-(F37+E37/2)^(1/3))</f>
        <v>959.82862090037156</v>
      </c>
      <c r="D37" s="12">
        <f t="shared" ref="D37:D45" si="1">-1*C37/((B37+273.15)^2*($B$22+3*$B$23*(LN(C37))^2))</f>
        <v>-39.794934192235402</v>
      </c>
      <c r="E37" s="13">
        <f t="shared" ref="E37:E45" si="2">($B$21-(1/(B37+273.15)))/$B$23</f>
        <v>-3239.0772270800521</v>
      </c>
      <c r="F37" s="13">
        <f t="shared" ref="F37:F45" si="3">SQRT(($B$22/(3*$B$23))^3+E37^2/4)</f>
        <v>2336.0421790845589</v>
      </c>
      <c r="G37" s="1">
        <f>(B37*9)/5+32</f>
        <v>14</v>
      </c>
    </row>
    <row r="38" spans="1:7" x14ac:dyDescent="0.2">
      <c r="B38" s="42">
        <v>0</v>
      </c>
      <c r="C38" s="11">
        <f t="shared" si="0"/>
        <v>640.00000000000102</v>
      </c>
      <c r="D38" s="12">
        <f t="shared" si="1"/>
        <v>-25.353273979490709</v>
      </c>
      <c r="E38" s="13">
        <f t="shared" si="2"/>
        <v>-3012.9986042703408</v>
      </c>
      <c r="F38" s="13">
        <f t="shared" si="3"/>
        <v>2259.1431758630838</v>
      </c>
      <c r="G38" s="1">
        <f t="shared" ref="G38:G45" si="4">(B38*9)/5+32</f>
        <v>32</v>
      </c>
    </row>
    <row r="39" spans="1:7" x14ac:dyDescent="0.2">
      <c r="B39" s="42">
        <v>10</v>
      </c>
      <c r="C39" s="11">
        <f t="shared" si="0"/>
        <v>434.47133593272514</v>
      </c>
      <c r="D39" s="12">
        <f t="shared" si="1"/>
        <v>-16.453030081971107</v>
      </c>
      <c r="E39" s="13">
        <f t="shared" si="2"/>
        <v>-2802.8888052508264</v>
      </c>
      <c r="F39" s="13">
        <f t="shared" si="3"/>
        <v>2190.4871958916092</v>
      </c>
      <c r="G39" s="1">
        <f t="shared" si="4"/>
        <v>50</v>
      </c>
    </row>
    <row r="40" spans="1:7" x14ac:dyDescent="0.2">
      <c r="B40" s="42">
        <v>20</v>
      </c>
      <c r="C40" s="11">
        <f t="shared" si="0"/>
        <v>299.99999999999943</v>
      </c>
      <c r="D40" s="12">
        <f t="shared" si="1"/>
        <v>-10.864485527626094</v>
      </c>
      <c r="E40" s="13">
        <f t="shared" si="2"/>
        <v>-2607.113633488314</v>
      </c>
      <c r="F40" s="13">
        <f t="shared" si="3"/>
        <v>2129.1895444499874</v>
      </c>
      <c r="G40" s="1">
        <f t="shared" si="4"/>
        <v>68</v>
      </c>
    </row>
    <row r="41" spans="1:7" x14ac:dyDescent="0.2">
      <c r="A41" s="17"/>
      <c r="B41" s="42">
        <v>30</v>
      </c>
      <c r="C41" s="11">
        <f t="shared" si="0"/>
        <v>210.51401730013336</v>
      </c>
      <c r="D41" s="12">
        <f t="shared" si="1"/>
        <v>-7.2931476324052458</v>
      </c>
      <c r="E41" s="13">
        <f t="shared" si="2"/>
        <v>-2424.2545212186278</v>
      </c>
      <c r="F41" s="13">
        <f t="shared" si="3"/>
        <v>2074.4734844358036</v>
      </c>
      <c r="G41" s="1">
        <f t="shared" si="4"/>
        <v>86</v>
      </c>
    </row>
    <row r="42" spans="1:7" x14ac:dyDescent="0.2">
      <c r="A42" s="18"/>
      <c r="B42" s="42">
        <v>40</v>
      </c>
      <c r="C42" s="11">
        <f t="shared" si="0"/>
        <v>150.00000000000023</v>
      </c>
      <c r="D42" s="12">
        <f t="shared" si="1"/>
        <v>-4.9727004718524057</v>
      </c>
      <c r="E42" s="13">
        <f t="shared" si="2"/>
        <v>-2253.0741004558672</v>
      </c>
      <c r="F42" s="13">
        <f t="shared" si="3"/>
        <v>2025.6538369749255</v>
      </c>
      <c r="G42" s="1">
        <f t="shared" si="4"/>
        <v>104</v>
      </c>
    </row>
    <row r="43" spans="1:7" x14ac:dyDescent="0.2">
      <c r="B43" s="42">
        <v>50</v>
      </c>
      <c r="C43" s="11">
        <f t="shared" si="0"/>
        <v>108.44958234152209</v>
      </c>
      <c r="D43" s="12">
        <f t="shared" si="1"/>
        <v>-3.4411337326058615</v>
      </c>
      <c r="E43" s="13">
        <f t="shared" si="2"/>
        <v>-2092.4881665111639</v>
      </c>
      <c r="F43" s="13">
        <f t="shared" si="3"/>
        <v>1982.123715478501</v>
      </c>
      <c r="G43" s="1">
        <f t="shared" si="4"/>
        <v>122</v>
      </c>
    </row>
    <row r="44" spans="1:7" x14ac:dyDescent="0.2">
      <c r="B44" s="42">
        <v>60</v>
      </c>
      <c r="C44" s="11">
        <f t="shared" si="0"/>
        <v>79.503794252258643</v>
      </c>
      <c r="D44" s="12">
        <f t="shared" si="1"/>
        <v>-2.4150707067038675</v>
      </c>
      <c r="E44" s="13">
        <f t="shared" si="2"/>
        <v>-1941.542690855202</v>
      </c>
      <c r="F44" s="13">
        <f t="shared" si="3"/>
        <v>1943.3437026985985</v>
      </c>
      <c r="G44" s="1">
        <f t="shared" si="4"/>
        <v>140</v>
      </c>
    </row>
    <row r="45" spans="1:7" x14ac:dyDescent="0.2">
      <c r="A45" s="17"/>
      <c r="B45" s="42">
        <v>70</v>
      </c>
      <c r="C45" s="11">
        <f t="shared" si="0"/>
        <v>59.058994118442527</v>
      </c>
      <c r="D45" s="12">
        <f t="shared" si="1"/>
        <v>-1.7178562604564267</v>
      </c>
      <c r="E45" s="13">
        <f t="shared" si="2"/>
        <v>-1799.3948532966294</v>
      </c>
      <c r="F45" s="13">
        <f t="shared" si="3"/>
        <v>1908.8329422012246</v>
      </c>
      <c r="G45" s="1">
        <f t="shared" si="4"/>
        <v>158</v>
      </c>
    </row>
    <row r="46" spans="1:7" s="32" customFormat="1" x14ac:dyDescent="0.2">
      <c r="A46" s="3"/>
      <c r="B46" s="30"/>
      <c r="C46" s="3"/>
      <c r="D46" s="31"/>
    </row>
    <row r="47" spans="1:7" x14ac:dyDescent="0.2">
      <c r="D47" s="19"/>
    </row>
    <row r="48" spans="1:7" x14ac:dyDescent="0.2">
      <c r="B48" s="33"/>
      <c r="C48" s="33"/>
      <c r="E48" s="33"/>
    </row>
    <row r="49" spans="1:5" x14ac:dyDescent="0.2">
      <c r="B49" s="33"/>
      <c r="C49" s="33"/>
      <c r="E49" s="33"/>
    </row>
    <row r="50" spans="1:5" x14ac:dyDescent="0.2">
      <c r="B50" s="33"/>
      <c r="C50" s="33"/>
      <c r="E50" s="33"/>
    </row>
    <row r="51" spans="1:5" x14ac:dyDescent="0.2">
      <c r="A51" s="46" t="s">
        <v>33</v>
      </c>
      <c r="B51" s="46" t="s">
        <v>34</v>
      </c>
      <c r="C51" s="46" t="s">
        <v>30</v>
      </c>
      <c r="D51" s="46" t="s">
        <v>19</v>
      </c>
      <c r="E51" s="46" t="s">
        <v>20</v>
      </c>
    </row>
    <row r="52" spans="1:5" x14ac:dyDescent="0.2">
      <c r="A52" s="47">
        <f>H76</f>
        <v>-10</v>
      </c>
      <c r="B52" s="48">
        <f t="shared" ref="B52:B83" si="5">EXP((E52-D52/2)^(1/3)-(E52+D52/2)^(1/3))</f>
        <v>959.82862090037156</v>
      </c>
      <c r="C52" s="49">
        <f t="shared" ref="C52:C83" si="6">-1*B52/((A52+273.15)^2*($B$22+3*$B$23*(LN(B52))^2))</f>
        <v>-39.794934192235402</v>
      </c>
      <c r="D52" s="50">
        <f t="shared" ref="D52:D83" si="7">($B$21-(1/(A52+273.15)))/$B$23</f>
        <v>-3239.0772270800521</v>
      </c>
      <c r="E52" s="50">
        <f t="shared" ref="E52:E83" si="8">SQRT(($B$22/(3*$B$23))^3+D52^2/4)</f>
        <v>2336.0421790845589</v>
      </c>
    </row>
    <row r="53" spans="1:5" x14ac:dyDescent="0.2">
      <c r="A53" s="51">
        <f t="shared" ref="A53:A84" si="9">IF(A52&lt;$H$77,A52+$H$78,$H$77)</f>
        <v>-9</v>
      </c>
      <c r="B53" s="48">
        <f t="shared" si="5"/>
        <v>920.93466679571623</v>
      </c>
      <c r="C53" s="49">
        <f t="shared" si="6"/>
        <v>-38.00792355457272</v>
      </c>
      <c r="D53" s="50">
        <f t="shared" si="7"/>
        <v>-3215.6990798832044</v>
      </c>
      <c r="E53" s="50">
        <f t="shared" si="8"/>
        <v>2327.9535830435721</v>
      </c>
    </row>
    <row r="54" spans="1:5" x14ac:dyDescent="0.2">
      <c r="A54" s="51">
        <f t="shared" si="9"/>
        <v>-8</v>
      </c>
      <c r="B54" s="48">
        <f t="shared" si="5"/>
        <v>883.78367192603525</v>
      </c>
      <c r="C54" s="49">
        <f t="shared" si="6"/>
        <v>-36.308227670176713</v>
      </c>
      <c r="D54" s="50">
        <f t="shared" si="7"/>
        <v>-3192.4972717185797</v>
      </c>
      <c r="E54" s="50">
        <f t="shared" si="8"/>
        <v>2319.9563463991358</v>
      </c>
    </row>
    <row r="55" spans="1:5" x14ac:dyDescent="0.2">
      <c r="A55" s="51">
        <f t="shared" si="9"/>
        <v>-7</v>
      </c>
      <c r="B55" s="48">
        <f t="shared" si="5"/>
        <v>848.29064074177506</v>
      </c>
      <c r="C55" s="49">
        <f t="shared" si="6"/>
        <v>-34.691252534717577</v>
      </c>
      <c r="D55" s="50">
        <f t="shared" si="7"/>
        <v>-3169.4698149209626</v>
      </c>
      <c r="E55" s="50">
        <f t="shared" si="8"/>
        <v>2312.0494087797442</v>
      </c>
    </row>
    <row r="56" spans="1:5" x14ac:dyDescent="0.2">
      <c r="A56" s="51">
        <f t="shared" si="9"/>
        <v>-6</v>
      </c>
      <c r="B56" s="48">
        <f t="shared" si="5"/>
        <v>814.37504118293077</v>
      </c>
      <c r="C56" s="49">
        <f t="shared" si="6"/>
        <v>-33.152662513836312</v>
      </c>
      <c r="D56" s="50">
        <f t="shared" si="7"/>
        <v>-3146.6147515861758</v>
      </c>
      <c r="E56" s="50">
        <f t="shared" si="8"/>
        <v>2304.2317245537433</v>
      </c>
    </row>
    <row r="57" spans="1:5" x14ac:dyDescent="0.2">
      <c r="A57" s="51">
        <f t="shared" si="9"/>
        <v>-5</v>
      </c>
      <c r="B57" s="48">
        <f t="shared" si="5"/>
        <v>781.96055411672069</v>
      </c>
      <c r="C57" s="49">
        <f t="shared" si="6"/>
        <v>-31.688364896603446</v>
      </c>
      <c r="D57" s="50">
        <f t="shared" si="7"/>
        <v>-3123.9301530161461</v>
      </c>
      <c r="E57" s="50">
        <f t="shared" si="8"/>
        <v>2296.5022625605784</v>
      </c>
    </row>
    <row r="58" spans="1:5" x14ac:dyDescent="0.2">
      <c r="A58" s="51">
        <f t="shared" si="9"/>
        <v>-4</v>
      </c>
      <c r="B58" s="48">
        <f t="shared" si="5"/>
        <v>750.97483772736496</v>
      </c>
      <c r="C58" s="49">
        <f t="shared" si="6"/>
        <v>-30.294495426327778</v>
      </c>
      <c r="D58" s="50">
        <f t="shared" si="7"/>
        <v>-3101.414119176342</v>
      </c>
      <c r="E58" s="50">
        <f t="shared" si="8"/>
        <v>2288.8600058482334</v>
      </c>
    </row>
    <row r="59" spans="1:5" x14ac:dyDescent="0.2">
      <c r="A59" s="51">
        <f t="shared" si="9"/>
        <v>-3</v>
      </c>
      <c r="B59" s="48">
        <f t="shared" si="5"/>
        <v>721.34930591377042</v>
      </c>
      <c r="C59" s="49">
        <f t="shared" si="6"/>
        <v>-28.967404743508265</v>
      </c>
      <c r="D59" s="50">
        <f t="shared" si="7"/>
        <v>-3079.0647781652606</v>
      </c>
      <c r="E59" s="50">
        <f t="shared" si="8"/>
        <v>2281.3039514167017</v>
      </c>
    </row>
    <row r="60" spans="1:5" x14ac:dyDescent="0.2">
      <c r="A60" s="51">
        <f t="shared" si="9"/>
        <v>-2</v>
      </c>
      <c r="B60" s="48">
        <f t="shared" si="5"/>
        <v>693.01891981372603</v>
      </c>
      <c r="C60" s="49">
        <f t="shared" si="6"/>
        <v>-27.703645680292905</v>
      </c>
      <c r="D60" s="50">
        <f t="shared" si="7"/>
        <v>-3056.880285695659</v>
      </c>
      <c r="E60" s="50">
        <f t="shared" si="8"/>
        <v>2273.8331099673251</v>
      </c>
    </row>
    <row r="61" spans="1:5" x14ac:dyDescent="0.2">
      <c r="A61" s="51">
        <f t="shared" si="9"/>
        <v>-1</v>
      </c>
      <c r="B61" s="48">
        <f t="shared" si="5"/>
        <v>665.92199163143084</v>
      </c>
      <c r="C61" s="49">
        <f t="shared" si="6"/>
        <v>-26.499961350036386</v>
      </c>
      <c r="D61" s="50">
        <f t="shared" si="7"/>
        <v>-3034.8588245872152</v>
      </c>
      <c r="E61" s="50">
        <f t="shared" si="8"/>
        <v>2266.4465056578565</v>
      </c>
    </row>
    <row r="62" spans="1:5" x14ac:dyDescent="0.2">
      <c r="A62" s="51">
        <f t="shared" si="9"/>
        <v>0</v>
      </c>
      <c r="B62" s="48">
        <f t="shared" si="5"/>
        <v>640.00000000000102</v>
      </c>
      <c r="C62" s="49">
        <f t="shared" si="6"/>
        <v>-25.353273979490709</v>
      </c>
      <c r="D62" s="50">
        <f t="shared" si="7"/>
        <v>-3012.9986042703408</v>
      </c>
      <c r="E62" s="50">
        <f t="shared" si="8"/>
        <v>2259.1431758630838</v>
      </c>
    </row>
    <row r="63" spans="1:5" x14ac:dyDescent="0.2">
      <c r="A63" s="51">
        <f t="shared" si="9"/>
        <v>1</v>
      </c>
      <c r="B63" s="48">
        <f t="shared" si="5"/>
        <v>615.19741616096587</v>
      </c>
      <c r="C63" s="49">
        <f t="shared" si="6"/>
        <v>-24.260674434794264</v>
      </c>
      <c r="D63" s="50">
        <f t="shared" si="7"/>
        <v>-2991.2978603008441</v>
      </c>
      <c r="E63" s="50">
        <f t="shared" si="8"/>
        <v>2251.9221709408803</v>
      </c>
    </row>
    <row r="64" spans="1:5" x14ac:dyDescent="0.2">
      <c r="A64" s="51">
        <f t="shared" si="9"/>
        <v>2</v>
      </c>
      <c r="B64" s="48">
        <f t="shared" si="5"/>
        <v>591.46154028991623</v>
      </c>
      <c r="C64" s="49">
        <f t="shared" si="6"/>
        <v>-23.219412395801239</v>
      </c>
      <c r="D64" s="50">
        <f t="shared" si="7"/>
        <v>-2969.7548538851865</v>
      </c>
      <c r="E64" s="50">
        <f t="shared" si="8"/>
        <v>2244.7825540035365</v>
      </c>
    </row>
    <row r="65" spans="1:8" x14ac:dyDescent="0.2">
      <c r="A65" s="51">
        <f t="shared" si="9"/>
        <v>3</v>
      </c>
      <c r="B65" s="48">
        <f t="shared" si="5"/>
        <v>568.74234734146364</v>
      </c>
      <c r="C65" s="49">
        <f t="shared" si="6"/>
        <v>-22.226887136429397</v>
      </c>
      <c r="D65" s="50">
        <f t="shared" si="7"/>
        <v>-2948.3678714160492</v>
      </c>
      <c r="E65" s="50">
        <f t="shared" si="8"/>
        <v>2237.7234006942381</v>
      </c>
    </row>
    <row r="66" spans="1:8" x14ac:dyDescent="0.2">
      <c r="A66" s="51">
        <f t="shared" si="9"/>
        <v>4</v>
      </c>
      <c r="B66" s="48">
        <f t="shared" si="5"/>
        <v>546.99234182730993</v>
      </c>
      <c r="C66" s="49">
        <f t="shared" si="6"/>
        <v>-21.280638871601159</v>
      </c>
      <c r="D66" s="50">
        <f t="shared" si="7"/>
        <v>-2927.1352240179494</v>
      </c>
      <c r="E66" s="50">
        <f t="shared" si="8"/>
        <v>2230.7437989685495</v>
      </c>
    </row>
    <row r="67" spans="1:8" x14ac:dyDescent="0.2">
      <c r="A67" s="51">
        <f t="shared" si="9"/>
        <v>5</v>
      </c>
      <c r="B67" s="48">
        <f t="shared" si="5"/>
        <v>526.16642097955821</v>
      </c>
      <c r="C67" s="49">
        <f t="shared" si="6"/>
        <v>-20.378340634059121</v>
      </c>
      <c r="D67" s="50">
        <f t="shared" si="7"/>
        <v>-2906.0552471026695</v>
      </c>
      <c r="E67" s="50">
        <f t="shared" si="8"/>
        <v>2223.842848880789</v>
      </c>
    </row>
    <row r="68" spans="1:8" x14ac:dyDescent="0.2">
      <c r="A68" s="51">
        <f t="shared" si="9"/>
        <v>6</v>
      </c>
      <c r="B68" s="48">
        <f t="shared" si="5"/>
        <v>506.22174578658417</v>
      </c>
      <c r="C68" s="49">
        <f t="shared" si="6"/>
        <v>-19.517790646829713</v>
      </c>
      <c r="D68" s="50">
        <f t="shared" si="7"/>
        <v>-2885.1262999342293</v>
      </c>
      <c r="E68" s="50">
        <f t="shared" si="8"/>
        <v>2217.0196623751508</v>
      </c>
    </row>
    <row r="69" spans="1:8" x14ac:dyDescent="0.2">
      <c r="A69" s="51">
        <f t="shared" si="9"/>
        <v>7</v>
      </c>
      <c r="B69" s="48">
        <f t="shared" si="5"/>
        <v>487.117619422046</v>
      </c>
      <c r="C69" s="49">
        <f t="shared" si="6"/>
        <v>-18.696905159440558</v>
      </c>
      <c r="D69" s="50">
        <f t="shared" si="7"/>
        <v>-2864.3467652031877</v>
      </c>
      <c r="E69" s="50">
        <f t="shared" si="8"/>
        <v>2210.273363081471</v>
      </c>
    </row>
    <row r="70" spans="1:8" x14ac:dyDescent="0.2">
      <c r="A70" s="51">
        <f t="shared" si="9"/>
        <v>8</v>
      </c>
      <c r="B70" s="48">
        <f t="shared" si="5"/>
        <v>468.81537261820455</v>
      </c>
      <c r="C70" s="49">
        <f t="shared" si="6"/>
        <v>-17.913711718147525</v>
      </c>
      <c r="D70" s="50">
        <f t="shared" si="7"/>
        <v>-2843.7150486100154</v>
      </c>
      <c r="E70" s="50">
        <f t="shared" si="8"/>
        <v>2203.6030861154986</v>
      </c>
    </row>
    <row r="71" spans="1:8" x14ac:dyDescent="0.2">
      <c r="A71" s="51">
        <f t="shared" si="9"/>
        <v>9</v>
      </c>
      <c r="B71" s="48">
        <f t="shared" si="5"/>
        <v>451.27825556374881</v>
      </c>
      <c r="C71" s="49">
        <f t="shared" si="6"/>
        <v>-17.166342842443591</v>
      </c>
      <c r="D71" s="50">
        <f t="shared" si="7"/>
        <v>-2823.2295784573403</v>
      </c>
      <c r="E71" s="50">
        <f t="shared" si="8"/>
        <v>2197.007977883578</v>
      </c>
    </row>
    <row r="72" spans="1:8" x14ac:dyDescent="0.2">
      <c r="A72" s="51">
        <f t="shared" si="9"/>
        <v>10</v>
      </c>
      <c r="B72" s="48">
        <f t="shared" si="5"/>
        <v>434.47133593272514</v>
      </c>
      <c r="C72" s="49">
        <f t="shared" si="6"/>
        <v>-16.453030081971107</v>
      </c>
      <c r="D72" s="50">
        <f t="shared" si="7"/>
        <v>-2802.8888052508264</v>
      </c>
      <c r="E72" s="50">
        <f t="shared" si="8"/>
        <v>2190.4871958916092</v>
      </c>
    </row>
    <row r="73" spans="1:8" x14ac:dyDescent="0.2">
      <c r="A73" s="51">
        <f t="shared" si="9"/>
        <v>11</v>
      </c>
      <c r="B73" s="48">
        <f t="shared" si="5"/>
        <v>418.3614026765523</v>
      </c>
      <c r="C73" s="49">
        <f t="shared" si="6"/>
        <v>-15.772098429705105</v>
      </c>
      <c r="D73" s="50">
        <f t="shared" si="7"/>
        <v>-2782.6912013084784</v>
      </c>
      <c r="E73" s="50">
        <f t="shared" si="8"/>
        <v>2184.0399085581953</v>
      </c>
    </row>
    <row r="74" spans="1:8" x14ac:dyDescent="0.2">
      <c r="A74" s="51">
        <f t="shared" si="9"/>
        <v>12</v>
      </c>
      <c r="B74" s="48">
        <f t="shared" si="5"/>
        <v>402.91687523411281</v>
      </c>
      <c r="C74" s="49">
        <f t="shared" si="6"/>
        <v>-15.12196106887472</v>
      </c>
      <c r="D74" s="50">
        <f t="shared" si="7"/>
        <v>-2762.6352603781766</v>
      </c>
      <c r="E74" s="50">
        <f t="shared" si="8"/>
        <v>2177.6652950318567</v>
      </c>
    </row>
    <row r="75" spans="1:8" x14ac:dyDescent="0.2">
      <c r="A75" s="51">
        <f t="shared" si="9"/>
        <v>13</v>
      </c>
      <c r="B75" s="48">
        <f t="shared" si="5"/>
        <v>388.1077178369477</v>
      </c>
      <c r="C75" s="49">
        <f t="shared" si="6"/>
        <v>-14.501114432597014</v>
      </c>
      <c r="D75" s="50">
        <f t="shared" si="7"/>
        <v>-2742.7194972632178</v>
      </c>
      <c r="E75" s="50">
        <f t="shared" si="8"/>
        <v>2171.3625450122172</v>
      </c>
      <c r="G75" s="19" t="s">
        <v>26</v>
      </c>
    </row>
    <row r="76" spans="1:8" x14ac:dyDescent="0.2">
      <c r="A76" s="51">
        <f t="shared" si="9"/>
        <v>14</v>
      </c>
      <c r="B76" s="48">
        <f t="shared" si="5"/>
        <v>373.90535860660623</v>
      </c>
      <c r="C76" s="49">
        <f t="shared" si="6"/>
        <v>-13.908133556580349</v>
      </c>
      <c r="D76" s="50">
        <f t="shared" si="7"/>
        <v>-2722.9424474556936</v>
      </c>
      <c r="E76" s="50">
        <f t="shared" si="8"/>
        <v>2165.1308585750621</v>
      </c>
      <c r="F76" s="33" t="s">
        <v>27</v>
      </c>
      <c r="H76" s="34">
        <v>-10</v>
      </c>
    </row>
    <row r="77" spans="1:8" x14ac:dyDescent="0.2">
      <c r="A77" s="51">
        <f t="shared" si="9"/>
        <v>15</v>
      </c>
      <c r="B77" s="48">
        <f t="shared" si="5"/>
        <v>360.28261316052414</v>
      </c>
      <c r="C77" s="49">
        <f t="shared" si="6"/>
        <v>-13.341667706563177</v>
      </c>
      <c r="D77" s="50">
        <f t="shared" si="7"/>
        <v>-2703.3026667774957</v>
      </c>
      <c r="E77" s="50">
        <f t="shared" si="8"/>
        <v>2158.9694460011619</v>
      </c>
      <c r="F77" s="33" t="s">
        <v>28</v>
      </c>
      <c r="H77" s="34">
        <v>60</v>
      </c>
    </row>
    <row r="78" spans="1:8" x14ac:dyDescent="0.2">
      <c r="A78" s="51">
        <f t="shared" si="9"/>
        <v>16</v>
      </c>
      <c r="B78" s="48">
        <f t="shared" si="5"/>
        <v>347.21361246026174</v>
      </c>
      <c r="C78" s="49">
        <f t="shared" si="6"/>
        <v>-12.800436263351264</v>
      </c>
      <c r="D78" s="50">
        <f t="shared" si="7"/>
        <v>-2683.7987310287672</v>
      </c>
      <c r="E78" s="50">
        <f t="shared" si="8"/>
        <v>2152.877527608779</v>
      </c>
      <c r="F78" s="33" t="s">
        <v>29</v>
      </c>
      <c r="H78" s="35">
        <v>1</v>
      </c>
    </row>
    <row r="79" spans="1:8" x14ac:dyDescent="0.2">
      <c r="A79" s="51">
        <f t="shared" si="9"/>
        <v>17</v>
      </c>
      <c r="B79" s="48">
        <f t="shared" si="5"/>
        <v>334.67373465260738</v>
      </c>
      <c r="C79" s="49">
        <f t="shared" si="6"/>
        <v>-12.283224849443922</v>
      </c>
      <c r="D79" s="50">
        <f t="shared" si="7"/>
        <v>-2664.4292356436354</v>
      </c>
      <c r="E79" s="50">
        <f t="shared" si="8"/>
        <v>2146.8543335897562</v>
      </c>
    </row>
    <row r="80" spans="1:8" x14ac:dyDescent="0.2">
      <c r="A80" s="51">
        <f t="shared" si="9"/>
        <v>18</v>
      </c>
      <c r="B80" s="48">
        <f t="shared" si="5"/>
        <v>322.63954066953733</v>
      </c>
      <c r="C80" s="49">
        <f t="shared" si="6"/>
        <v>-11.788881682286245</v>
      </c>
      <c r="D80" s="50">
        <f t="shared" si="7"/>
        <v>-2645.1927953530262</v>
      </c>
      <c r="E80" s="50">
        <f t="shared" si="8"/>
        <v>2140.8991038490985</v>
      </c>
    </row>
    <row r="81" spans="1:5" x14ac:dyDescent="0.2">
      <c r="A81" s="51">
        <f t="shared" si="9"/>
        <v>19</v>
      </c>
      <c r="B81" s="48">
        <f t="shared" si="5"/>
        <v>311.08871336751031</v>
      </c>
      <c r="C81" s="49">
        <f t="shared" si="6"/>
        <v>-11.316314140159463</v>
      </c>
      <c r="D81" s="50">
        <f t="shared" si="7"/>
        <v>-2626.0880438544118</v>
      </c>
      <c r="E81" s="50">
        <f t="shared" si="8"/>
        <v>2135.0110878479663</v>
      </c>
    </row>
    <row r="82" spans="1:5" x14ac:dyDescent="0.2">
      <c r="A82" s="51">
        <f t="shared" si="9"/>
        <v>20</v>
      </c>
      <c r="B82" s="48">
        <f t="shared" si="5"/>
        <v>299.99999999999943</v>
      </c>
      <c r="C82" s="49">
        <f t="shared" si="6"/>
        <v>-10.864485527626094</v>
      </c>
      <c r="D82" s="50">
        <f t="shared" si="7"/>
        <v>-2607.113633488314</v>
      </c>
      <c r="E82" s="50">
        <f t="shared" si="8"/>
        <v>2129.1895444499874</v>
      </c>
    </row>
    <row r="83" spans="1:5" x14ac:dyDescent="0.2">
      <c r="A83" s="51">
        <f t="shared" si="9"/>
        <v>21</v>
      </c>
      <c r="B83" s="48">
        <f t="shared" si="5"/>
        <v>289.35315782994724</v>
      </c>
      <c r="C83" s="49">
        <f t="shared" si="6"/>
        <v>-10.43241202829712</v>
      </c>
      <c r="D83" s="50">
        <f t="shared" si="7"/>
        <v>-2588.2682349214074</v>
      </c>
      <c r="E83" s="50">
        <f t="shared" si="8"/>
        <v>2123.4337417708093</v>
      </c>
    </row>
    <row r="84" spans="1:5" x14ac:dyDescent="0.2">
      <c r="A84" s="52">
        <f t="shared" si="9"/>
        <v>22</v>
      </c>
      <c r="B84" s="53">
        <f t="shared" ref="B84:B115" si="10">EXP((E84-D84/2)^(1/3)-(E84+D84/2)^(1/3))</f>
        <v>279.12890270060507</v>
      </c>
      <c r="C84" s="54">
        <f t="shared" ref="C84:C115" si="11">-1*B84/((A84+273.15)^2*($B$22+3*$B$23*(LN(B84))^2))</f>
        <v>-10.019159833475237</v>
      </c>
      <c r="D84" s="55">
        <f t="shared" ref="D84:D115" si="12">($B$21-(1/(A84+273.15)))/$B$23</f>
        <v>-2569.5505368360655</v>
      </c>
      <c r="E84" s="55">
        <f t="shared" ref="E84:E115" si="13">SQRT(($B$22/(3*$B$23))^3+D84^2/4)</f>
        <v>2117.7429570308132</v>
      </c>
    </row>
    <row r="85" spans="1:5" x14ac:dyDescent="0.2">
      <c r="A85" s="52">
        <f t="shared" ref="A85:A116" si="14">IF(A84&lt;$H$77,A84+$H$78,$H$77)</f>
        <v>23</v>
      </c>
      <c r="B85" s="53">
        <f t="shared" si="10"/>
        <v>269.30886039426127</v>
      </c>
      <c r="C85" s="54">
        <f t="shared" si="11"/>
        <v>-9.6238424359627288</v>
      </c>
      <c r="D85" s="55">
        <f t="shared" si="12"/>
        <v>-2550.9592456261944</v>
      </c>
      <c r="E85" s="55">
        <f t="shared" si="13"/>
        <v>2112.1164764109071</v>
      </c>
    </row>
    <row r="86" spans="1:5" x14ac:dyDescent="0.2">
      <c r="A86" s="52">
        <f t="shared" si="14"/>
        <v>24</v>
      </c>
      <c r="B86" s="53">
        <f t="shared" si="10"/>
        <v>259.87552061881161</v>
      </c>
      <c r="C86" s="54">
        <f t="shared" si="11"/>
        <v>-9.2456180790112157</v>
      </c>
      <c r="D86" s="55">
        <f t="shared" si="12"/>
        <v>-2532.49308509921</v>
      </c>
      <c r="E86" s="55">
        <f t="shared" si="13"/>
        <v>2106.5535949113219</v>
      </c>
    </row>
    <row r="87" spans="1:5" x14ac:dyDescent="0.2">
      <c r="A87" s="52">
        <f t="shared" si="14"/>
        <v>25</v>
      </c>
      <c r="B87" s="53">
        <f t="shared" si="10"/>
        <v>250.81219347171196</v>
      </c>
      <c r="C87" s="54">
        <f t="shared" si="11"/>
        <v>-8.883687351026639</v>
      </c>
      <c r="D87" s="55">
        <f t="shared" si="12"/>
        <v>-2514.1507961840121</v>
      </c>
      <c r="E87" s="55">
        <f t="shared" si="13"/>
        <v>2101.0536162133412</v>
      </c>
    </row>
    <row r="88" spans="1:5" x14ac:dyDescent="0.2">
      <c r="A88" s="52">
        <f t="shared" si="14"/>
        <v>26</v>
      </c>
      <c r="B88" s="53">
        <f t="shared" si="10"/>
        <v>242.10296824005601</v>
      </c>
      <c r="C88" s="54">
        <f t="shared" si="11"/>
        <v>-8.5372909172438298</v>
      </c>
      <c r="D88" s="55">
        <f t="shared" si="12"/>
        <v>-2495.9311366448133</v>
      </c>
      <c r="E88" s="55">
        <f t="shared" si="13"/>
        <v>2095.6158525438891</v>
      </c>
    </row>
    <row r="89" spans="1:5" x14ac:dyDescent="0.2">
      <c r="A89" s="52">
        <f t="shared" si="14"/>
        <v>27</v>
      </c>
      <c r="B89" s="53">
        <f t="shared" si="10"/>
        <v>233.73267440394272</v>
      </c>
      <c r="C89" s="54">
        <f t="shared" si="11"/>
        <v>-8.2057073801394296</v>
      </c>
      <c r="D89" s="55">
        <f t="shared" si="12"/>
        <v>-2477.8328808006954</v>
      </c>
      <c r="E89" s="55">
        <f t="shared" si="13"/>
        <v>2090.2396245429022</v>
      </c>
    </row>
    <row r="90" spans="1:5" x14ac:dyDescent="0.2">
      <c r="A90" s="52">
        <f t="shared" si="14"/>
        <v>28</v>
      </c>
      <c r="B90" s="53">
        <f t="shared" si="10"/>
        <v>225.68684471829025</v>
      </c>
      <c r="C90" s="54">
        <f t="shared" si="11"/>
        <v>-7.8882512608729005</v>
      </c>
      <c r="D90" s="55">
        <f t="shared" si="12"/>
        <v>-2459.8548192507437</v>
      </c>
      <c r="E90" s="55">
        <f t="shared" si="13"/>
        <v>2084.9242611334257</v>
      </c>
    </row>
    <row r="91" spans="1:5" x14ac:dyDescent="0.2">
      <c r="A91" s="52">
        <f t="shared" si="14"/>
        <v>29</v>
      </c>
      <c r="B91" s="53">
        <f t="shared" si="10"/>
        <v>217.95168025571374</v>
      </c>
      <c r="C91" s="54">
        <f t="shared" si="11"/>
        <v>-7.5842710945308367</v>
      </c>
      <c r="D91" s="55">
        <f t="shared" si="12"/>
        <v>-2441.9957586046471</v>
      </c>
      <c r="E91" s="55">
        <f t="shared" si="13"/>
        <v>2079.6690993943616</v>
      </c>
    </row>
    <row r="92" spans="1:5" x14ac:dyDescent="0.2">
      <c r="A92" s="52">
        <f t="shared" si="14"/>
        <v>30</v>
      </c>
      <c r="B92" s="53">
        <f t="shared" si="10"/>
        <v>210.51401730013336</v>
      </c>
      <c r="C92" s="54">
        <f t="shared" si="11"/>
        <v>-7.2931476324052458</v>
      </c>
      <c r="D92" s="55">
        <f t="shared" si="12"/>
        <v>-2424.2545212186278</v>
      </c>
      <c r="E92" s="55">
        <f t="shared" si="13"/>
        <v>2074.4734844358036</v>
      </c>
    </row>
    <row r="93" spans="1:5" x14ac:dyDescent="0.2">
      <c r="A93" s="52">
        <f t="shared" si="14"/>
        <v>31</v>
      </c>
      <c r="B93" s="53">
        <f t="shared" si="10"/>
        <v>203.36129598719216</v>
      </c>
      <c r="C93" s="54">
        <f t="shared" si="11"/>
        <v>-7.0142921449553643</v>
      </c>
      <c r="D93" s="55">
        <f t="shared" si="12"/>
        <v>-2406.6299449365765</v>
      </c>
      <c r="E93" s="55">
        <f t="shared" si="13"/>
        <v>2069.3367692768961</v>
      </c>
    </row>
    <row r="94" spans="1:5" x14ac:dyDescent="0.2">
      <c r="A94" s="52">
        <f t="shared" si="14"/>
        <v>32</v>
      </c>
      <c r="B94" s="53">
        <f t="shared" si="10"/>
        <v>196.48153059392894</v>
      </c>
      <c r="C94" s="54">
        <f t="shared" si="11"/>
        <v>-6.7471448195056762</v>
      </c>
      <c r="D94" s="55">
        <f t="shared" si="12"/>
        <v>-2389.1208828362855</v>
      </c>
      <c r="E94" s="55">
        <f t="shared" si="13"/>
        <v>2064.2583147261616</v>
      </c>
    </row>
    <row r="95" spans="1:5" x14ac:dyDescent="0.2">
      <c r="A95" s="52">
        <f t="shared" si="14"/>
        <v>33</v>
      </c>
      <c r="B95" s="53">
        <f t="shared" si="10"/>
        <v>189.86328138567038</v>
      </c>
      <c r="C95" s="54">
        <f t="shared" si="11"/>
        <v>-6.4911732470948378</v>
      </c>
      <c r="D95" s="55">
        <f t="shared" si="12"/>
        <v>-2371.7262029806484</v>
      </c>
      <c r="E95" s="55">
        <f t="shared" si="13"/>
        <v>2059.2374892642265</v>
      </c>
    </row>
    <row r="96" spans="1:5" x14ac:dyDescent="0.2">
      <c r="A96" s="52">
        <f t="shared" si="14"/>
        <v>34</v>
      </c>
      <c r="B96" s="53">
        <f t="shared" si="10"/>
        <v>183.4956279337249</v>
      </c>
      <c r="C96" s="54">
        <f t="shared" si="11"/>
        <v>-6.2458709932429093</v>
      </c>
      <c r="D96" s="55">
        <f t="shared" si="12"/>
        <v>-2354.4447881737201</v>
      </c>
      <c r="E96" s="55">
        <f t="shared" si="13"/>
        <v>2054.2736689288949</v>
      </c>
    </row>
    <row r="97" spans="1:5" x14ac:dyDescent="0.2">
      <c r="A97" s="52">
        <f t="shared" si="14"/>
        <v>35</v>
      </c>
      <c r="B97" s="53">
        <f t="shared" si="10"/>
        <v>177.3681438224061</v>
      </c>
      <c r="C97" s="54">
        <f t="shared" si="11"/>
        <v>-6.0107562477236653</v>
      </c>
      <c r="D97" s="55">
        <f t="shared" si="12"/>
        <v>-2337.2755357215351</v>
      </c>
      <c r="E97" s="55">
        <f t="shared" si="13"/>
        <v>2049.3662372025115</v>
      </c>
    </row>
    <row r="98" spans="1:5" x14ac:dyDescent="0.2">
      <c r="A98" s="52">
        <f t="shared" si="14"/>
        <v>36</v>
      </c>
      <c r="B98" s="53">
        <f t="shared" si="10"/>
        <v>171.47087266871026</v>
      </c>
      <c r="C98" s="54">
        <f t="shared" si="11"/>
        <v>-5.7853705487323142</v>
      </c>
      <c r="D98" s="55">
        <f t="shared" si="12"/>
        <v>-2320.2173571975536</v>
      </c>
      <c r="E98" s="55">
        <f t="shared" si="13"/>
        <v>2044.5145849015566</v>
      </c>
    </row>
    <row r="99" spans="1:5" x14ac:dyDescent="0.2">
      <c r="A99" s="52">
        <f t="shared" si="14"/>
        <v>37</v>
      </c>
      <c r="B99" s="53">
        <f t="shared" si="10"/>
        <v>165.79430538243156</v>
      </c>
      <c r="C99" s="54">
        <f t="shared" si="11"/>
        <v>-5.5692775771217544</v>
      </c>
      <c r="D99" s="55">
        <f t="shared" si="12"/>
        <v>-2303.2691782126599</v>
      </c>
      <c r="E99" s="55">
        <f t="shared" si="13"/>
        <v>2039.7181100684206</v>
      </c>
    </row>
    <row r="100" spans="1:5" x14ac:dyDescent="0.2">
      <c r="A100" s="52">
        <f t="shared" si="14"/>
        <v>38</v>
      </c>
      <c r="B100" s="53">
        <f t="shared" si="10"/>
        <v>160.32935859873643</v>
      </c>
      <c r="C100" s="54">
        <f t="shared" si="11"/>
        <v>-5.3620620166465143</v>
      </c>
      <c r="D100" s="55">
        <f t="shared" si="12"/>
        <v>-2286.4299381895848</v>
      </c>
      <c r="E100" s="55">
        <f t="shared" si="13"/>
        <v>2034.9762178653075</v>
      </c>
    </row>
    <row r="101" spans="1:5" x14ac:dyDescent="0.2">
      <c r="A101" s="52">
        <f t="shared" si="14"/>
        <v>39</v>
      </c>
      <c r="B101" s="53">
        <f t="shared" si="10"/>
        <v>155.06735421906129</v>
      </c>
      <c r="C101" s="54">
        <f t="shared" si="11"/>
        <v>-5.1633284763983172</v>
      </c>
      <c r="D101" s="55">
        <f t="shared" si="12"/>
        <v>-2269.6985901416692</v>
      </c>
      <c r="E101" s="55">
        <f t="shared" si="13"/>
        <v>2030.2883204702121</v>
      </c>
    </row>
    <row r="102" spans="1:5" x14ac:dyDescent="0.2">
      <c r="A102" s="52">
        <f t="shared" si="14"/>
        <v>40</v>
      </c>
      <c r="B102" s="53">
        <f t="shared" si="10"/>
        <v>150.00000000000023</v>
      </c>
      <c r="C102" s="54">
        <f t="shared" si="11"/>
        <v>-4.9727004718524057</v>
      </c>
      <c r="D102" s="55">
        <f t="shared" si="12"/>
        <v>-2253.0741004558672</v>
      </c>
      <c r="E102" s="55">
        <f t="shared" si="13"/>
        <v>2025.6538369749255</v>
      </c>
    </row>
    <row r="103" spans="1:5" x14ac:dyDescent="0.2">
      <c r="A103" s="52">
        <f t="shared" si="14"/>
        <v>41</v>
      </c>
      <c r="B103" s="53">
        <f t="shared" si="10"/>
        <v>145.11937113324126</v>
      </c>
      <c r="C103" s="54">
        <f t="shared" si="11"/>
        <v>-4.7898194611582747</v>
      </c>
      <c r="D103" s="55">
        <f t="shared" si="12"/>
        <v>-2236.5554486798901</v>
      </c>
      <c r="E103" s="55">
        <f t="shared" si="13"/>
        <v>2021.0721932850174</v>
      </c>
    </row>
    <row r="104" spans="1:5" x14ac:dyDescent="0.2">
      <c r="A104" s="52">
        <f t="shared" si="14"/>
        <v>42</v>
      </c>
      <c r="B104" s="53">
        <f t="shared" si="10"/>
        <v>140.41789276292178</v>
      </c>
      <c r="C104" s="54">
        <f t="shared" si="11"/>
        <v>-4.6143439335133269</v>
      </c>
      <c r="D104" s="55">
        <f t="shared" si="12"/>
        <v>-2220.1416273134078</v>
      </c>
      <c r="E104" s="55">
        <f t="shared" si="13"/>
        <v>2016.5428220217493</v>
      </c>
    </row>
    <row r="105" spans="1:5" x14ac:dyDescent="0.2">
      <c r="A105" s="52">
        <f t="shared" si="14"/>
        <v>43</v>
      </c>
      <c r="B105" s="53">
        <f t="shared" si="10"/>
        <v>135.88832338981257</v>
      </c>
      <c r="C105" s="54">
        <f t="shared" si="11"/>
        <v>-4.4459485466475224</v>
      </c>
      <c r="D105" s="55">
        <f t="shared" si="12"/>
        <v>-2203.8316416032048</v>
      </c>
      <c r="E105" s="55">
        <f t="shared" si="13"/>
        <v>2012.0651624258726</v>
      </c>
    </row>
    <row r="106" spans="1:5" x14ac:dyDescent="0.2">
      <c r="A106" s="52">
        <f t="shared" si="14"/>
        <v>44</v>
      </c>
      <c r="B106" s="53">
        <f t="shared" si="10"/>
        <v>131.52373911462391</v>
      </c>
      <c r="C106" s="54">
        <f t="shared" si="11"/>
        <v>-4.2843233106255321</v>
      </c>
      <c r="D106" s="55">
        <f t="shared" si="12"/>
        <v>-2187.6245093422226</v>
      </c>
      <c r="E106" s="55">
        <f t="shared" si="13"/>
        <v>2007.6386602632665</v>
      </c>
    </row>
    <row r="107" spans="1:5" x14ac:dyDescent="0.2">
      <c r="A107" s="52">
        <f t="shared" si="14"/>
        <v>45</v>
      </c>
      <c r="B107" s="53">
        <f t="shared" si="10"/>
        <v>127.31751867546907</v>
      </c>
      <c r="C107" s="54">
        <f t="shared" si="11"/>
        <v>-4.1291728153411311</v>
      </c>
      <c r="D107" s="55">
        <f t="shared" si="12"/>
        <v>-2171.5192606723836</v>
      </c>
      <c r="E107" s="55">
        <f t="shared" si="13"/>
        <v>2003.262767732373</v>
      </c>
    </row>
    <row r="108" spans="1:5" x14ac:dyDescent="0.2">
      <c r="A108" s="52">
        <f t="shared" si="14"/>
        <v>46</v>
      </c>
      <c r="B108" s="53">
        <f t="shared" si="10"/>
        <v>123.26332923701302</v>
      </c>
      <c r="C108" s="54">
        <f t="shared" si="11"/>
        <v>-3.9802154992334398</v>
      </c>
      <c r="D108" s="55">
        <f t="shared" si="12"/>
        <v>-2155.5149378911219</v>
      </c>
      <c r="E108" s="55">
        <f t="shared" si="13"/>
        <v>1998.9369433733837</v>
      </c>
    </row>
    <row r="109" spans="1:5" x14ac:dyDescent="0.2">
      <c r="A109" s="52">
        <f t="shared" si="14"/>
        <v>47</v>
      </c>
      <c r="B109" s="53">
        <f t="shared" si="10"/>
        <v>119.35511289125921</v>
      </c>
      <c r="C109" s="54">
        <f t="shared" si="11"/>
        <v>-3.8371829569025144</v>
      </c>
      <c r="D109" s="55">
        <f t="shared" si="12"/>
        <v>-2139.6105952615476</v>
      </c>
      <c r="E109" s="55">
        <f t="shared" si="13"/>
        <v>1994.6606519791412</v>
      </c>
    </row>
    <row r="110" spans="1:5" x14ac:dyDescent="0.2">
      <c r="A110" s="52">
        <f t="shared" si="14"/>
        <v>48</v>
      </c>
      <c r="B110" s="53">
        <f t="shared" si="10"/>
        <v>115.58707383220356</v>
      </c>
      <c r="C110" s="54">
        <f t="shared" si="11"/>
        <v>-3.6998192834401018</v>
      </c>
      <c r="D110" s="55">
        <f t="shared" si="12"/>
        <v>-2123.8052988261466</v>
      </c>
      <c r="E110" s="55">
        <f t="shared" si="13"/>
        <v>1990.4333645077115</v>
      </c>
    </row>
    <row r="111" spans="1:5" x14ac:dyDescent="0.2">
      <c r="A111" s="52">
        <f t="shared" si="14"/>
        <v>49</v>
      </c>
      <c r="B111" s="53">
        <f t="shared" si="10"/>
        <v>111.95366616864874</v>
      </c>
      <c r="C111" s="54">
        <f t="shared" si="11"/>
        <v>-3.5678804534188173</v>
      </c>
      <c r="D111" s="55">
        <f t="shared" si="12"/>
        <v>-2108.0981262239638</v>
      </c>
      <c r="E111" s="55">
        <f t="shared" si="13"/>
        <v>1986.2545579965904</v>
      </c>
    </row>
    <row r="112" spans="1:5" x14ac:dyDescent="0.2">
      <c r="A112" s="52">
        <f t="shared" si="14"/>
        <v>50</v>
      </c>
      <c r="B112" s="53">
        <f t="shared" si="10"/>
        <v>108.44958234152209</v>
      </c>
      <c r="C112" s="54">
        <f t="shared" si="11"/>
        <v>-3.4411337326058615</v>
      </c>
      <c r="D112" s="55">
        <f t="shared" si="12"/>
        <v>-2092.4881665111639</v>
      </c>
      <c r="E112" s="55">
        <f t="shared" si="13"/>
        <v>1982.123715478501</v>
      </c>
    </row>
    <row r="113" spans="1:5" x14ac:dyDescent="0.2">
      <c r="A113" s="52">
        <f t="shared" si="14"/>
        <v>51</v>
      </c>
      <c r="B113" s="53">
        <f t="shared" si="10"/>
        <v>105.06974211386768</v>
      </c>
      <c r="C113" s="54">
        <f t="shared" si="11"/>
        <v>-3.3193571205794496</v>
      </c>
      <c r="D113" s="55">
        <f t="shared" si="12"/>
        <v>-2076.9745199849312</v>
      </c>
      <c r="E113" s="55">
        <f t="shared" si="13"/>
        <v>1978.0403258987526</v>
      </c>
    </row>
    <row r="114" spans="1:5" x14ac:dyDescent="0.2">
      <c r="A114" s="52">
        <f t="shared" si="14"/>
        <v>52</v>
      </c>
      <c r="B114" s="53">
        <f t="shared" si="10"/>
        <v>101.80928210350135</v>
      </c>
      <c r="C114" s="54">
        <f t="shared" si="11"/>
        <v>-3.2023388225343576</v>
      </c>
      <c r="D114" s="55">
        <f t="shared" si="12"/>
        <v>-2061.5562980106056</v>
      </c>
      <c r="E114" s="55">
        <f t="shared" si="13"/>
        <v>1974.0038840341176</v>
      </c>
    </row>
    <row r="115" spans="1:5" x14ac:dyDescent="0.2">
      <c r="A115" s="52">
        <f t="shared" si="14"/>
        <v>53</v>
      </c>
      <c r="B115" s="53">
        <f t="shared" si="10"/>
        <v>98.663545829936027</v>
      </c>
      <c r="C115" s="54">
        <f t="shared" si="11"/>
        <v>-3.0898767486616747</v>
      </c>
      <c r="D115" s="55">
        <f t="shared" si="12"/>
        <v>-2046.2326228520039</v>
      </c>
      <c r="E115" s="55">
        <f t="shared" si="13"/>
        <v>1970.013890413195</v>
      </c>
    </row>
    <row r="116" spans="1:5" x14ac:dyDescent="0.2">
      <c r="A116" s="52">
        <f t="shared" si="14"/>
        <v>54</v>
      </c>
      <c r="B116" s="53">
        <f t="shared" ref="B116:B122" si="15">EXP((E116-D116/2)^(1/3)-(E116+D116/2)^(1/3))</f>
        <v>95.628074248777182</v>
      </c>
      <c r="C116" s="54">
        <f t="shared" ref="C116:C122" si="16">-1*B116/((A116+273.15)^2*($B$22+3*$B$23*(LN(B116))^2))</f>
        <v>-2.981778039582577</v>
      </c>
      <c r="D116" s="55">
        <f t="shared" ref="D116:D122" si="17">($B$21-(1/(A116+273.15)))/$B$23</f>
        <v>-2031.0026275048565</v>
      </c>
      <c r="E116" s="55">
        <f t="shared" ref="E116:E122" si="18">SQRT(($B$22/(3*$B$23))^3+D116^2/4)</f>
        <v>1966.0698512382239</v>
      </c>
    </row>
    <row r="117" spans="1:5" x14ac:dyDescent="0.2">
      <c r="A117" s="52">
        <f t="shared" ref="A117:A122" si="19">IF(A116&lt;$H$77,A116+$H$78,$H$77)</f>
        <v>55</v>
      </c>
      <c r="B117" s="53">
        <f t="shared" si="15"/>
        <v>92.698596748261465</v>
      </c>
      <c r="C117" s="54">
        <f t="shared" si="16"/>
        <v>-2.877858616404112</v>
      </c>
      <c r="D117" s="55">
        <f t="shared" si="17"/>
        <v>-2015.8654555332823</v>
      </c>
      <c r="E117" s="55">
        <f t="shared" si="18"/>
        <v>1962.1712783083149</v>
      </c>
    </row>
    <row r="118" spans="1:5" x14ac:dyDescent="0.2">
      <c r="A118" s="52">
        <f t="shared" si="19"/>
        <v>56</v>
      </c>
      <c r="B118" s="53">
        <f t="shared" si="15"/>
        <v>89.871022583991646</v>
      </c>
      <c r="C118" s="54">
        <f t="shared" si="16"/>
        <v>-2.7779427540474679</v>
      </c>
      <c r="D118" s="55">
        <f t="shared" si="17"/>
        <v>-2000.8202609092493</v>
      </c>
      <c r="E118" s="55">
        <f t="shared" si="18"/>
        <v>1958.3176889440649</v>
      </c>
    </row>
    <row r="119" spans="1:5" x14ac:dyDescent="0.2">
      <c r="A119" s="52">
        <f t="shared" si="19"/>
        <v>57</v>
      </c>
      <c r="B119" s="53">
        <f t="shared" si="15"/>
        <v>87.141432729237025</v>
      </c>
      <c r="C119" s="54">
        <f t="shared" si="16"/>
        <v>-2.6818626765772495</v>
      </c>
      <c r="D119" s="55">
        <f t="shared" si="17"/>
        <v>-1985.8662078549517</v>
      </c>
      <c r="E119" s="55">
        <f t="shared" si="18"/>
        <v>1954.5086059135263</v>
      </c>
    </row>
    <row r="120" spans="1:5" x14ac:dyDescent="0.2">
      <c r="A120" s="52">
        <f t="shared" si="19"/>
        <v>58</v>
      </c>
      <c r="B120" s="53">
        <f t="shared" si="15"/>
        <v>84.506072119415123</v>
      </c>
      <c r="C120" s="54">
        <f t="shared" si="16"/>
        <v>-2.5894581733337176</v>
      </c>
      <c r="D120" s="55">
        <f t="shared" si="17"/>
        <v>-1971.0024706880415</v>
      </c>
      <c r="E120" s="55">
        <f t="shared" si="18"/>
        <v>1950.7435573594944</v>
      </c>
    </row>
    <row r="121" spans="1:5" x14ac:dyDescent="0.2">
      <c r="A121" s="52">
        <f t="shared" si="19"/>
        <v>59</v>
      </c>
      <c r="B121" s="53">
        <f t="shared" si="15"/>
        <v>81.96134227050311</v>
      </c>
      <c r="C121" s="54">
        <f t="shared" si="16"/>
        <v>-2.5005762347377529</v>
      </c>
      <c r="D121" s="55">
        <f t="shared" si="17"/>
        <v>-1956.2282336696603</v>
      </c>
      <c r="E121" s="55">
        <f t="shared" si="18"/>
        <v>1947.0220767280898</v>
      </c>
    </row>
    <row r="122" spans="1:5" x14ac:dyDescent="0.2">
      <c r="A122" s="52">
        <f t="shared" si="19"/>
        <v>60</v>
      </c>
      <c r="B122" s="53">
        <f t="shared" si="15"/>
        <v>79.503794252258643</v>
      </c>
      <c r="C122" s="54">
        <f t="shared" si="16"/>
        <v>-2.4150707067038675</v>
      </c>
      <c r="D122" s="55">
        <f t="shared" si="17"/>
        <v>-1941.542690855202</v>
      </c>
      <c r="E122" s="55">
        <f t="shared" si="18"/>
        <v>1943.3437026985985</v>
      </c>
    </row>
    <row r="123" spans="1:5" x14ac:dyDescent="0.2">
      <c r="A123" s="39"/>
      <c r="B123" s="36"/>
      <c r="C123" s="37"/>
      <c r="D123" s="38"/>
      <c r="E123" s="38"/>
    </row>
    <row r="124" spans="1:5" x14ac:dyDescent="0.2">
      <c r="A124" s="39"/>
      <c r="B124" s="36"/>
      <c r="C124" s="37"/>
      <c r="D124" s="38"/>
      <c r="E124" s="38"/>
    </row>
    <row r="125" spans="1:5" x14ac:dyDescent="0.2">
      <c r="A125" s="39"/>
      <c r="B125" s="36"/>
      <c r="C125" s="37"/>
      <c r="D125" s="38"/>
      <c r="E125" s="38"/>
    </row>
    <row r="126" spans="1:5" x14ac:dyDescent="0.2">
      <c r="A126" s="39"/>
      <c r="B126" s="36"/>
      <c r="C126" s="37"/>
      <c r="D126" s="38"/>
      <c r="E126" s="38"/>
    </row>
    <row r="127" spans="1:5" x14ac:dyDescent="0.2">
      <c r="A127" s="39"/>
      <c r="B127" s="36"/>
      <c r="C127" s="37"/>
      <c r="D127" s="38"/>
      <c r="E127" s="38"/>
    </row>
    <row r="128" spans="1:5" x14ac:dyDescent="0.2">
      <c r="A128" s="39"/>
      <c r="B128" s="36"/>
      <c r="C128" s="37"/>
      <c r="D128" s="38"/>
      <c r="E128" s="38"/>
    </row>
    <row r="129" spans="1:5" x14ac:dyDescent="0.2">
      <c r="A129" s="39"/>
      <c r="B129" s="36"/>
      <c r="C129" s="37"/>
      <c r="D129" s="38"/>
      <c r="E129" s="38"/>
    </row>
    <row r="130" spans="1:5" x14ac:dyDescent="0.2">
      <c r="A130" s="39"/>
      <c r="B130" s="36"/>
      <c r="C130" s="37"/>
      <c r="D130" s="38"/>
      <c r="E130" s="38"/>
    </row>
    <row r="131" spans="1:5" x14ac:dyDescent="0.2">
      <c r="A131" s="39"/>
      <c r="B131" s="36"/>
      <c r="C131" s="37"/>
      <c r="D131" s="38"/>
      <c r="E131" s="38"/>
    </row>
    <row r="132" spans="1:5" x14ac:dyDescent="0.2">
      <c r="A132" s="39"/>
      <c r="B132" s="36"/>
      <c r="C132" s="37"/>
      <c r="D132" s="38"/>
      <c r="E132" s="38"/>
    </row>
    <row r="133" spans="1:5" x14ac:dyDescent="0.2">
      <c r="A133" s="39"/>
      <c r="B133" s="36"/>
      <c r="C133" s="37"/>
      <c r="D133" s="38"/>
      <c r="E133" s="38"/>
    </row>
    <row r="134" spans="1:5" x14ac:dyDescent="0.2">
      <c r="A134" s="39"/>
      <c r="B134" s="36"/>
      <c r="C134" s="37"/>
      <c r="D134" s="38"/>
      <c r="E134" s="38"/>
    </row>
    <row r="135" spans="1:5" x14ac:dyDescent="0.2">
      <c r="A135" s="39"/>
      <c r="B135" s="36"/>
      <c r="C135" s="37"/>
      <c r="D135" s="38"/>
      <c r="E135" s="38"/>
    </row>
    <row r="136" spans="1:5" x14ac:dyDescent="0.2">
      <c r="A136" s="39"/>
      <c r="B136" s="36"/>
      <c r="C136" s="37"/>
      <c r="D136" s="38"/>
      <c r="E136" s="38"/>
    </row>
    <row r="137" spans="1:5" x14ac:dyDescent="0.2">
      <c r="A137" s="39"/>
      <c r="B137" s="36"/>
      <c r="C137" s="37"/>
      <c r="D137" s="38"/>
      <c r="E137" s="38"/>
    </row>
    <row r="138" spans="1:5" x14ac:dyDescent="0.2">
      <c r="A138" s="39"/>
      <c r="B138" s="36"/>
      <c r="C138" s="37"/>
      <c r="D138" s="38"/>
      <c r="E138" s="38"/>
    </row>
    <row r="139" spans="1:5" x14ac:dyDescent="0.2">
      <c r="A139" s="39"/>
      <c r="B139" s="36"/>
      <c r="C139" s="37"/>
      <c r="D139" s="38"/>
      <c r="E139" s="38"/>
    </row>
    <row r="140" spans="1:5" x14ac:dyDescent="0.2">
      <c r="A140" s="39"/>
      <c r="B140" s="36"/>
      <c r="C140" s="37"/>
      <c r="D140" s="38"/>
      <c r="E140" s="38"/>
    </row>
    <row r="141" spans="1:5" x14ac:dyDescent="0.2">
      <c r="A141" s="39"/>
      <c r="B141" s="36"/>
      <c r="C141" s="37"/>
      <c r="D141" s="38"/>
      <c r="E141" s="38"/>
    </row>
    <row r="142" spans="1:5" x14ac:dyDescent="0.2">
      <c r="A142" s="39"/>
      <c r="B142" s="36"/>
      <c r="C142" s="37"/>
      <c r="D142" s="38"/>
      <c r="E142" s="38"/>
    </row>
    <row r="143" spans="1:5" x14ac:dyDescent="0.2">
      <c r="A143" s="39"/>
      <c r="B143" s="36"/>
      <c r="C143" s="37"/>
      <c r="D143" s="38"/>
      <c r="E143" s="38"/>
    </row>
    <row r="144" spans="1:5" x14ac:dyDescent="0.2">
      <c r="A144" s="39"/>
      <c r="B144" s="36"/>
      <c r="C144" s="37"/>
      <c r="D144" s="38"/>
      <c r="E144" s="38"/>
    </row>
    <row r="145" spans="1:5" x14ac:dyDescent="0.2">
      <c r="A145" s="39"/>
      <c r="B145" s="36"/>
      <c r="C145" s="37"/>
      <c r="D145" s="38"/>
      <c r="E145" s="38"/>
    </row>
    <row r="146" spans="1:5" x14ac:dyDescent="0.2">
      <c r="A146" s="39"/>
      <c r="B146" s="36"/>
      <c r="C146" s="37"/>
      <c r="D146" s="38"/>
      <c r="E146" s="38"/>
    </row>
    <row r="147" spans="1:5" x14ac:dyDescent="0.2">
      <c r="A147" s="39"/>
      <c r="B147" s="36"/>
      <c r="C147" s="37"/>
      <c r="D147" s="38"/>
      <c r="E147" s="38"/>
    </row>
    <row r="148" spans="1:5" x14ac:dyDescent="0.2">
      <c r="A148" s="39"/>
      <c r="B148" s="36"/>
      <c r="C148" s="37"/>
      <c r="D148" s="38"/>
      <c r="E148" s="38"/>
    </row>
    <row r="149" spans="1:5" x14ac:dyDescent="0.2">
      <c r="A149" s="39"/>
      <c r="B149" s="36"/>
      <c r="C149" s="37"/>
      <c r="D149" s="38"/>
      <c r="E149" s="38"/>
    </row>
    <row r="150" spans="1:5" x14ac:dyDescent="0.2">
      <c r="A150" s="39"/>
      <c r="B150" s="36"/>
      <c r="C150" s="37"/>
      <c r="D150" s="38"/>
      <c r="E150" s="38"/>
    </row>
    <row r="151" spans="1:5" x14ac:dyDescent="0.2">
      <c r="A151" s="39"/>
      <c r="B151" s="36"/>
      <c r="C151" s="37"/>
      <c r="D151" s="38"/>
      <c r="E151" s="38"/>
    </row>
    <row r="152" spans="1:5" x14ac:dyDescent="0.2">
      <c r="A152" s="39"/>
      <c r="B152" s="36"/>
      <c r="C152" s="37"/>
      <c r="D152" s="38"/>
      <c r="E152" s="38"/>
    </row>
    <row r="153" spans="1:5" x14ac:dyDescent="0.2">
      <c r="A153" s="39"/>
      <c r="B153" s="36"/>
      <c r="C153" s="37"/>
      <c r="D153" s="38"/>
      <c r="E153" s="38"/>
    </row>
    <row r="154" spans="1:5" x14ac:dyDescent="0.2">
      <c r="A154" s="39"/>
      <c r="B154" s="36"/>
      <c r="C154" s="37"/>
      <c r="D154" s="38"/>
      <c r="E154" s="38"/>
    </row>
    <row r="155" spans="1:5" x14ac:dyDescent="0.2">
      <c r="A155" s="39"/>
      <c r="B155" s="36"/>
      <c r="C155" s="37"/>
      <c r="D155" s="38"/>
      <c r="E155" s="38"/>
    </row>
    <row r="156" spans="1:5" x14ac:dyDescent="0.2">
      <c r="A156" s="39"/>
      <c r="B156" s="36"/>
      <c r="C156" s="37"/>
      <c r="D156" s="38"/>
      <c r="E156" s="38"/>
    </row>
  </sheetData>
  <phoneticPr fontId="0" type="noConversion"/>
  <hyperlinks>
    <hyperlink ref="B1" r:id="rId1"/>
    <hyperlink ref="G11" r:id="rId2"/>
  </hyperlinks>
  <pageMargins left="0.25" right="0.25" top="0.75" bottom="0.75" header="0.3" footer="0.3"/>
  <pageSetup paperSize="5" orientation="portrait" horizontalDpi="4294967292" r:id="rId3"/>
  <headerFooter alignWithMargins="0">
    <oddHeader>&amp;C&amp;"Arial,Bold"&amp;12Data Sheet for Bosch 0 280 130 006
T1 Air Temperature Sensor</oddHeader>
    <oddFooter>&amp;C&amp;"Arial,Bold"&amp;12Bosch 0 280 130 006</oddFooter>
  </headerFooter>
  <rowBreaks count="1" manualBreakCount="1">
    <brk id="50" max="16383" man="1"/>
  </row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SNHRT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Steinhart and Hart Calculator</dc:title>
  <dc:subject>Steinhart and Hart Calculator</dc:subject>
  <dc:creator>Mark Long</dc:creator>
  <dc:description>Steinhart and Hart Calculator</dc:description>
  <cp:lastModifiedBy>James B. Cushman</cp:lastModifiedBy>
  <cp:lastPrinted>2013-09-03T14:47:39Z</cp:lastPrinted>
  <dcterms:created xsi:type="dcterms:W3CDTF">1999-03-10T13:52:51Z</dcterms:created>
  <dcterms:modified xsi:type="dcterms:W3CDTF">2013-09-13T18:46:22Z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ontentLanguage">
    <vt:i4>1033</vt:i4>
  </property>
  <property fmtid="{D5CDD505-2E9C-101B-9397-08002B2CF9AE}" pid="3" name="EktQuickLink">
    <vt:lpwstr>DownloadAsset.aspx?id=6651</vt:lpwstr>
  </property>
  <property fmtid="{D5CDD505-2E9C-101B-9397-08002B2CF9AE}" pid="4" name="EktContentType">
    <vt:i4>101</vt:i4>
  </property>
  <property fmtid="{D5CDD505-2E9C-101B-9397-08002B2CF9AE}" pid="5" name="EktContentSubType">
    <vt:i4>0</vt:i4>
  </property>
  <property fmtid="{D5CDD505-2E9C-101B-9397-08002B2CF9AE}" pid="6" name="EktFolderName">
    <vt:lpwstr/>
  </property>
  <property fmtid="{D5CDD505-2E9C-101B-9397-08002B2CF9AE}" pid="7" name="EktCmsPath">
    <vt:lpwstr>Steinhart and Hart Calculator</vt:lpwstr>
  </property>
  <property fmtid="{D5CDD505-2E9C-101B-9397-08002B2CF9AE}" pid="8" name="EktExpiryType">
    <vt:i4>1</vt:i4>
  </property>
  <property fmtid="{D5CDD505-2E9C-101B-9397-08002B2CF9AE}" pid="9" name="EktDateCreated">
    <vt:filetime>2009-06-11T20:15:05Z</vt:filetime>
  </property>
  <property fmtid="{D5CDD505-2E9C-101B-9397-08002B2CF9AE}" pid="10" name="EktDateModified">
    <vt:filetime>2011-11-02T19:37:46Z</vt:filetime>
  </property>
  <property fmtid="{D5CDD505-2E9C-101B-9397-08002B2CF9AE}" pid="11" name="EktTaxCategory">
    <vt:lpwstr> #eksep#  #eksep#  #eksep#  #eksep#  #eksep#  #eksep#  #eksep#  #eksep#  #eksep# \Industries Served\Aerospace and Military #eksep# \Industries Served\General Industry #eksep# \Industries Served\Consumer Goods #eksep# \Industries Served\Medical #eksep# \In</vt:lpwstr>
  </property>
  <property fmtid="{D5CDD505-2E9C-101B-9397-08002B2CF9AE}" pid="12" name="EktDisabledTaxCategory">
    <vt:lpwstr/>
  </property>
  <property fmtid="{D5CDD505-2E9C-101B-9397-08002B2CF9AE}" pid="13" name="EktCmsSize">
    <vt:i4>182272</vt:i4>
  </property>
  <property fmtid="{D5CDD505-2E9C-101B-9397-08002B2CF9AE}" pid="14" name="EktSearchable">
    <vt:i4>1</vt:i4>
  </property>
  <property fmtid="{D5CDD505-2E9C-101B-9397-08002B2CF9AE}" pid="15" name="EktEDescription">
    <vt:lpwstr>Summary Steinhart and Hart Calculator</vt:lpwstr>
  </property>
  <property fmtid="{D5CDD505-2E9C-101B-9397-08002B2CF9AE}" pid="16" name="EktRegistrationRequired">
    <vt:bool>false</vt:bool>
  </property>
</Properties>
</file>