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80" windowWidth="13950" windowHeight="11055" tabRatio="231"/>
  </bookViews>
  <sheets>
    <sheet name="SNHRT" sheetId="1" r:id="rId1"/>
  </sheets>
  <definedNames>
    <definedName name="\a">#REF!</definedName>
    <definedName name="_Regression_Out" hidden="1">#REF!</definedName>
    <definedName name="_Regression_X" hidden="1">#REF!</definedName>
    <definedName name="_Regression_Y" hidden="1">#REF!</definedName>
    <definedName name="Print_Area_MI">#REF!</definedName>
  </definedNames>
  <calcPr calcId="145621"/>
</workbook>
</file>

<file path=xl/calcChain.xml><?xml version="1.0" encoding="utf-8"?>
<calcChain xmlns="http://schemas.openxmlformats.org/spreadsheetml/2006/main">
  <c r="F32" i="1" l="1"/>
  <c r="H50" i="1" l="1"/>
  <c r="H49" i="1"/>
  <c r="H48" i="1"/>
  <c r="H47" i="1"/>
  <c r="H46" i="1"/>
  <c r="H45" i="1"/>
  <c r="H44" i="1"/>
  <c r="H42" i="1"/>
  <c r="H41" i="1"/>
  <c r="H40" i="1"/>
  <c r="H39" i="1"/>
  <c r="H37" i="1"/>
  <c r="H38" i="1"/>
  <c r="F50" i="1"/>
  <c r="F49" i="1"/>
  <c r="F48" i="1"/>
  <c r="F47" i="1"/>
  <c r="F46" i="1"/>
  <c r="F45" i="1"/>
  <c r="E50" i="1"/>
  <c r="E49" i="1"/>
  <c r="E48" i="1"/>
  <c r="E47" i="1"/>
  <c r="E46" i="1"/>
  <c r="C50" i="1"/>
  <c r="D50" i="1" s="1"/>
  <c r="C49" i="1"/>
  <c r="D49" i="1" s="1"/>
  <c r="C48" i="1"/>
  <c r="D48" i="1" s="1"/>
  <c r="C47" i="1"/>
  <c r="D47" i="1" s="1"/>
  <c r="C46" i="1"/>
  <c r="D46" i="1" s="1"/>
  <c r="B28" i="1" l="1"/>
  <c r="D11" i="1"/>
  <c r="D12" i="1"/>
  <c r="E11" i="1"/>
  <c r="E12" i="1"/>
  <c r="D13" i="1"/>
  <c r="B18" i="1" s="1"/>
  <c r="E13" i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B16" i="1" l="1"/>
  <c r="B15" i="1"/>
  <c r="B17" i="1"/>
  <c r="B23" i="1" l="1"/>
  <c r="B22" i="1" s="1"/>
  <c r="B21" i="1" l="1"/>
  <c r="D66" i="1" s="1"/>
  <c r="E66" i="1" s="1"/>
  <c r="B66" i="1" s="1"/>
  <c r="C66" i="1" s="1"/>
  <c r="D61" i="1" l="1"/>
  <c r="E61" i="1" s="1"/>
  <c r="B61" i="1" s="1"/>
  <c r="C61" i="1" s="1"/>
  <c r="D75" i="1"/>
  <c r="E75" i="1" s="1"/>
  <c r="B75" i="1" s="1"/>
  <c r="C75" i="1" s="1"/>
  <c r="D79" i="1"/>
  <c r="E79" i="1" s="1"/>
  <c r="B79" i="1" s="1"/>
  <c r="C79" i="1" s="1"/>
  <c r="D85" i="1"/>
  <c r="E85" i="1" s="1"/>
  <c r="B85" i="1" s="1"/>
  <c r="C85" i="1" s="1"/>
  <c r="D118" i="1"/>
  <c r="E118" i="1" s="1"/>
  <c r="B118" i="1" s="1"/>
  <c r="C118" i="1" s="1"/>
  <c r="D121" i="1"/>
  <c r="E121" i="1" s="1"/>
  <c r="B121" i="1" s="1"/>
  <c r="C121" i="1" s="1"/>
  <c r="D110" i="1"/>
  <c r="E110" i="1" s="1"/>
  <c r="B110" i="1" s="1"/>
  <c r="C110" i="1" s="1"/>
  <c r="D97" i="1"/>
  <c r="E97" i="1" s="1"/>
  <c r="B97" i="1" s="1"/>
  <c r="C97" i="1" s="1"/>
  <c r="D109" i="1"/>
  <c r="E109" i="1" s="1"/>
  <c r="B109" i="1" s="1"/>
  <c r="C109" i="1" s="1"/>
  <c r="E44" i="1"/>
  <c r="F44" i="1" s="1"/>
  <c r="C44" i="1" s="1"/>
  <c r="D44" i="1" s="1"/>
  <c r="D67" i="1"/>
  <c r="E67" i="1" s="1"/>
  <c r="B67" i="1" s="1"/>
  <c r="C67" i="1" s="1"/>
  <c r="D71" i="1"/>
  <c r="E71" i="1" s="1"/>
  <c r="B71" i="1" s="1"/>
  <c r="C71" i="1" s="1"/>
  <c r="D32" i="1"/>
  <c r="D78" i="1"/>
  <c r="E78" i="1" s="1"/>
  <c r="B78" i="1" s="1"/>
  <c r="C78" i="1" s="1"/>
  <c r="D55" i="1"/>
  <c r="E55" i="1" s="1"/>
  <c r="B55" i="1" s="1"/>
  <c r="C55" i="1" s="1"/>
  <c r="D59" i="1"/>
  <c r="E59" i="1" s="1"/>
  <c r="B59" i="1" s="1"/>
  <c r="C59" i="1" s="1"/>
  <c r="E41" i="1"/>
  <c r="F41" i="1" s="1"/>
  <c r="C41" i="1" s="1"/>
  <c r="D41" i="1" s="1"/>
  <c r="D105" i="1"/>
  <c r="E105" i="1" s="1"/>
  <c r="B105" i="1" s="1"/>
  <c r="C105" i="1" s="1"/>
  <c r="D88" i="1"/>
  <c r="E88" i="1" s="1"/>
  <c r="B88" i="1" s="1"/>
  <c r="C88" i="1" s="1"/>
  <c r="D113" i="1"/>
  <c r="E113" i="1" s="1"/>
  <c r="B113" i="1" s="1"/>
  <c r="C113" i="1" s="1"/>
  <c r="D99" i="1"/>
  <c r="E99" i="1" s="1"/>
  <c r="B99" i="1" s="1"/>
  <c r="C99" i="1" s="1"/>
  <c r="D63" i="1"/>
  <c r="E63" i="1" s="1"/>
  <c r="B63" i="1" s="1"/>
  <c r="C63" i="1" s="1"/>
  <c r="D119" i="1"/>
  <c r="E119" i="1" s="1"/>
  <c r="B119" i="1" s="1"/>
  <c r="C119" i="1" s="1"/>
  <c r="D77" i="1"/>
  <c r="E77" i="1" s="1"/>
  <c r="B77" i="1" s="1"/>
  <c r="C77" i="1" s="1"/>
  <c r="D101" i="1"/>
  <c r="E101" i="1" s="1"/>
  <c r="B101" i="1" s="1"/>
  <c r="C101" i="1" s="1"/>
  <c r="D104" i="1"/>
  <c r="E104" i="1" s="1"/>
  <c r="B104" i="1" s="1"/>
  <c r="C104" i="1" s="1"/>
  <c r="D122" i="1"/>
  <c r="E122" i="1" s="1"/>
  <c r="B122" i="1" s="1"/>
  <c r="C122" i="1" s="1"/>
  <c r="D84" i="1"/>
  <c r="E84" i="1" s="1"/>
  <c r="B84" i="1" s="1"/>
  <c r="C84" i="1" s="1"/>
  <c r="D83" i="1"/>
  <c r="E83" i="1" s="1"/>
  <c r="B83" i="1" s="1"/>
  <c r="C83" i="1" s="1"/>
  <c r="D81" i="1"/>
  <c r="E81" i="1" s="1"/>
  <c r="B81" i="1" s="1"/>
  <c r="C81" i="1" s="1"/>
  <c r="D116" i="1"/>
  <c r="E116" i="1" s="1"/>
  <c r="B116" i="1" s="1"/>
  <c r="C116" i="1" s="1"/>
  <c r="D115" i="1"/>
  <c r="E115" i="1" s="1"/>
  <c r="B115" i="1" s="1"/>
  <c r="C115" i="1" s="1"/>
  <c r="D89" i="1"/>
  <c r="E89" i="1" s="1"/>
  <c r="B89" i="1" s="1"/>
  <c r="C89" i="1" s="1"/>
  <c r="D76" i="1"/>
  <c r="E76" i="1" s="1"/>
  <c r="B76" i="1" s="1"/>
  <c r="C76" i="1" s="1"/>
  <c r="D74" i="1"/>
  <c r="E74" i="1" s="1"/>
  <c r="B74" i="1" s="1"/>
  <c r="C74" i="1" s="1"/>
  <c r="D94" i="1"/>
  <c r="E94" i="1" s="1"/>
  <c r="B94" i="1" s="1"/>
  <c r="C94" i="1" s="1"/>
  <c r="D60" i="1"/>
  <c r="E60" i="1" s="1"/>
  <c r="B60" i="1" s="1"/>
  <c r="C60" i="1" s="1"/>
  <c r="D114" i="1"/>
  <c r="E114" i="1" s="1"/>
  <c r="B114" i="1" s="1"/>
  <c r="C114" i="1" s="1"/>
  <c r="D111" i="1"/>
  <c r="E111" i="1" s="1"/>
  <c r="B111" i="1" s="1"/>
  <c r="C111" i="1" s="1"/>
  <c r="D95" i="1"/>
  <c r="E95" i="1" s="1"/>
  <c r="B95" i="1" s="1"/>
  <c r="C95" i="1" s="1"/>
  <c r="D108" i="1"/>
  <c r="E108" i="1" s="1"/>
  <c r="B108" i="1" s="1"/>
  <c r="C108" i="1" s="1"/>
  <c r="D106" i="1"/>
  <c r="E106" i="1" s="1"/>
  <c r="B106" i="1" s="1"/>
  <c r="C106" i="1" s="1"/>
  <c r="D93" i="1"/>
  <c r="E93" i="1" s="1"/>
  <c r="B93" i="1" s="1"/>
  <c r="C93" i="1" s="1"/>
  <c r="D107" i="1"/>
  <c r="E107" i="1" s="1"/>
  <c r="B107" i="1" s="1"/>
  <c r="C107" i="1" s="1"/>
  <c r="D82" i="1"/>
  <c r="E82" i="1" s="1"/>
  <c r="B82" i="1" s="1"/>
  <c r="C82" i="1" s="1"/>
  <c r="D92" i="1"/>
  <c r="E92" i="1" s="1"/>
  <c r="B92" i="1" s="1"/>
  <c r="C92" i="1" s="1"/>
  <c r="D120" i="1"/>
  <c r="E120" i="1" s="1"/>
  <c r="B120" i="1" s="1"/>
  <c r="C120" i="1" s="1"/>
  <c r="D68" i="1"/>
  <c r="E68" i="1" s="1"/>
  <c r="B68" i="1" s="1"/>
  <c r="C68" i="1" s="1"/>
  <c r="D98" i="1"/>
  <c r="E98" i="1" s="1"/>
  <c r="B98" i="1" s="1"/>
  <c r="C98" i="1" s="1"/>
  <c r="D90" i="1"/>
  <c r="E90" i="1" s="1"/>
  <c r="B90" i="1" s="1"/>
  <c r="C90" i="1" s="1"/>
  <c r="D87" i="1"/>
  <c r="E87" i="1" s="1"/>
  <c r="B87" i="1" s="1"/>
  <c r="C87" i="1" s="1"/>
  <c r="F27" i="1"/>
  <c r="G27" i="1" s="1"/>
  <c r="C27" i="1" s="1"/>
  <c r="D27" i="1" s="1"/>
  <c r="E27" i="1" s="1"/>
  <c r="D64" i="1"/>
  <c r="E64" i="1" s="1"/>
  <c r="B64" i="1" s="1"/>
  <c r="C64" i="1" s="1"/>
  <c r="E42" i="1"/>
  <c r="F42" i="1" s="1"/>
  <c r="C42" i="1" s="1"/>
  <c r="D42" i="1" s="1"/>
  <c r="D53" i="1"/>
  <c r="E53" i="1" s="1"/>
  <c r="B53" i="1" s="1"/>
  <c r="C53" i="1" s="1"/>
  <c r="D80" i="1"/>
  <c r="E80" i="1" s="1"/>
  <c r="B80" i="1" s="1"/>
  <c r="C80" i="1" s="1"/>
  <c r="D91" i="1"/>
  <c r="E91" i="1" s="1"/>
  <c r="B91" i="1" s="1"/>
  <c r="C91" i="1" s="1"/>
  <c r="D103" i="1"/>
  <c r="E103" i="1" s="1"/>
  <c r="B103" i="1" s="1"/>
  <c r="C103" i="1" s="1"/>
  <c r="D57" i="1"/>
  <c r="E57" i="1" s="1"/>
  <c r="B57" i="1" s="1"/>
  <c r="C57" i="1" s="1"/>
  <c r="E40" i="1"/>
  <c r="F40" i="1" s="1"/>
  <c r="C40" i="1" s="1"/>
  <c r="D40" i="1" s="1"/>
  <c r="D54" i="1"/>
  <c r="E54" i="1" s="1"/>
  <c r="B54" i="1" s="1"/>
  <c r="C54" i="1" s="1"/>
  <c r="E37" i="1"/>
  <c r="F37" i="1" s="1"/>
  <c r="C37" i="1" s="1"/>
  <c r="D37" i="1" s="1"/>
  <c r="D96" i="1"/>
  <c r="E96" i="1" s="1"/>
  <c r="B96" i="1" s="1"/>
  <c r="C96" i="1" s="1"/>
  <c r="D102" i="1"/>
  <c r="E102" i="1" s="1"/>
  <c r="B102" i="1" s="1"/>
  <c r="C102" i="1" s="1"/>
  <c r="D117" i="1"/>
  <c r="E117" i="1" s="1"/>
  <c r="B117" i="1" s="1"/>
  <c r="C117" i="1" s="1"/>
  <c r="D86" i="1"/>
  <c r="E86" i="1" s="1"/>
  <c r="B86" i="1" s="1"/>
  <c r="C86" i="1" s="1"/>
  <c r="D62" i="1"/>
  <c r="E62" i="1" s="1"/>
  <c r="B62" i="1" s="1"/>
  <c r="C62" i="1" s="1"/>
  <c r="D100" i="1"/>
  <c r="E100" i="1" s="1"/>
  <c r="B100" i="1" s="1"/>
  <c r="C100" i="1" s="1"/>
  <c r="D69" i="1"/>
  <c r="E69" i="1" s="1"/>
  <c r="B69" i="1" s="1"/>
  <c r="C69" i="1" s="1"/>
  <c r="D56" i="1"/>
  <c r="E56" i="1" s="1"/>
  <c r="B56" i="1" s="1"/>
  <c r="C56" i="1" s="1"/>
  <c r="D70" i="1"/>
  <c r="E70" i="1" s="1"/>
  <c r="B70" i="1" s="1"/>
  <c r="C70" i="1" s="1"/>
  <c r="D112" i="1"/>
  <c r="E112" i="1" s="1"/>
  <c r="B112" i="1" s="1"/>
  <c r="C112" i="1" s="1"/>
  <c r="E38" i="1"/>
  <c r="F38" i="1" s="1"/>
  <c r="C38" i="1" s="1"/>
  <c r="D38" i="1" s="1"/>
  <c r="D58" i="1"/>
  <c r="E58" i="1" s="1"/>
  <c r="B58" i="1" s="1"/>
  <c r="C58" i="1" s="1"/>
  <c r="D73" i="1"/>
  <c r="E73" i="1" s="1"/>
  <c r="B73" i="1" s="1"/>
  <c r="C73" i="1" s="1"/>
  <c r="D72" i="1"/>
  <c r="E72" i="1" s="1"/>
  <c r="B72" i="1" s="1"/>
  <c r="C72" i="1" s="1"/>
  <c r="E43" i="1"/>
  <c r="F43" i="1" s="1"/>
  <c r="C43" i="1" s="1"/>
  <c r="D52" i="1"/>
  <c r="E52" i="1" s="1"/>
  <c r="B52" i="1" s="1"/>
  <c r="C52" i="1" s="1"/>
  <c r="E39" i="1"/>
  <c r="F39" i="1" s="1"/>
  <c r="C39" i="1" s="1"/>
  <c r="D39" i="1" s="1"/>
  <c r="E45" i="1"/>
  <c r="C45" i="1" s="1"/>
  <c r="D45" i="1" s="1"/>
  <c r="D65" i="1"/>
  <c r="E65" i="1" s="1"/>
  <c r="B65" i="1" s="1"/>
  <c r="C65" i="1" s="1"/>
  <c r="D43" i="1" l="1"/>
  <c r="H43" i="1"/>
</calcChain>
</file>

<file path=xl/sharedStrings.xml><?xml version="1.0" encoding="utf-8"?>
<sst xmlns="http://schemas.openxmlformats.org/spreadsheetml/2006/main" count="52" uniqueCount="44">
  <si>
    <t>FINDING RESISTANCE AND TEMPERATURE USING STEINHART &amp; HART EQUATION</t>
  </si>
  <si>
    <t>1/T = a + b(Ln R) + c(Ln R)^3,  T in degrees Kelvin</t>
  </si>
  <si>
    <t>Fill in temperatures and resistance for basis of calculating a,b,and c.</t>
  </si>
  <si>
    <t>LnR</t>
  </si>
  <si>
    <t>Low</t>
  </si>
  <si>
    <t>Mid</t>
  </si>
  <si>
    <t>High</t>
  </si>
  <si>
    <t>Ln(R1) - Ln(R2)</t>
  </si>
  <si>
    <t>Ln(R1) - Ln(R3)</t>
  </si>
  <si>
    <t>(1/T1) - (1/T2)</t>
  </si>
  <si>
    <t>(1/T1) - (1/T3)</t>
  </si>
  <si>
    <t>Coefficients</t>
  </si>
  <si>
    <t>a=</t>
  </si>
  <si>
    <t>b=</t>
  </si>
  <si>
    <t>c=</t>
  </si>
  <si>
    <t>Solving for R, given T:</t>
  </si>
  <si>
    <t>dR/dT</t>
  </si>
  <si>
    <t>%dR/dT</t>
  </si>
  <si>
    <t>alpha</t>
  </si>
  <si>
    <t>beta</t>
  </si>
  <si>
    <t>Solving For T, given R:</t>
  </si>
  <si>
    <t>Ohms=</t>
  </si>
  <si>
    <t>To find resistance -</t>
  </si>
  <si>
    <t>DRDT</t>
  </si>
  <si>
    <t>Enter  Temp:</t>
  </si>
  <si>
    <t>R vs. T Table</t>
  </si>
  <si>
    <t>Enter Lowest Temperature (C):</t>
  </si>
  <si>
    <t>Enter Highest Temperature (C):</t>
  </si>
  <si>
    <t>Enter Temperature Increment (C):</t>
  </si>
  <si>
    <t>DR/DT</t>
  </si>
  <si>
    <t>www.meas-spec.com</t>
  </si>
  <si>
    <t>0 280 130 014</t>
  </si>
  <si>
    <t>Order No.:</t>
  </si>
  <si>
    <r>
      <t xml:space="preserve">Temp </t>
    </r>
    <r>
      <rPr>
        <b/>
        <sz val="10"/>
        <rFont val="Calibri"/>
        <family val="2"/>
      </rPr>
      <t>°</t>
    </r>
    <r>
      <rPr>
        <b/>
        <sz val="10"/>
        <rFont val="Arial"/>
        <family val="2"/>
      </rPr>
      <t>C</t>
    </r>
  </si>
  <si>
    <t>Resistance Ω</t>
  </si>
  <si>
    <r>
      <t xml:space="preserve">Temp </t>
    </r>
    <r>
      <rPr>
        <b/>
        <sz val="10"/>
        <rFont val="Calibri"/>
        <family val="2"/>
      </rPr>
      <t>°</t>
    </r>
    <r>
      <rPr>
        <b/>
        <sz val="10"/>
        <rFont val="Arial"/>
        <family val="2"/>
      </rPr>
      <t>K</t>
    </r>
  </si>
  <si>
    <r>
      <t xml:space="preserve">Degrees </t>
    </r>
    <r>
      <rPr>
        <b/>
        <sz val="10"/>
        <rFont val="Calibri"/>
        <family val="2"/>
      </rPr>
      <t>°</t>
    </r>
    <r>
      <rPr>
        <b/>
        <sz val="10"/>
        <rFont val="Arial"/>
        <family val="2"/>
      </rPr>
      <t>C=</t>
    </r>
  </si>
  <si>
    <r>
      <t xml:space="preserve">Temp </t>
    </r>
    <r>
      <rPr>
        <b/>
        <sz val="10"/>
        <rFont val="Calibri"/>
        <family val="2"/>
      </rPr>
      <t>°</t>
    </r>
    <r>
      <rPr>
        <b/>
        <sz val="10"/>
        <rFont val="Arial"/>
        <family val="2"/>
      </rPr>
      <t>K=</t>
    </r>
  </si>
  <si>
    <r>
      <t xml:space="preserve">Temp </t>
    </r>
    <r>
      <rPr>
        <b/>
        <sz val="10"/>
        <rFont val="Calibri"/>
        <family val="2"/>
      </rPr>
      <t>°</t>
    </r>
    <r>
      <rPr>
        <b/>
        <sz val="10"/>
        <rFont val="Arial"/>
        <family val="2"/>
      </rPr>
      <t>C=</t>
    </r>
  </si>
  <si>
    <r>
      <t xml:space="preserve">Degree </t>
    </r>
    <r>
      <rPr>
        <b/>
        <sz val="10"/>
        <rFont val="Calibri"/>
        <family val="2"/>
      </rPr>
      <t>°</t>
    </r>
    <r>
      <rPr>
        <b/>
        <sz val="10"/>
        <rFont val="Arial"/>
        <family val="2"/>
      </rPr>
      <t>C</t>
    </r>
  </si>
  <si>
    <t>Thermistor Calculator</t>
  </si>
  <si>
    <t>Datasheet</t>
  </si>
  <si>
    <t>%Error</t>
  </si>
  <si>
    <r>
      <t xml:space="preserve">Temp </t>
    </r>
    <r>
      <rPr>
        <b/>
        <sz val="10"/>
        <rFont val="Calibri"/>
        <family val="2"/>
      </rPr>
      <t>°</t>
    </r>
    <r>
      <rPr>
        <b/>
        <sz val="10"/>
        <rFont val="Arial"/>
        <family val="2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</si>
</sst>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_)"/>
    <numFmt numFmtId="165" formatCode="0.00_)"/>
    <numFmt numFmtId="166" formatCode="0.000_)"/>
    <numFmt numFmtId="167" formatCode="0.00000"/>
    <numFmt numFmtId="168" formatCode="0.0000000"/>
    <numFmt numFmtId="169" formatCode="0.00000000"/>
    <numFmt numFmtId="170" formatCode="0.000000000"/>
    <numFmt numFmtId="171" formatCode="General_)"/>
    <numFmt numFmtId="172" formatCode="0.00000000E+00_)"/>
  </numFmts>
  <fonts count="8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7.5"/>
      <color indexed="12"/>
      <name val="Arial"/>
      <family val="2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171" fontId="2" fillId="0" borderId="0"/>
  </cellStyleXfs>
  <cellXfs count="61">
    <xf numFmtId="0" fontId="0" fillId="0" borderId="0" xfId="0"/>
    <xf numFmtId="0" fontId="1" fillId="0" borderId="0" xfId="2"/>
    <xf numFmtId="171" fontId="1" fillId="0" borderId="0" xfId="2" applyNumberFormat="1" applyAlignment="1" applyProtection="1">
      <alignment horizontal="left"/>
    </xf>
    <xf numFmtId="0" fontId="3" fillId="0" borderId="0" xfId="2" applyFont="1" applyAlignment="1">
      <alignment horizontal="right"/>
    </xf>
    <xf numFmtId="171" fontId="2" fillId="0" borderId="0" xfId="3"/>
    <xf numFmtId="0" fontId="3" fillId="0" borderId="0" xfId="2" applyFont="1" applyAlignment="1">
      <alignment horizontal="center"/>
    </xf>
    <xf numFmtId="168" fontId="1" fillId="0" borderId="0" xfId="2" applyNumberFormat="1"/>
    <xf numFmtId="169" fontId="1" fillId="0" borderId="0" xfId="2" applyNumberFormat="1"/>
    <xf numFmtId="0" fontId="3" fillId="0" borderId="0" xfId="2" applyFont="1" applyAlignment="1" applyProtection="1">
      <alignment horizontal="center"/>
      <protection hidden="1"/>
    </xf>
    <xf numFmtId="0" fontId="1" fillId="0" borderId="0" xfId="2" applyAlignment="1">
      <alignment horizontal="right"/>
    </xf>
    <xf numFmtId="165" fontId="1" fillId="0" borderId="0" xfId="2" applyNumberFormat="1" applyFill="1" applyAlignment="1" applyProtection="1">
      <alignment horizontal="center"/>
      <protection locked="0" hidden="1"/>
    </xf>
    <xf numFmtId="39" fontId="1" fillId="0" borderId="0" xfId="2" applyNumberFormat="1" applyAlignment="1" applyProtection="1">
      <alignment horizontal="center"/>
      <protection hidden="1"/>
    </xf>
    <xf numFmtId="164" fontId="1" fillId="0" borderId="0" xfId="2" applyNumberFormat="1" applyAlignment="1" applyProtection="1">
      <alignment horizontal="center"/>
      <protection hidden="1"/>
    </xf>
    <xf numFmtId="0" fontId="1" fillId="0" borderId="0" xfId="2" applyProtection="1">
      <protection hidden="1"/>
    </xf>
    <xf numFmtId="0" fontId="3" fillId="0" borderId="1" xfId="2" applyFont="1" applyBorder="1" applyAlignment="1">
      <alignment horizontal="centerContinuous"/>
    </xf>
    <xf numFmtId="0" fontId="3" fillId="0" borderId="2" xfId="2" applyFont="1" applyBorder="1" applyAlignment="1">
      <alignment horizontal="centerContinuous"/>
    </xf>
    <xf numFmtId="170" fontId="1" fillId="0" borderId="0" xfId="2" applyNumberFormat="1"/>
    <xf numFmtId="172" fontId="1" fillId="0" borderId="0" xfId="2" applyNumberFormat="1" applyProtection="1"/>
    <xf numFmtId="0" fontId="1" fillId="0" borderId="0" xfId="2" applyProtection="1"/>
    <xf numFmtId="0" fontId="3" fillId="0" borderId="0" xfId="2" applyFont="1" applyAlignment="1">
      <alignment horizontal="centerContinuous"/>
    </xf>
    <xf numFmtId="165" fontId="3" fillId="0" borderId="0" xfId="2" applyNumberFormat="1" applyFont="1" applyFill="1" applyAlignment="1" applyProtection="1">
      <alignment horizontal="center"/>
      <protection locked="0" hidden="1"/>
    </xf>
    <xf numFmtId="39" fontId="3" fillId="0" borderId="0" xfId="2" applyNumberFormat="1" applyFont="1" applyAlignment="1" applyProtection="1">
      <alignment horizontal="center"/>
      <protection hidden="1"/>
    </xf>
    <xf numFmtId="2" fontId="1" fillId="0" borderId="0" xfId="2" applyNumberFormat="1"/>
    <xf numFmtId="167" fontId="1" fillId="0" borderId="0" xfId="2" applyNumberFormat="1"/>
    <xf numFmtId="167" fontId="1" fillId="0" borderId="0" xfId="2" applyNumberFormat="1" applyAlignment="1">
      <alignment horizontal="right"/>
    </xf>
    <xf numFmtId="49" fontId="1" fillId="0" borderId="0" xfId="2" applyNumberFormat="1"/>
    <xf numFmtId="2" fontId="1" fillId="0" borderId="0" xfId="2" applyNumberFormat="1" applyAlignment="1">
      <alignment horizontal="left"/>
    </xf>
    <xf numFmtId="0" fontId="4" fillId="0" borderId="0" xfId="2" applyFont="1" applyFill="1" applyBorder="1" applyAlignment="1">
      <alignment horizontal="left"/>
    </xf>
    <xf numFmtId="0" fontId="3" fillId="0" borderId="0" xfId="2" applyFont="1" applyAlignment="1">
      <alignment horizontal="left"/>
    </xf>
    <xf numFmtId="0" fontId="4" fillId="0" borderId="0" xfId="2" applyFont="1"/>
    <xf numFmtId="0" fontId="5" fillId="0" borderId="0" xfId="2" applyFont="1"/>
    <xf numFmtId="171" fontId="5" fillId="0" borderId="0" xfId="3" applyFont="1"/>
    <xf numFmtId="171" fontId="4" fillId="2" borderId="1" xfId="3" applyFont="1" applyFill="1" applyBorder="1" applyProtection="1">
      <protection locked="0"/>
    </xf>
    <xf numFmtId="171" fontId="4" fillId="2" borderId="3" xfId="3" applyFont="1" applyFill="1" applyBorder="1" applyProtection="1">
      <protection locked="0"/>
    </xf>
    <xf numFmtId="39" fontId="5" fillId="0" borderId="0" xfId="3" applyNumberFormat="1" applyFont="1" applyAlignment="1" applyProtection="1">
      <alignment horizontal="center"/>
    </xf>
    <xf numFmtId="165" fontId="5" fillId="0" borderId="0" xfId="3" applyNumberFormat="1" applyFont="1" applyAlignment="1" applyProtection="1">
      <alignment horizontal="center"/>
    </xf>
    <xf numFmtId="171" fontId="5" fillId="0" borderId="0" xfId="3" applyFont="1" applyProtection="1"/>
    <xf numFmtId="166" fontId="5" fillId="0" borderId="0" xfId="3" applyNumberFormat="1" applyFont="1" applyAlignment="1">
      <alignment horizontal="center"/>
    </xf>
    <xf numFmtId="0" fontId="4" fillId="2" borderId="1" xfId="2" applyFont="1" applyFill="1" applyBorder="1" applyAlignment="1" applyProtection="1">
      <alignment horizontal="center"/>
      <protection locked="0"/>
    </xf>
    <xf numFmtId="0" fontId="4" fillId="2" borderId="1" xfId="2" applyFont="1" applyFill="1" applyBorder="1" applyAlignment="1" applyProtection="1">
      <alignment horizontal="left"/>
      <protection locked="0"/>
    </xf>
    <xf numFmtId="0" fontId="6" fillId="0" borderId="0" xfId="1" applyAlignment="1" applyProtection="1"/>
    <xf numFmtId="0" fontId="3" fillId="2" borderId="1" xfId="2" applyFont="1" applyFill="1" applyBorder="1" applyAlignment="1" applyProtection="1">
      <alignment horizontal="center"/>
      <protection locked="0"/>
    </xf>
    <xf numFmtId="0" fontId="1" fillId="0" borderId="0" xfId="2" applyAlignment="1">
      <alignment horizontal="left"/>
    </xf>
    <xf numFmtId="164" fontId="5" fillId="0" borderId="0" xfId="2" applyNumberFormat="1" applyFont="1" applyAlignment="1" applyProtection="1">
      <alignment horizontal="center"/>
      <protection hidden="1"/>
    </xf>
    <xf numFmtId="165" fontId="1" fillId="0" borderId="0" xfId="2" applyNumberFormat="1"/>
    <xf numFmtId="1" fontId="1" fillId="2" borderId="1" xfId="2" applyNumberFormat="1" applyFill="1" applyBorder="1" applyAlignment="1" applyProtection="1">
      <alignment horizontal="center"/>
      <protection locked="0"/>
    </xf>
    <xf numFmtId="1" fontId="1" fillId="3" borderId="1" xfId="2" applyNumberFormat="1" applyFill="1" applyBorder="1" applyAlignment="1" applyProtection="1">
      <alignment horizontal="center"/>
      <protection locked="0"/>
    </xf>
    <xf numFmtId="1" fontId="5" fillId="3" borderId="1" xfId="2" applyNumberFormat="1" applyFont="1" applyFill="1" applyBorder="1" applyAlignment="1">
      <alignment horizontal="center"/>
    </xf>
    <xf numFmtId="1" fontId="1" fillId="3" borderId="1" xfId="2" applyNumberFormat="1" applyFill="1" applyBorder="1" applyAlignment="1">
      <alignment horizontal="center"/>
    </xf>
    <xf numFmtId="1" fontId="5" fillId="3" borderId="1" xfId="3" applyNumberFormat="1" applyFont="1" applyFill="1" applyBorder="1" applyAlignment="1">
      <alignment horizontal="center"/>
    </xf>
    <xf numFmtId="1" fontId="5" fillId="3" borderId="4" xfId="3" applyNumberFormat="1" applyFont="1" applyFill="1" applyBorder="1" applyAlignment="1">
      <alignment horizontal="center"/>
    </xf>
    <xf numFmtId="171" fontId="3" fillId="0" borderId="1" xfId="3" applyFont="1" applyBorder="1" applyAlignment="1">
      <alignment horizontal="center"/>
    </xf>
    <xf numFmtId="164" fontId="5" fillId="0" borderId="1" xfId="3" applyNumberFormat="1" applyFont="1" applyBorder="1" applyAlignment="1" applyProtection="1">
      <alignment horizontal="center"/>
    </xf>
    <xf numFmtId="37" fontId="5" fillId="0" borderId="1" xfId="3" applyNumberFormat="1" applyFont="1" applyBorder="1" applyAlignment="1" applyProtection="1">
      <alignment horizontal="center"/>
    </xf>
    <xf numFmtId="165" fontId="5" fillId="0" borderId="1" xfId="3" applyNumberFormat="1" applyFont="1" applyBorder="1" applyAlignment="1" applyProtection="1">
      <alignment horizontal="center"/>
    </xf>
    <xf numFmtId="171" fontId="5" fillId="0" borderId="1" xfId="3" applyFont="1" applyBorder="1" applyProtection="1"/>
    <xf numFmtId="164" fontId="5" fillId="0" borderId="1" xfId="3" applyNumberFormat="1" applyFont="1" applyBorder="1" applyAlignment="1">
      <alignment horizontal="center"/>
    </xf>
    <xf numFmtId="164" fontId="5" fillId="4" borderId="1" xfId="3" applyNumberFormat="1" applyFont="1" applyFill="1" applyBorder="1" applyAlignment="1">
      <alignment horizontal="center"/>
    </xf>
    <xf numFmtId="37" fontId="5" fillId="4" borderId="1" xfId="3" applyNumberFormat="1" applyFont="1" applyFill="1" applyBorder="1" applyAlignment="1" applyProtection="1">
      <alignment horizontal="center"/>
    </xf>
    <xf numFmtId="165" fontId="5" fillId="4" borderId="1" xfId="3" applyNumberFormat="1" applyFont="1" applyFill="1" applyBorder="1" applyAlignment="1" applyProtection="1">
      <alignment horizontal="center"/>
    </xf>
    <xf numFmtId="171" fontId="5" fillId="4" borderId="1" xfId="3" applyFont="1" applyFill="1" applyBorder="1" applyProtection="1"/>
  </cellXfs>
  <cellStyles count="4">
    <cellStyle name="Hyperlink" xfId="1" builtinId="8"/>
    <cellStyle name="Normal" xfId="0" builtinId="0"/>
    <cellStyle name="Normal_ST&amp;HT_EQ" xfId="2"/>
    <cellStyle name="Normal_STEINHRT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T2 Coolant Temp</a:t>
            </a:r>
            <a:r>
              <a:rPr lang="en-US" sz="1400" baseline="0"/>
              <a:t> Sensor</a:t>
            </a:r>
          </a:p>
          <a:p>
            <a:pPr>
              <a:defRPr/>
            </a:pPr>
            <a:r>
              <a:rPr lang="en-US" sz="1400" baseline="0"/>
              <a:t>Resistance </a:t>
            </a:r>
            <a:r>
              <a:rPr lang="el-GR" sz="1400" baseline="0">
                <a:latin typeface="Arial"/>
                <a:cs typeface="Arial"/>
              </a:rPr>
              <a:t>Ω</a:t>
            </a:r>
            <a:r>
              <a:rPr lang="en-US" sz="1400" baseline="0">
                <a:latin typeface="Arial"/>
                <a:cs typeface="Arial"/>
              </a:rPr>
              <a:t> vs T</a:t>
            </a:r>
            <a:r>
              <a:rPr lang="en-US" sz="1400"/>
              <a:t>emp °C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Temp C</c:v>
          </c:tx>
          <c:marker>
            <c:symbol val="none"/>
          </c:marker>
          <c:cat>
            <c:numRef>
              <c:f>SNHRT!$A$52:$A$122</c:f>
              <c:numCache>
                <c:formatCode>0_)</c:formatCode>
                <c:ptCount val="7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22</c:v>
                </c:pt>
                <c:pt idx="17">
                  <c:v>24</c:v>
                </c:pt>
                <c:pt idx="18">
                  <c:v>26</c:v>
                </c:pt>
                <c:pt idx="19">
                  <c:v>28</c:v>
                </c:pt>
                <c:pt idx="20">
                  <c:v>30</c:v>
                </c:pt>
                <c:pt idx="21">
                  <c:v>32</c:v>
                </c:pt>
                <c:pt idx="22">
                  <c:v>34</c:v>
                </c:pt>
                <c:pt idx="23">
                  <c:v>36</c:v>
                </c:pt>
                <c:pt idx="24">
                  <c:v>38</c:v>
                </c:pt>
                <c:pt idx="25">
                  <c:v>40</c:v>
                </c:pt>
                <c:pt idx="26">
                  <c:v>42</c:v>
                </c:pt>
                <c:pt idx="27">
                  <c:v>44</c:v>
                </c:pt>
                <c:pt idx="28">
                  <c:v>46</c:v>
                </c:pt>
                <c:pt idx="29">
                  <c:v>48</c:v>
                </c:pt>
                <c:pt idx="30">
                  <c:v>50</c:v>
                </c:pt>
                <c:pt idx="31">
                  <c:v>52</c:v>
                </c:pt>
                <c:pt idx="32">
                  <c:v>54</c:v>
                </c:pt>
                <c:pt idx="33">
                  <c:v>56</c:v>
                </c:pt>
                <c:pt idx="34">
                  <c:v>58</c:v>
                </c:pt>
                <c:pt idx="35">
                  <c:v>60</c:v>
                </c:pt>
                <c:pt idx="36">
                  <c:v>62</c:v>
                </c:pt>
                <c:pt idx="37">
                  <c:v>64</c:v>
                </c:pt>
                <c:pt idx="38">
                  <c:v>66</c:v>
                </c:pt>
                <c:pt idx="39">
                  <c:v>68</c:v>
                </c:pt>
                <c:pt idx="40">
                  <c:v>70</c:v>
                </c:pt>
                <c:pt idx="41">
                  <c:v>72</c:v>
                </c:pt>
                <c:pt idx="42">
                  <c:v>74</c:v>
                </c:pt>
                <c:pt idx="43">
                  <c:v>76</c:v>
                </c:pt>
                <c:pt idx="44">
                  <c:v>78</c:v>
                </c:pt>
                <c:pt idx="45">
                  <c:v>80</c:v>
                </c:pt>
                <c:pt idx="46">
                  <c:v>82</c:v>
                </c:pt>
                <c:pt idx="47">
                  <c:v>84</c:v>
                </c:pt>
                <c:pt idx="48">
                  <c:v>86</c:v>
                </c:pt>
                <c:pt idx="49">
                  <c:v>88</c:v>
                </c:pt>
                <c:pt idx="50">
                  <c:v>90</c:v>
                </c:pt>
                <c:pt idx="51">
                  <c:v>92</c:v>
                </c:pt>
                <c:pt idx="52">
                  <c:v>94</c:v>
                </c:pt>
                <c:pt idx="53">
                  <c:v>96</c:v>
                </c:pt>
                <c:pt idx="54">
                  <c:v>98</c:v>
                </c:pt>
                <c:pt idx="55">
                  <c:v>100</c:v>
                </c:pt>
                <c:pt idx="56">
                  <c:v>102</c:v>
                </c:pt>
                <c:pt idx="57">
                  <c:v>104</c:v>
                </c:pt>
                <c:pt idx="58">
                  <c:v>106</c:v>
                </c:pt>
                <c:pt idx="59">
                  <c:v>108</c:v>
                </c:pt>
                <c:pt idx="60">
                  <c:v>110</c:v>
                </c:pt>
                <c:pt idx="61">
                  <c:v>112</c:v>
                </c:pt>
                <c:pt idx="62">
                  <c:v>114</c:v>
                </c:pt>
                <c:pt idx="63">
                  <c:v>116</c:v>
                </c:pt>
                <c:pt idx="64">
                  <c:v>118</c:v>
                </c:pt>
                <c:pt idx="65">
                  <c:v>120</c:v>
                </c:pt>
                <c:pt idx="66">
                  <c:v>122</c:v>
                </c:pt>
                <c:pt idx="67">
                  <c:v>124</c:v>
                </c:pt>
                <c:pt idx="68">
                  <c:v>126</c:v>
                </c:pt>
                <c:pt idx="69">
                  <c:v>128</c:v>
                </c:pt>
                <c:pt idx="70">
                  <c:v>130</c:v>
                </c:pt>
              </c:numCache>
            </c:numRef>
          </c:cat>
          <c:val>
            <c:numRef>
              <c:f>SNHRT!$B$52:$B$122</c:f>
              <c:numCache>
                <c:formatCode>#,##0_);\(#,##0\)</c:formatCode>
                <c:ptCount val="71"/>
                <c:pt idx="0">
                  <c:v>9376.3875722445409</c:v>
                </c:pt>
                <c:pt idx="1">
                  <c:v>8526.2820769176087</c:v>
                </c:pt>
                <c:pt idx="2">
                  <c:v>7762.1519056627703</c:v>
                </c:pt>
                <c:pt idx="3">
                  <c:v>7074.4814422584004</c:v>
                </c:pt>
                <c:pt idx="4">
                  <c:v>6454.89274331453</c:v>
                </c:pt>
                <c:pt idx="5">
                  <c:v>5896.0000000000373</c:v>
                </c:pt>
                <c:pt idx="6">
                  <c:v>5391.2837755035998</c:v>
                </c:pt>
                <c:pt idx="7">
                  <c:v>4934.982180648135</c:v>
                </c:pt>
                <c:pt idx="8">
                  <c:v>4521.9965779871109</c:v>
                </c:pt>
                <c:pt idx="9">
                  <c:v>4147.8097650749323</c:v>
                </c:pt>
                <c:pt idx="10">
                  <c:v>3808.414891536333</c:v>
                </c:pt>
                <c:pt idx="11">
                  <c:v>3500.2536212936948</c:v>
                </c:pt>
                <c:pt idx="12">
                  <c:v>3220.1622684860827</c:v>
                </c:pt>
                <c:pt idx="13">
                  <c:v>2965.3248196013456</c:v>
                </c:pt>
                <c:pt idx="14">
                  <c:v>2733.231910426809</c:v>
                </c:pt>
                <c:pt idx="15">
                  <c:v>2521.6449590354036</c:v>
                </c:pt>
                <c:pt idx="16">
                  <c:v>2328.5647688379408</c:v>
                </c:pt>
                <c:pt idx="17">
                  <c:v>2152.2040118447776</c:v>
                </c:pt>
                <c:pt idx="18">
                  <c:v>1990.9630842699025</c:v>
                </c:pt>
                <c:pt idx="19">
                  <c:v>1843.4088966443524</c:v>
                </c:pt>
                <c:pt idx="20">
                  <c:v>1708.2562205126562</c:v>
                </c:pt>
                <c:pt idx="21">
                  <c:v>1584.3512650876803</c:v>
                </c:pt>
                <c:pt idx="22">
                  <c:v>1470.6572012356762</c:v>
                </c:pt>
                <c:pt idx="23">
                  <c:v>1366.2413879366754</c:v>
                </c:pt>
                <c:pt idx="24">
                  <c:v>1270.2640888399874</c:v>
                </c:pt>
                <c:pt idx="25">
                  <c:v>1181.9684944858236</c:v>
                </c:pt>
                <c:pt idx="26">
                  <c:v>1100.671889850837</c:v>
                </c:pt>
                <c:pt idx="27">
                  <c:v>1025.7578276594795</c:v>
                </c:pt>
                <c:pt idx="28">
                  <c:v>956.66918585453777</c:v>
                </c:pt>
                <c:pt idx="29">
                  <c:v>892.90200314599588</c:v>
                </c:pt>
                <c:pt idx="30">
                  <c:v>833.99999999999784</c:v>
                </c:pt>
                <c:pt idx="31">
                  <c:v>779.54970408037605</c:v>
                </c:pt>
                <c:pt idx="32">
                  <c:v>729.17610926642794</c:v>
                </c:pt>
                <c:pt idx="33">
                  <c:v>682.53880615343837</c:v>
                </c:pt>
                <c:pt idx="34">
                  <c:v>639.32852958067315</c:v>
                </c:pt>
                <c:pt idx="35">
                  <c:v>599.26407538138085</c:v>
                </c:pt>
                <c:pt idx="36">
                  <c:v>562.08954434452789</c:v>
                </c:pt>
                <c:pt idx="37">
                  <c:v>527.57187643409475</c:v>
                </c:pt>
                <c:pt idx="38">
                  <c:v>495.49864272664865</c:v>
                </c:pt>
                <c:pt idx="39">
                  <c:v>465.67606638827505</c:v>
                </c:pt>
                <c:pt idx="40">
                  <c:v>437.92724738971134</c:v>
                </c:pt>
                <c:pt idx="41">
                  <c:v>412.0905686169346</c:v>
                </c:pt>
                <c:pt idx="42">
                  <c:v>388.01826362907013</c:v>
                </c:pt>
                <c:pt idx="43">
                  <c:v>365.57512859232293</c:v>
                </c:pt>
                <c:pt idx="44">
                  <c:v>344.63736291882623</c:v>
                </c:pt>
                <c:pt idx="45">
                  <c:v>325.09152489819405</c:v>
                </c:pt>
                <c:pt idx="46">
                  <c:v>306.83359015776551</c:v>
                </c:pt>
                <c:pt idx="47">
                  <c:v>289.76810215128785</c:v>
                </c:pt>
                <c:pt idx="48">
                  <c:v>273.80740507823373</c:v>
                </c:pt>
                <c:pt idx="49">
                  <c:v>258.87095069757606</c:v>
                </c:pt>
                <c:pt idx="50">
                  <c:v>244.88467143704099</c:v>
                </c:pt>
                <c:pt idx="51">
                  <c:v>231.78041302805212</c:v>
                </c:pt>
                <c:pt idx="52">
                  <c:v>219.49542062976664</c:v>
                </c:pt>
                <c:pt idx="53">
                  <c:v>207.97187305548724</c:v>
                </c:pt>
                <c:pt idx="54">
                  <c:v>197.15646029033744</c:v>
                </c:pt>
                <c:pt idx="55">
                  <c:v>187.00000000000219</c:v>
                </c:pt>
                <c:pt idx="56">
                  <c:v>177.45708918384659</c:v>
                </c:pt>
                <c:pt idx="57">
                  <c:v>168.48578752882634</c:v>
                </c:pt>
                <c:pt idx="58">
                  <c:v>160.04732937885137</c:v>
                </c:pt>
                <c:pt idx="59">
                  <c:v>152.10586155355139</c:v>
                </c:pt>
                <c:pt idx="60">
                  <c:v>144.62820453419695</c:v>
                </c:pt>
                <c:pt idx="61">
                  <c:v>137.58363478817282</c:v>
                </c:pt>
                <c:pt idx="62">
                  <c:v>130.94368622907717</c:v>
                </c:pt>
                <c:pt idx="63">
                  <c:v>124.68196901153308</c:v>
                </c:pt>
                <c:pt idx="64">
                  <c:v>118.77400403986468</c:v>
                </c:pt>
                <c:pt idx="65">
                  <c:v>113.19707173106859</c:v>
                </c:pt>
                <c:pt idx="66">
                  <c:v>107.93007371675451</c:v>
                </c:pt>
                <c:pt idx="67">
                  <c:v>102.95340629777897</c:v>
                </c:pt>
                <c:pt idx="68">
                  <c:v>98.248844581162544</c:v>
                </c:pt>
                <c:pt idx="69">
                  <c:v>93.799436332552744</c:v>
                </c:pt>
                <c:pt idx="70">
                  <c:v>89.589404670684473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83712"/>
        <c:axId val="80885248"/>
      </c:lineChart>
      <c:catAx>
        <c:axId val="80883712"/>
        <c:scaling>
          <c:orientation val="minMax"/>
        </c:scaling>
        <c:delete val="0"/>
        <c:axPos val="b"/>
        <c:minorGridlines/>
        <c:numFmt formatCode="0_)" sourceLinked="1"/>
        <c:majorTickMark val="out"/>
        <c:minorTickMark val="none"/>
        <c:tickLblPos val="nextTo"/>
        <c:crossAx val="80885248"/>
        <c:crosses val="autoZero"/>
        <c:auto val="1"/>
        <c:lblAlgn val="ctr"/>
        <c:lblOffset val="200"/>
        <c:tickLblSkip val="10"/>
        <c:tickMarkSkip val="10"/>
        <c:noMultiLvlLbl val="0"/>
      </c:catAx>
      <c:valAx>
        <c:axId val="80885248"/>
        <c:scaling>
          <c:orientation val="minMax"/>
        </c:scaling>
        <c:delete val="0"/>
        <c:axPos val="l"/>
        <c:majorGridlines/>
        <c:numFmt formatCode="#,##0_);\(#,##0\)" sourceLinked="1"/>
        <c:majorTickMark val="out"/>
        <c:minorTickMark val="none"/>
        <c:tickLblPos val="nextTo"/>
        <c:crossAx val="80883712"/>
        <c:crossesAt val="6"/>
        <c:crossBetween val="midCat"/>
      </c:valAx>
      <c:spPr>
        <a:gradFill>
          <a:gsLst>
            <a:gs pos="0">
              <a:srgbClr val="FFEFD1"/>
            </a:gs>
            <a:gs pos="64999">
              <a:srgbClr val="F0EBD5"/>
            </a:gs>
            <a:gs pos="100000">
              <a:srgbClr val="D1C39F"/>
            </a:gs>
          </a:gsLst>
          <a:lin ang="2700000" scaled="0"/>
        </a:gradFill>
      </c:spPr>
    </c:plotArea>
    <c:plotVisOnly val="1"/>
    <c:dispBlanksAs val="gap"/>
    <c:showDLblsOverMax val="0"/>
  </c:chart>
  <c:spPr>
    <a:gradFill>
      <a:gsLst>
        <a:gs pos="0">
          <a:srgbClr val="FFEFD1"/>
        </a:gs>
        <a:gs pos="64999">
          <a:srgbClr val="F0EBD5"/>
        </a:gs>
        <a:gs pos="100000">
          <a:srgbClr val="D1C39F"/>
        </a:gs>
      </a:gsLst>
      <a:lin ang="2700000" scaled="0"/>
    </a:gradFill>
    <a:effectLst>
      <a:glow rad="101600">
        <a:schemeClr val="accent2">
          <a:satMod val="175000"/>
          <a:alpha val="40000"/>
        </a:schemeClr>
      </a:glow>
    </a:effectLst>
  </c:spPr>
  <c:printSettings>
    <c:headerFooter/>
    <c:pageMargins b="0.75" l="0.25" r="0.25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0</xdr:col>
      <xdr:colOff>904875</xdr:colOff>
      <xdr:row>2</xdr:row>
      <xdr:rowOff>47625</xdr:rowOff>
    </xdr:to>
    <xdr:pic>
      <xdr:nvPicPr>
        <xdr:cNvPr id="1031" name="Picture 4" descr="mea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9048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85724</xdr:colOff>
      <xdr:row>122</xdr:row>
      <xdr:rowOff>114299</xdr:rowOff>
    </xdr:from>
    <xdr:to>
      <xdr:col>7</xdr:col>
      <xdr:colOff>685799</xdr:colOff>
      <xdr:row>157</xdr:row>
      <xdr:rowOff>143636</xdr:rowOff>
    </xdr:to>
    <xdr:graphicFrame macro="">
      <xdr:nvGraphicFramePr>
        <xdr:cNvPr id="5" name="Chart 1" descr="This chart is a plot of the Bosch 0 280 130 014 negative transfer coefficient coolant temperature sensor.  Sensor resistance is on the vertical scale.  Sensed temperature is on the horizontal scale.  &#10;&#10;This sensor is part of a family of temperature sensors with similar characteristics.  This particular order number is installed on the Mercedes-Benz M117 engine installed in 1971-1975 D-Jetronic applications" title="T2 Coolant Temp Sensor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38100</xdr:colOff>
      <xdr:row>159</xdr:row>
      <xdr:rowOff>28575</xdr:rowOff>
    </xdr:from>
    <xdr:to>
      <xdr:col>7</xdr:col>
      <xdr:colOff>835912</xdr:colOff>
      <xdr:row>191</xdr:row>
      <xdr:rowOff>95250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5765125"/>
          <a:ext cx="7055737" cy="524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SRS%20Thermistor%20Calculator.htm" TargetMode="External"/><Relationship Id="rId1" Type="http://schemas.openxmlformats.org/officeDocument/2006/relationships/hyperlink" Target="http://www.meas-spec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7"/>
  <sheetViews>
    <sheetView tabSelected="1" view="pageLayout" topLeftCell="A15" zoomScaleNormal="100" workbookViewId="0">
      <selection activeCell="F32" sqref="F32"/>
    </sheetView>
  </sheetViews>
  <sheetFormatPr defaultRowHeight="12.75" x14ac:dyDescent="0.2"/>
  <cols>
    <col min="1" max="1" width="13.7109375" style="1" customWidth="1"/>
    <col min="2" max="2" width="13.28515625" style="1" customWidth="1"/>
    <col min="3" max="3" width="12.140625" style="1" customWidth="1"/>
    <col min="4" max="4" width="10.7109375" style="1" customWidth="1"/>
    <col min="5" max="5" width="10.5703125" style="1" customWidth="1"/>
    <col min="6" max="6" width="14.85546875" style="1" customWidth="1"/>
    <col min="7" max="7" width="14" style="1" customWidth="1"/>
    <col min="8" max="8" width="12.42578125" style="1" customWidth="1"/>
    <col min="9" max="9" width="13.5703125" style="1" customWidth="1"/>
    <col min="10" max="10" width="15.5703125" style="1" customWidth="1"/>
    <col min="11" max="16384" width="9.140625" style="1"/>
  </cols>
  <sheetData>
    <row r="1" spans="1:10" x14ac:dyDescent="0.2">
      <c r="B1" s="40" t="s">
        <v>30</v>
      </c>
    </row>
    <row r="4" spans="1:10" x14ac:dyDescent="0.2">
      <c r="A4" s="1" t="s">
        <v>0</v>
      </c>
    </row>
    <row r="5" spans="1:10" x14ac:dyDescent="0.2">
      <c r="D5" s="2" t="s">
        <v>1</v>
      </c>
    </row>
    <row r="6" spans="1:10" x14ac:dyDescent="0.2">
      <c r="A6" s="3" t="s">
        <v>32</v>
      </c>
      <c r="B6" s="41" t="s">
        <v>31</v>
      </c>
    </row>
    <row r="8" spans="1:10" s="4" customFormat="1" x14ac:dyDescent="0.2">
      <c r="A8" s="1" t="s">
        <v>2</v>
      </c>
    </row>
    <row r="9" spans="1:10" s="4" customFormat="1" ht="12" x14ac:dyDescent="0.15"/>
    <row r="10" spans="1:10" x14ac:dyDescent="0.2">
      <c r="B10" s="5" t="s">
        <v>33</v>
      </c>
      <c r="C10" s="5" t="s">
        <v>34</v>
      </c>
      <c r="D10" s="5" t="s">
        <v>35</v>
      </c>
      <c r="E10" s="5" t="s">
        <v>3</v>
      </c>
    </row>
    <row r="11" spans="1:10" x14ac:dyDescent="0.2">
      <c r="A11" s="3" t="s">
        <v>4</v>
      </c>
      <c r="B11" s="38">
        <v>0</v>
      </c>
      <c r="C11" s="38">
        <v>5896</v>
      </c>
      <c r="D11" s="1">
        <f>B11+273.15</f>
        <v>273.14999999999998</v>
      </c>
      <c r="E11" s="6">
        <f>LN(C11)</f>
        <v>8.6820294338691717</v>
      </c>
      <c r="G11" s="40" t="s">
        <v>40</v>
      </c>
    </row>
    <row r="12" spans="1:10" x14ac:dyDescent="0.2">
      <c r="A12" s="3" t="s">
        <v>5</v>
      </c>
      <c r="B12" s="38">
        <v>50</v>
      </c>
      <c r="C12" s="38">
        <v>834</v>
      </c>
      <c r="D12" s="1">
        <f>B12+273.15</f>
        <v>323.14999999999998</v>
      </c>
      <c r="E12" s="6">
        <f>LN(C12)</f>
        <v>6.7262334023587469</v>
      </c>
    </row>
    <row r="13" spans="1:10" x14ac:dyDescent="0.2">
      <c r="A13" s="3" t="s">
        <v>6</v>
      </c>
      <c r="B13" s="38">
        <v>100</v>
      </c>
      <c r="C13" s="38">
        <v>187</v>
      </c>
      <c r="D13" s="1">
        <f>B13+273.15</f>
        <v>373.15</v>
      </c>
      <c r="E13" s="6">
        <f>LN(C13)</f>
        <v>5.2311086168545868</v>
      </c>
    </row>
    <row r="15" spans="1:10" x14ac:dyDescent="0.2">
      <c r="A15" s="1" t="s">
        <v>7</v>
      </c>
      <c r="B15" s="7">
        <f>E11-E12</f>
        <v>1.9557960315104248</v>
      </c>
    </row>
    <row r="16" spans="1:10" x14ac:dyDescent="0.2">
      <c r="A16" s="1" t="s">
        <v>8</v>
      </c>
      <c r="B16" s="7">
        <f>E11-E13</f>
        <v>3.4509208170145849</v>
      </c>
      <c r="F16" s="8"/>
      <c r="G16" s="8"/>
      <c r="H16" s="8"/>
      <c r="I16" s="8"/>
      <c r="J16" s="8"/>
    </row>
    <row r="17" spans="1:10" x14ac:dyDescent="0.2">
      <c r="A17" s="1" t="s">
        <v>9</v>
      </c>
      <c r="B17" s="7">
        <f>(1/D11) - (1/D12)</f>
        <v>5.6645398868434551E-4</v>
      </c>
      <c r="E17" s="9"/>
      <c r="F17" s="10"/>
      <c r="G17" s="11"/>
      <c r="H17" s="12"/>
      <c r="I17" s="13"/>
      <c r="J17" s="13"/>
    </row>
    <row r="18" spans="1:10" x14ac:dyDescent="0.2">
      <c r="A18" s="1" t="s">
        <v>10</v>
      </c>
      <c r="B18" s="7">
        <f>(1/D11)-(1/D13)</f>
        <v>9.8110468413960174E-4</v>
      </c>
      <c r="F18" s="10"/>
      <c r="G18" s="11"/>
      <c r="H18" s="12"/>
      <c r="I18" s="13"/>
      <c r="J18" s="13"/>
    </row>
    <row r="19" spans="1:10" x14ac:dyDescent="0.2">
      <c r="B19" s="7"/>
      <c r="F19" s="10"/>
      <c r="G19" s="11"/>
      <c r="H19" s="12"/>
      <c r="I19" s="13"/>
      <c r="J19" s="13"/>
    </row>
    <row r="20" spans="1:10" x14ac:dyDescent="0.2">
      <c r="A20" s="14" t="s">
        <v>11</v>
      </c>
      <c r="B20" s="15"/>
      <c r="F20" s="10"/>
      <c r="G20" s="11"/>
      <c r="H20" s="12"/>
      <c r="I20" s="13"/>
      <c r="J20" s="13"/>
    </row>
    <row r="21" spans="1:10" x14ac:dyDescent="0.2">
      <c r="A21" s="3" t="s">
        <v>12</v>
      </c>
      <c r="B21" s="16">
        <f>1/D11-B23*E11^3-B22*E11</f>
        <v>1.3017331448854658E-3</v>
      </c>
      <c r="E21" s="17"/>
      <c r="F21" s="10"/>
      <c r="G21" s="11"/>
      <c r="H21" s="12"/>
      <c r="I21" s="13"/>
      <c r="J21" s="13"/>
    </row>
    <row r="22" spans="1:10" x14ac:dyDescent="0.2">
      <c r="A22" s="3" t="s">
        <v>13</v>
      </c>
      <c r="B22" s="16">
        <f>(B17-B23*(E11^3-E12^3))/B15</f>
        <v>2.5873055639535946E-4</v>
      </c>
      <c r="E22" s="18"/>
      <c r="F22" s="10"/>
      <c r="G22" s="11"/>
      <c r="H22" s="12"/>
      <c r="I22" s="13"/>
      <c r="J22" s="13"/>
    </row>
    <row r="23" spans="1:10" x14ac:dyDescent="0.2">
      <c r="A23" s="3" t="s">
        <v>14</v>
      </c>
      <c r="B23" s="16">
        <f>(B17-B15*B18/B16)/((E11^3-E12^3)-B15*(E11^3-E13^3)/B16)</f>
        <v>1.7259681220354162E-7</v>
      </c>
      <c r="F23" s="10"/>
      <c r="G23" s="11"/>
      <c r="H23" s="12"/>
      <c r="I23" s="13"/>
      <c r="J23" s="13"/>
    </row>
    <row r="24" spans="1:10" x14ac:dyDescent="0.2">
      <c r="A24" s="3"/>
      <c r="B24" s="16"/>
      <c r="F24" s="10"/>
      <c r="G24" s="11"/>
      <c r="H24" s="12"/>
      <c r="I24" s="13"/>
      <c r="J24" s="13"/>
    </row>
    <row r="25" spans="1:10" x14ac:dyDescent="0.2">
      <c r="F25" s="10"/>
      <c r="G25" s="11"/>
      <c r="H25" s="12"/>
      <c r="I25" s="13"/>
      <c r="J25" s="13"/>
    </row>
    <row r="26" spans="1:10" x14ac:dyDescent="0.2">
      <c r="A26" s="19" t="s">
        <v>15</v>
      </c>
      <c r="B26" s="19"/>
      <c r="C26" s="5" t="s">
        <v>34</v>
      </c>
      <c r="D26" s="5" t="s">
        <v>16</v>
      </c>
      <c r="E26" s="5" t="s">
        <v>17</v>
      </c>
      <c r="F26" s="20" t="s">
        <v>18</v>
      </c>
      <c r="G26" s="21" t="s">
        <v>19</v>
      </c>
      <c r="H26" s="43"/>
      <c r="I26" s="13"/>
      <c r="J26" s="13"/>
    </row>
    <row r="27" spans="1:10" x14ac:dyDescent="0.2">
      <c r="A27" s="3" t="s">
        <v>36</v>
      </c>
      <c r="B27" s="39">
        <v>82.784999999999997</v>
      </c>
      <c r="C27" s="22">
        <f>EXP((G27-(F27/2))^(1/3)-(G27+(F27/2))^(1/3))</f>
        <v>299.99823693104491</v>
      </c>
      <c r="D27" s="22">
        <f>-1*C27/(B28^2*($B$22+3*$B$23*(LN(C27))^2))</f>
        <v>-8.5928281876929944</v>
      </c>
      <c r="E27" s="22">
        <f>D27/C27*100</f>
        <v>-2.864292895717274</v>
      </c>
      <c r="F27" s="23">
        <f>($B$21-(1/B28))/$B$23</f>
        <v>-8735.7846922674344</v>
      </c>
      <c r="G27" s="24">
        <f>SQRT(($B$22/(3*$B$23))^3+(F27^2)/4)</f>
        <v>11993.336842494071</v>
      </c>
    </row>
    <row r="28" spans="1:10" x14ac:dyDescent="0.2">
      <c r="A28" s="3" t="s">
        <v>37</v>
      </c>
      <c r="B28" s="42">
        <f>B27+273.15</f>
        <v>355.93499999999995</v>
      </c>
      <c r="G28" s="25"/>
    </row>
    <row r="29" spans="1:10" x14ac:dyDescent="0.2">
      <c r="E29" s="25"/>
    </row>
    <row r="31" spans="1:10" x14ac:dyDescent="0.2">
      <c r="A31" s="19" t="s">
        <v>20</v>
      </c>
      <c r="B31" s="19"/>
    </row>
    <row r="32" spans="1:10" x14ac:dyDescent="0.2">
      <c r="A32" s="3" t="s">
        <v>21</v>
      </c>
      <c r="B32" s="39">
        <v>2116</v>
      </c>
      <c r="C32" s="3" t="s">
        <v>38</v>
      </c>
      <c r="D32" s="26">
        <f>1/(B21+B22*LN(B32)+B23*(LN(B32))^3)-273.15</f>
        <v>24.433782594976378</v>
      </c>
      <c r="E32" s="3" t="s">
        <v>43</v>
      </c>
      <c r="F32" s="26">
        <f>(D32*9)/5 + 32</f>
        <v>75.980808670957487</v>
      </c>
    </row>
    <row r="33" spans="1:8" x14ac:dyDescent="0.2">
      <c r="A33" s="3"/>
      <c r="B33" s="27"/>
      <c r="C33" s="3"/>
      <c r="D33" s="26"/>
    </row>
    <row r="34" spans="1:8" x14ac:dyDescent="0.2">
      <c r="A34" s="3"/>
      <c r="B34" s="27"/>
      <c r="C34" s="3"/>
      <c r="D34" s="26"/>
    </row>
    <row r="35" spans="1:8" x14ac:dyDescent="0.2">
      <c r="A35" s="28" t="s">
        <v>22</v>
      </c>
      <c r="B35" s="27"/>
      <c r="C35" s="3"/>
      <c r="D35" s="26"/>
    </row>
    <row r="36" spans="1:8" s="29" customFormat="1" x14ac:dyDescent="0.2">
      <c r="A36" s="1"/>
      <c r="B36" s="8" t="s">
        <v>39</v>
      </c>
      <c r="C36" s="8" t="s">
        <v>34</v>
      </c>
      <c r="D36" s="8" t="s">
        <v>23</v>
      </c>
      <c r="E36" s="8" t="s">
        <v>18</v>
      </c>
      <c r="F36" s="8" t="s">
        <v>19</v>
      </c>
      <c r="G36" s="5" t="s">
        <v>41</v>
      </c>
      <c r="H36" s="5" t="s">
        <v>42</v>
      </c>
    </row>
    <row r="37" spans="1:8" x14ac:dyDescent="0.2">
      <c r="A37" s="3" t="s">
        <v>24</v>
      </c>
      <c r="B37" s="45">
        <v>0</v>
      </c>
      <c r="C37" s="11">
        <f t="shared" ref="C37:C50" si="0">EXP((F37-E37/2)^(1/3)-(F37+E37/2)^(1/3))</f>
        <v>5896.0000000000373</v>
      </c>
      <c r="D37" s="12">
        <f t="shared" ref="D37:D50" si="1">-1*C37/((B37+273.15)^2*($B$22+3*$B$23*(LN(C37))^2))</f>
        <v>-265.39220479198923</v>
      </c>
      <c r="E37" s="13">
        <f t="shared" ref="E37:E50" si="2">($B$21-(1/(B37+273.15)))/$B$23</f>
        <v>-13669.192112303952</v>
      </c>
      <c r="F37" s="13">
        <f t="shared" ref="F37:F50" si="3">SQRT(($B$22/(3*$B$23))^3+E37^2/4)</f>
        <v>13094.783248335205</v>
      </c>
      <c r="G37" s="1">
        <v>5896</v>
      </c>
      <c r="H37" s="22">
        <f>((C37-G37)/G37)*100</f>
        <v>6.3245052192486529E-13</v>
      </c>
    </row>
    <row r="38" spans="1:8" x14ac:dyDescent="0.2">
      <c r="A38" s="44"/>
      <c r="B38" s="45">
        <v>10</v>
      </c>
      <c r="C38" s="11">
        <f t="shared" si="0"/>
        <v>3808.414891536333</v>
      </c>
      <c r="D38" s="12">
        <f t="shared" si="1"/>
        <v>-161.6097884625415</v>
      </c>
      <c r="E38" s="13">
        <f t="shared" si="2"/>
        <v>-12920.075446606994</v>
      </c>
      <c r="F38" s="13">
        <f t="shared" si="3"/>
        <v>12903.245035905362</v>
      </c>
      <c r="G38" s="1">
        <v>3792</v>
      </c>
      <c r="H38" s="22">
        <f>((C38-G38)/G38)*100</f>
        <v>0.43288216076827574</v>
      </c>
    </row>
    <row r="39" spans="1:8" x14ac:dyDescent="0.2">
      <c r="A39" s="44"/>
      <c r="B39" s="45">
        <v>20</v>
      </c>
      <c r="C39" s="11">
        <f t="shared" si="0"/>
        <v>2521.6449590354036</v>
      </c>
      <c r="D39" s="12">
        <f t="shared" si="1"/>
        <v>-101.00944236917978</v>
      </c>
      <c r="E39" s="13">
        <f t="shared" si="2"/>
        <v>-12222.066859756835</v>
      </c>
      <c r="F39" s="13">
        <f t="shared" si="3"/>
        <v>12732.100166555545</v>
      </c>
      <c r="G39" s="1">
        <v>2500</v>
      </c>
      <c r="H39" s="22">
        <f t="shared" ref="H39:H50" si="4">((C39-G39)/G39)*100</f>
        <v>0.86579836141614575</v>
      </c>
    </row>
    <row r="40" spans="1:8" x14ac:dyDescent="0.2">
      <c r="A40" s="44"/>
      <c r="B40" s="45">
        <v>30</v>
      </c>
      <c r="C40" s="11">
        <f t="shared" si="0"/>
        <v>1708.2562205126562</v>
      </c>
      <c r="D40" s="12">
        <f t="shared" si="1"/>
        <v>-64.673358326135499</v>
      </c>
      <c r="E40" s="13">
        <f t="shared" si="2"/>
        <v>-11570.108649739936</v>
      </c>
      <c r="F40" s="13">
        <f t="shared" si="3"/>
        <v>12578.890992921788</v>
      </c>
      <c r="G40" s="1">
        <v>1707</v>
      </c>
      <c r="H40" s="22">
        <f t="shared" si="4"/>
        <v>7.3592297167910228E-2</v>
      </c>
    </row>
    <row r="41" spans="1:8" x14ac:dyDescent="0.2">
      <c r="A41" s="44"/>
      <c r="B41" s="45">
        <v>40</v>
      </c>
      <c r="C41" s="11">
        <f t="shared" si="0"/>
        <v>1181.9684944858236</v>
      </c>
      <c r="D41" s="12">
        <f t="shared" si="1"/>
        <v>-42.344040656851995</v>
      </c>
      <c r="E41" s="13">
        <f t="shared" si="2"/>
        <v>-10959.789156632945</v>
      </c>
      <c r="F41" s="13">
        <f t="shared" si="3"/>
        <v>12441.498690253293</v>
      </c>
      <c r="G41" s="1">
        <v>1175</v>
      </c>
      <c r="H41" s="22">
        <f t="shared" si="4"/>
        <v>0.59306336049562658</v>
      </c>
    </row>
    <row r="42" spans="1:8" x14ac:dyDescent="0.2">
      <c r="A42" s="44"/>
      <c r="B42" s="45">
        <v>50</v>
      </c>
      <c r="C42" s="11">
        <f t="shared" si="0"/>
        <v>833.99999999999784</v>
      </c>
      <c r="D42" s="12">
        <f t="shared" si="1"/>
        <v>-28.3052897107715</v>
      </c>
      <c r="E42" s="13">
        <f t="shared" si="2"/>
        <v>-10387.242802508286</v>
      </c>
      <c r="F42" s="13">
        <f t="shared" si="3"/>
        <v>12318.090287446232</v>
      </c>
      <c r="G42" s="1">
        <v>834</v>
      </c>
      <c r="H42" s="22">
        <f t="shared" si="4"/>
        <v>-2.5899879097250655E-13</v>
      </c>
    </row>
    <row r="43" spans="1:8" x14ac:dyDescent="0.2">
      <c r="A43" s="44"/>
      <c r="B43" s="45">
        <v>60</v>
      </c>
      <c r="C43" s="11">
        <f t="shared" si="0"/>
        <v>599.26407538138085</v>
      </c>
      <c r="D43" s="12">
        <f t="shared" si="1"/>
        <v>-19.28941184686386</v>
      </c>
      <c r="E43" s="13">
        <f t="shared" si="2"/>
        <v>-9849.0681340582287</v>
      </c>
      <c r="F43" s="13">
        <f t="shared" si="3"/>
        <v>12207.075032432725</v>
      </c>
      <c r="G43" s="1">
        <v>596</v>
      </c>
      <c r="H43" s="22">
        <f t="shared" si="4"/>
        <v>0.54766365459410216</v>
      </c>
    </row>
    <row r="44" spans="1:8" x14ac:dyDescent="0.2">
      <c r="A44" s="44"/>
      <c r="B44" s="45">
        <v>70</v>
      </c>
      <c r="C44" s="11">
        <f t="shared" si="0"/>
        <v>437.92724738971134</v>
      </c>
      <c r="D44" s="12">
        <f t="shared" si="1"/>
        <v>-13.383506071993269</v>
      </c>
      <c r="E44" s="13">
        <f t="shared" si="2"/>
        <v>-9342.2601955192913</v>
      </c>
      <c r="F44" s="13">
        <f t="shared" si="3"/>
        <v>12107.068243811471</v>
      </c>
      <c r="G44" s="1">
        <v>436</v>
      </c>
      <c r="H44" s="22">
        <f t="shared" si="4"/>
        <v>0.4420292178237018</v>
      </c>
    </row>
    <row r="45" spans="1:8" x14ac:dyDescent="0.2">
      <c r="A45" s="44"/>
      <c r="B45" s="46">
        <v>80</v>
      </c>
      <c r="C45" s="11">
        <f t="shared" si="0"/>
        <v>325.09152489819405</v>
      </c>
      <c r="D45" s="12">
        <f t="shared" si="1"/>
        <v>-9.442644924632086</v>
      </c>
      <c r="E45" s="13">
        <f t="shared" si="2"/>
        <v>-8864.15439140136</v>
      </c>
      <c r="F45" s="13">
        <f t="shared" si="3"/>
        <v>12016.861209931742</v>
      </c>
      <c r="G45" s="1">
        <v>323</v>
      </c>
      <c r="H45" s="22">
        <f t="shared" si="4"/>
        <v>0.64753092823345271</v>
      </c>
    </row>
    <row r="46" spans="1:8" s="30" customFormat="1" x14ac:dyDescent="0.2">
      <c r="A46" s="44"/>
      <c r="B46" s="47">
        <v>90</v>
      </c>
      <c r="C46" s="11">
        <f t="shared" si="0"/>
        <v>244.88467143704099</v>
      </c>
      <c r="D46" s="12">
        <f t="shared" si="1"/>
        <v>-6.7671880167442202</v>
      </c>
      <c r="E46" s="13">
        <f t="shared" si="2"/>
        <v>-8412.3796242718872</v>
      </c>
      <c r="F46" s="13">
        <f t="shared" si="3"/>
        <v>11935.396005404611</v>
      </c>
      <c r="G46" s="30">
        <v>243</v>
      </c>
      <c r="H46" s="22">
        <f t="shared" si="4"/>
        <v>0.77558495351481183</v>
      </c>
    </row>
    <row r="47" spans="1:8" x14ac:dyDescent="0.2">
      <c r="A47" s="44"/>
      <c r="B47" s="48">
        <v>100</v>
      </c>
      <c r="C47" s="11">
        <f t="shared" si="0"/>
        <v>187.00000000000219</v>
      </c>
      <c r="D47" s="12">
        <f t="shared" si="1"/>
        <v>-4.9212085004380235</v>
      </c>
      <c r="E47" s="13">
        <f t="shared" si="2"/>
        <v>-7984.8189676679121</v>
      </c>
      <c r="F47" s="13">
        <f t="shared" si="3"/>
        <v>11861.744330271138</v>
      </c>
      <c r="G47" s="1">
        <v>187</v>
      </c>
      <c r="H47" s="22">
        <f t="shared" si="4"/>
        <v>1.1703056824284002E-12</v>
      </c>
    </row>
    <row r="48" spans="1:8" x14ac:dyDescent="0.2">
      <c r="A48" s="44"/>
      <c r="B48" s="49">
        <v>110</v>
      </c>
      <c r="C48" s="11">
        <f t="shared" si="0"/>
        <v>144.62820453419695</v>
      </c>
      <c r="D48" s="12">
        <f t="shared" si="1"/>
        <v>-3.6280936156666264</v>
      </c>
      <c r="E48" s="13">
        <f t="shared" si="2"/>
        <v>-7579.5764974976573</v>
      </c>
      <c r="F48" s="13">
        <f t="shared" si="3"/>
        <v>11795.08965800883</v>
      </c>
      <c r="G48" s="1">
        <v>144</v>
      </c>
      <c r="H48" s="22">
        <f t="shared" si="4"/>
        <v>0.4362531487478844</v>
      </c>
    </row>
    <row r="49" spans="1:8" x14ac:dyDescent="0.2">
      <c r="A49" s="44"/>
      <c r="B49" s="49">
        <v>120</v>
      </c>
      <c r="C49" s="11">
        <f t="shared" si="0"/>
        <v>113.19707173106859</v>
      </c>
      <c r="D49" s="12">
        <f t="shared" si="1"/>
        <v>-2.7092886777375917</v>
      </c>
      <c r="E49" s="13">
        <f t="shared" si="2"/>
        <v>-7194.9491854182188</v>
      </c>
      <c r="F49" s="13">
        <f t="shared" si="3"/>
        <v>11734.712118978452</v>
      </c>
      <c r="G49" s="1">
        <v>113</v>
      </c>
      <c r="H49" s="22">
        <f t="shared" si="4"/>
        <v>0.17439976200760168</v>
      </c>
    </row>
    <row r="50" spans="1:8" x14ac:dyDescent="0.2">
      <c r="A50" s="44"/>
      <c r="B50" s="50">
        <v>130</v>
      </c>
      <c r="C50" s="11">
        <f t="shared" si="0"/>
        <v>89.589404670684473</v>
      </c>
      <c r="D50" s="12">
        <f t="shared" si="1"/>
        <v>-2.0476632961543095</v>
      </c>
      <c r="E50" s="13">
        <f t="shared" si="2"/>
        <v>-6829.4029752650849</v>
      </c>
      <c r="F50" s="13">
        <f t="shared" si="3"/>
        <v>11679.975655785933</v>
      </c>
      <c r="G50" s="1">
        <v>89</v>
      </c>
      <c r="H50" s="22">
        <f t="shared" si="4"/>
        <v>0.66225243897131836</v>
      </c>
    </row>
    <row r="51" spans="1:8" x14ac:dyDescent="0.2">
      <c r="A51" s="51" t="s">
        <v>33</v>
      </c>
      <c r="B51" s="51" t="s">
        <v>34</v>
      </c>
      <c r="C51" s="51" t="s">
        <v>29</v>
      </c>
      <c r="D51" s="51" t="s">
        <v>18</v>
      </c>
      <c r="E51" s="51" t="s">
        <v>19</v>
      </c>
    </row>
    <row r="52" spans="1:8" x14ac:dyDescent="0.2">
      <c r="A52" s="52">
        <f>H76</f>
        <v>-10</v>
      </c>
      <c r="B52" s="53">
        <f t="shared" ref="B52:B83" si="5">EXP((E52-D52/2)^(1/3)-(E52+D52/2)^(1/3))</f>
        <v>9376.3875722445409</v>
      </c>
      <c r="C52" s="54">
        <f t="shared" ref="C52:C83" si="6">-1*B52/((A52+273.15)^2*($B$22+3*$B$23*(LN(B52))^2))</f>
        <v>-448.29115946819536</v>
      </c>
      <c r="D52" s="55">
        <f t="shared" ref="D52:D83" si="7">($B$21-(1/(A52+273.15)))/$B$23</f>
        <v>-14475.243352631118</v>
      </c>
      <c r="E52" s="55">
        <f t="shared" ref="E52:E83" si="8">SQRT(($B$22/(3*$B$23))^3+D52^2/4)</f>
        <v>13309.575973695968</v>
      </c>
    </row>
    <row r="53" spans="1:8" x14ac:dyDescent="0.2">
      <c r="A53" s="56">
        <f t="shared" ref="A53:A84" si="9">IF(A52&lt;$H$77,A52+$H$78,$H$77)</f>
        <v>-8</v>
      </c>
      <c r="B53" s="53">
        <f t="shared" si="5"/>
        <v>8526.2820769176087</v>
      </c>
      <c r="C53" s="54">
        <f t="shared" si="6"/>
        <v>-402.71453939768634</v>
      </c>
      <c r="D53" s="55">
        <f t="shared" si="7"/>
        <v>-14309.169133287074</v>
      </c>
      <c r="E53" s="55">
        <f t="shared" si="8"/>
        <v>13264.604230483699</v>
      </c>
    </row>
    <row r="54" spans="1:8" x14ac:dyDescent="0.2">
      <c r="A54" s="56">
        <f t="shared" si="9"/>
        <v>-6</v>
      </c>
      <c r="B54" s="53">
        <f t="shared" si="5"/>
        <v>7762.1519056627703</v>
      </c>
      <c r="C54" s="54">
        <f t="shared" si="6"/>
        <v>-362.20719905409464</v>
      </c>
      <c r="D54" s="55">
        <f t="shared" si="7"/>
        <v>-14145.581520259242</v>
      </c>
      <c r="E54" s="55">
        <f t="shared" si="8"/>
        <v>13220.66617862682</v>
      </c>
    </row>
    <row r="55" spans="1:8" x14ac:dyDescent="0.2">
      <c r="A55" s="56">
        <f t="shared" si="9"/>
        <v>-4</v>
      </c>
      <c r="B55" s="53">
        <f t="shared" si="5"/>
        <v>7074.4814422584004</v>
      </c>
      <c r="C55" s="54">
        <f t="shared" si="6"/>
        <v>-326.16021744510908</v>
      </c>
      <c r="D55" s="55">
        <f t="shared" si="7"/>
        <v>-13984.425081119993</v>
      </c>
      <c r="E55" s="55">
        <f t="shared" si="8"/>
        <v>13177.734300040984</v>
      </c>
    </row>
    <row r="56" spans="1:8" x14ac:dyDescent="0.2">
      <c r="A56" s="56">
        <f t="shared" si="9"/>
        <v>-2</v>
      </c>
      <c r="B56" s="53">
        <f t="shared" si="5"/>
        <v>6454.89274331453</v>
      </c>
      <c r="C56" s="54">
        <f t="shared" si="6"/>
        <v>-294.04292090897314</v>
      </c>
      <c r="D56" s="55">
        <f t="shared" si="7"/>
        <v>-13825.646018918071</v>
      </c>
      <c r="E56" s="55">
        <f t="shared" si="8"/>
        <v>13135.781934480277</v>
      </c>
    </row>
    <row r="57" spans="1:8" x14ac:dyDescent="0.2">
      <c r="A57" s="56">
        <f t="shared" si="9"/>
        <v>0</v>
      </c>
      <c r="B57" s="53">
        <f t="shared" si="5"/>
        <v>5896.0000000000373</v>
      </c>
      <c r="C57" s="54">
        <f t="shared" si="6"/>
        <v>-265.39220479198923</v>
      </c>
      <c r="D57" s="55">
        <f t="shared" si="7"/>
        <v>-13669.192112303952</v>
      </c>
      <c r="E57" s="55">
        <f t="shared" si="8"/>
        <v>13094.783248335205</v>
      </c>
    </row>
    <row r="58" spans="1:8" x14ac:dyDescent="0.2">
      <c r="A58" s="56">
        <f t="shared" si="9"/>
        <v>2</v>
      </c>
      <c r="B58" s="53">
        <f t="shared" si="5"/>
        <v>5391.2837755035998</v>
      </c>
      <c r="C58" s="54">
        <f t="shared" si="6"/>
        <v>-239.80339376518097</v>
      </c>
      <c r="D58" s="55">
        <f t="shared" si="7"/>
        <v>-13515.012658266449</v>
      </c>
      <c r="E58" s="55">
        <f t="shared" si="8"/>
        <v>13054.713204754356</v>
      </c>
    </row>
    <row r="59" spans="1:8" x14ac:dyDescent="0.2">
      <c r="A59" s="56">
        <f t="shared" si="9"/>
        <v>4</v>
      </c>
      <c r="B59" s="53">
        <f t="shared" si="5"/>
        <v>4934.982180648135</v>
      </c>
      <c r="C59" s="54">
        <f t="shared" si="6"/>
        <v>-216.92240780661041</v>
      </c>
      <c r="D59" s="55">
        <f t="shared" si="7"/>
        <v>-13363.058417348737</v>
      </c>
      <c r="E59" s="55">
        <f t="shared" si="8"/>
        <v>13015.547535024443</v>
      </c>
    </row>
    <row r="60" spans="1:8" x14ac:dyDescent="0.2">
      <c r="A60" s="56">
        <f t="shared" si="9"/>
        <v>6</v>
      </c>
      <c r="B60" s="53">
        <f t="shared" si="5"/>
        <v>4521.9965779871109</v>
      </c>
      <c r="C60" s="54">
        <f t="shared" si="6"/>
        <v>-196.43903779819681</v>
      </c>
      <c r="D60" s="55">
        <f t="shared" si="7"/>
        <v>-13213.281561219384</v>
      </c>
      <c r="E60" s="55">
        <f t="shared" si="8"/>
        <v>12977.262711147032</v>
      </c>
    </row>
    <row r="61" spans="1:8" x14ac:dyDescent="0.2">
      <c r="A61" s="56">
        <f t="shared" si="9"/>
        <v>8</v>
      </c>
      <c r="B61" s="53">
        <f t="shared" si="5"/>
        <v>4147.8097650749323</v>
      </c>
      <c r="C61" s="54">
        <f t="shared" si="6"/>
        <v>-178.08116550425373</v>
      </c>
      <c r="D61" s="55">
        <f t="shared" si="7"/>
        <v>-13065.63562248117</v>
      </c>
      <c r="E61" s="55">
        <f t="shared" si="8"/>
        <v>12939.835919553785</v>
      </c>
    </row>
    <row r="62" spans="1:8" x14ac:dyDescent="0.2">
      <c r="A62" s="56">
        <f t="shared" si="9"/>
        <v>10</v>
      </c>
      <c r="B62" s="53">
        <f t="shared" si="5"/>
        <v>3808.414891536333</v>
      </c>
      <c r="C62" s="54">
        <f t="shared" si="6"/>
        <v>-161.6097884625415</v>
      </c>
      <c r="D62" s="55">
        <f t="shared" si="7"/>
        <v>-12920.075446606994</v>
      </c>
      <c r="E62" s="55">
        <f t="shared" si="8"/>
        <v>12903.245035905362</v>
      </c>
    </row>
    <row r="63" spans="1:8" x14ac:dyDescent="0.2">
      <c r="A63" s="56">
        <f t="shared" si="9"/>
        <v>12</v>
      </c>
      <c r="B63" s="53">
        <f t="shared" si="5"/>
        <v>3500.2536212936948</v>
      </c>
      <c r="C63" s="54">
        <f t="shared" si="6"/>
        <v>-146.81473189044655</v>
      </c>
      <c r="D63" s="55">
        <f t="shared" si="7"/>
        <v>-12776.557145898507</v>
      </c>
      <c r="E63" s="55">
        <f t="shared" si="8"/>
        <v>12867.468600922044</v>
      </c>
    </row>
    <row r="64" spans="1:8" x14ac:dyDescent="0.2">
      <c r="A64" s="56">
        <f t="shared" si="9"/>
        <v>14</v>
      </c>
      <c r="B64" s="53">
        <f t="shared" si="5"/>
        <v>3220.1622684860827</v>
      </c>
      <c r="C64" s="54">
        <f t="shared" si="6"/>
        <v>-133.51094779812681</v>
      </c>
      <c r="D64" s="55">
        <f t="shared" si="7"/>
        <v>-12635.03805536879</v>
      </c>
      <c r="E64" s="55">
        <f t="shared" si="8"/>
        <v>12832.485797197149</v>
      </c>
    </row>
    <row r="65" spans="1:8" x14ac:dyDescent="0.2">
      <c r="A65" s="56">
        <f t="shared" si="9"/>
        <v>16</v>
      </c>
      <c r="B65" s="53">
        <f t="shared" si="5"/>
        <v>2965.3248196013456</v>
      </c>
      <c r="C65" s="54">
        <f t="shared" si="6"/>
        <v>-121.53531669257717</v>
      </c>
      <c r="D65" s="55">
        <f t="shared" si="7"/>
        <v>-12495.476690455947</v>
      </c>
      <c r="E65" s="55">
        <f t="shared" si="8"/>
        <v>12798.276426946877</v>
      </c>
    </row>
    <row r="66" spans="1:8" x14ac:dyDescent="0.2">
      <c r="A66" s="56">
        <f t="shared" si="9"/>
        <v>18</v>
      </c>
      <c r="B66" s="53">
        <f t="shared" si="5"/>
        <v>2733.231910426809</v>
      </c>
      <c r="C66" s="54">
        <f t="shared" si="6"/>
        <v>-110.74388003405912</v>
      </c>
      <c r="D66" s="55">
        <f t="shared" si="7"/>
        <v>-12357.832706479569</v>
      </c>
      <c r="E66" s="55">
        <f t="shared" si="8"/>
        <v>12764.820890652802</v>
      </c>
    </row>
    <row r="67" spans="1:8" x14ac:dyDescent="0.2">
      <c r="A67" s="56">
        <f t="shared" si="9"/>
        <v>20</v>
      </c>
      <c r="B67" s="53">
        <f t="shared" si="5"/>
        <v>2521.6449590354036</v>
      </c>
      <c r="C67" s="54">
        <f t="shared" si="6"/>
        <v>-101.00944236917978</v>
      </c>
      <c r="D67" s="55">
        <f t="shared" si="7"/>
        <v>-12222.066859756835</v>
      </c>
      <c r="E67" s="55">
        <f t="shared" si="8"/>
        <v>12732.100166555545</v>
      </c>
    </row>
    <row r="68" spans="1:8" x14ac:dyDescent="0.2">
      <c r="A68" s="56">
        <f t="shared" si="9"/>
        <v>22</v>
      </c>
      <c r="B68" s="53">
        <f t="shared" si="5"/>
        <v>2328.5647688379408</v>
      </c>
      <c r="C68" s="54">
        <f t="shared" si="6"/>
        <v>-92.219491143370234</v>
      </c>
      <c r="D68" s="55">
        <f t="shared" si="7"/>
        <v>-12088.140970299524</v>
      </c>
      <c r="E68" s="55">
        <f t="shared" si="8"/>
        <v>12700.095790960422</v>
      </c>
    </row>
    <row r="69" spans="1:8" x14ac:dyDescent="0.2">
      <c r="A69" s="56">
        <f t="shared" si="9"/>
        <v>24</v>
      </c>
      <c r="B69" s="53">
        <f t="shared" si="5"/>
        <v>2152.2040118447776</v>
      </c>
      <c r="C69" s="54">
        <f t="shared" si="6"/>
        <v>-84.274389864443648</v>
      </c>
      <c r="D69" s="55">
        <f t="shared" si="7"/>
        <v>-11956.017886017478</v>
      </c>
      <c r="E69" s="55">
        <f t="shared" si="8"/>
        <v>12668.789839317906</v>
      </c>
    </row>
    <row r="70" spans="1:8" x14ac:dyDescent="0.2">
      <c r="A70" s="56">
        <f t="shared" si="9"/>
        <v>26</v>
      </c>
      <c r="B70" s="53">
        <f t="shared" si="5"/>
        <v>1990.9630842699025</v>
      </c>
      <c r="C70" s="54">
        <f t="shared" si="6"/>
        <v>-77.08580677604894</v>
      </c>
      <c r="D70" s="55">
        <f t="shared" si="7"/>
        <v>-11825.661448357958</v>
      </c>
      <c r="E70" s="55">
        <f t="shared" si="8"/>
        <v>12638.164908043693</v>
      </c>
    </row>
    <row r="71" spans="1:8" x14ac:dyDescent="0.2">
      <c r="A71" s="56">
        <f t="shared" si="9"/>
        <v>28</v>
      </c>
      <c r="B71" s="53">
        <f t="shared" si="5"/>
        <v>1843.4088966443524</v>
      </c>
      <c r="C71" s="54">
        <f t="shared" si="6"/>
        <v>-70.575346694813902</v>
      </c>
      <c r="D71" s="55">
        <f t="shared" si="7"/>
        <v>-11697.036459314204</v>
      </c>
      <c r="E71" s="55">
        <f t="shared" si="8"/>
        <v>12608.204097045051</v>
      </c>
    </row>
    <row r="72" spans="1:8" x14ac:dyDescent="0.2">
      <c r="A72" s="56">
        <f t="shared" si="9"/>
        <v>30</v>
      </c>
      <c r="B72" s="53">
        <f t="shared" si="5"/>
        <v>1708.2562205126562</v>
      </c>
      <c r="C72" s="54">
        <f t="shared" si="6"/>
        <v>-64.673358326135499</v>
      </c>
      <c r="D72" s="55">
        <f t="shared" si="7"/>
        <v>-11570.108649739936</v>
      </c>
      <c r="E72" s="55">
        <f t="shared" si="8"/>
        <v>12578.890992921788</v>
      </c>
    </row>
    <row r="73" spans="1:8" x14ac:dyDescent="0.2">
      <c r="A73" s="56">
        <f t="shared" si="9"/>
        <v>32</v>
      </c>
      <c r="B73" s="53">
        <f t="shared" si="5"/>
        <v>1584.3512650876803</v>
      </c>
      <c r="C73" s="54">
        <f t="shared" si="6"/>
        <v>-59.31789333242029</v>
      </c>
      <c r="D73" s="55">
        <f t="shared" si="7"/>
        <v>-11444.844648909881</v>
      </c>
      <c r="E73" s="55">
        <f t="shared" si="8"/>
        <v>12550.209652811878</v>
      </c>
    </row>
    <row r="74" spans="1:8" x14ac:dyDescent="0.2">
      <c r="A74" s="56">
        <f t="shared" si="9"/>
        <v>34</v>
      </c>
      <c r="B74" s="53">
        <f t="shared" si="5"/>
        <v>1470.6572012356762</v>
      </c>
      <c r="C74" s="54">
        <f t="shared" si="6"/>
        <v>-54.453796794671788</v>
      </c>
      <c r="D74" s="55">
        <f t="shared" si="7"/>
        <v>-11321.21195526954</v>
      </c>
      <c r="E74" s="55">
        <f t="shared" si="8"/>
        <v>12522.144588853247</v>
      </c>
    </row>
    <row r="75" spans="1:8" x14ac:dyDescent="0.2">
      <c r="A75" s="56">
        <f t="shared" si="9"/>
        <v>36</v>
      </c>
      <c r="B75" s="53">
        <f t="shared" si="5"/>
        <v>1366.2413879366754</v>
      </c>
      <c r="C75" s="54">
        <f t="shared" si="6"/>
        <v>-50.031911575644997</v>
      </c>
      <c r="D75" s="55">
        <f t="shared" si="7"/>
        <v>-11199.178908320326</v>
      </c>
      <c r="E75" s="55">
        <f t="shared" si="8"/>
        <v>12494.680753234708</v>
      </c>
      <c r="G75" s="19" t="s">
        <v>25</v>
      </c>
    </row>
    <row r="76" spans="1:8" x14ac:dyDescent="0.2">
      <c r="A76" s="56">
        <f t="shared" si="9"/>
        <v>38</v>
      </c>
      <c r="B76" s="53">
        <f t="shared" si="5"/>
        <v>1270.2640888399874</v>
      </c>
      <c r="C76" s="54">
        <f t="shared" si="6"/>
        <v>-46.008381537809903</v>
      </c>
      <c r="D76" s="55">
        <f t="shared" si="7"/>
        <v>-11078.714661589003</v>
      </c>
      <c r="E76" s="55">
        <f t="shared" si="8"/>
        <v>12467.803523810397</v>
      </c>
      <c r="F76" s="31" t="s">
        <v>26</v>
      </c>
      <c r="H76" s="32">
        <v>-10</v>
      </c>
    </row>
    <row r="77" spans="1:8" x14ac:dyDescent="0.2">
      <c r="A77" s="56">
        <f t="shared" si="9"/>
        <v>40</v>
      </c>
      <c r="B77" s="53">
        <f t="shared" si="5"/>
        <v>1181.9684944858236</v>
      </c>
      <c r="C77" s="54">
        <f t="shared" si="6"/>
        <v>-42.344040656851995</v>
      </c>
      <c r="D77" s="55">
        <f t="shared" si="7"/>
        <v>-10959.789156632945</v>
      </c>
      <c r="E77" s="55">
        <f t="shared" si="8"/>
        <v>12441.498690253293</v>
      </c>
      <c r="F77" s="31" t="s">
        <v>27</v>
      </c>
      <c r="H77" s="32">
        <v>130</v>
      </c>
    </row>
    <row r="78" spans="1:8" x14ac:dyDescent="0.2">
      <c r="A78" s="56">
        <f t="shared" si="9"/>
        <v>42</v>
      </c>
      <c r="B78" s="53">
        <f t="shared" si="5"/>
        <v>1100.671889850837</v>
      </c>
      <c r="C78" s="54">
        <f t="shared" si="6"/>
        <v>-39.003876855898064</v>
      </c>
      <c r="D78" s="55">
        <f t="shared" si="7"/>
        <v>-10842.37309803521</v>
      </c>
      <c r="E78" s="55">
        <f t="shared" si="8"/>
        <v>12415.752440724709</v>
      </c>
      <c r="F78" s="31" t="s">
        <v>28</v>
      </c>
      <c r="H78" s="33">
        <v>2</v>
      </c>
    </row>
    <row r="79" spans="1:8" x14ac:dyDescent="0.2">
      <c r="A79" s="56">
        <f t="shared" si="9"/>
        <v>44</v>
      </c>
      <c r="B79" s="53">
        <f t="shared" si="5"/>
        <v>1025.7578276594795</v>
      </c>
      <c r="C79" s="54">
        <f t="shared" si="6"/>
        <v>-35.956560913061352</v>
      </c>
      <c r="D79" s="55">
        <f t="shared" si="7"/>
        <v>-10726.43792934569</v>
      </c>
      <c r="E79" s="55">
        <f t="shared" si="8"/>
        <v>12390.551349037645</v>
      </c>
    </row>
    <row r="80" spans="1:8" x14ac:dyDescent="0.2">
      <c r="A80" s="56">
        <f t="shared" si="9"/>
        <v>46</v>
      </c>
      <c r="B80" s="53">
        <f t="shared" si="5"/>
        <v>956.66918585453777</v>
      </c>
      <c r="C80" s="54">
        <f t="shared" si="6"/>
        <v>-33.174032103737702</v>
      </c>
      <c r="D80" s="55">
        <f t="shared" si="7"/>
        <v>-10611.955809926914</v>
      </c>
      <c r="E80" s="55">
        <f t="shared" si="8"/>
        <v>12365.88236229314</v>
      </c>
    </row>
    <row r="81" spans="1:5" x14ac:dyDescent="0.2">
      <c r="A81" s="56">
        <f t="shared" si="9"/>
        <v>48</v>
      </c>
      <c r="B81" s="53">
        <f t="shared" si="5"/>
        <v>892.90200314599588</v>
      </c>
      <c r="C81" s="54">
        <f t="shared" si="6"/>
        <v>-30.631133362083052</v>
      </c>
      <c r="D81" s="55">
        <f t="shared" si="7"/>
        <v>-10498.899592664995</v>
      </c>
      <c r="E81" s="55">
        <f t="shared" si="8"/>
        <v>12341.732788969604</v>
      </c>
    </row>
    <row r="82" spans="1:5" x14ac:dyDescent="0.2">
      <c r="A82" s="56">
        <f t="shared" si="9"/>
        <v>50</v>
      </c>
      <c r="B82" s="53">
        <f t="shared" si="5"/>
        <v>833.99999999999784</v>
      </c>
      <c r="C82" s="54">
        <f t="shared" si="6"/>
        <v>-28.3052897107715</v>
      </c>
      <c r="D82" s="55">
        <f t="shared" si="7"/>
        <v>-10387.242802508286</v>
      </c>
      <c r="E82" s="55">
        <f t="shared" si="8"/>
        <v>12318.090287446232</v>
      </c>
    </row>
    <row r="83" spans="1:5" x14ac:dyDescent="0.2">
      <c r="A83" s="56">
        <f t="shared" si="9"/>
        <v>52</v>
      </c>
      <c r="B83" s="53">
        <f t="shared" si="5"/>
        <v>779.54970408037605</v>
      </c>
      <c r="C83" s="54">
        <f t="shared" si="6"/>
        <v>-26.176224537717463</v>
      </c>
      <c r="D83" s="55">
        <f t="shared" si="7"/>
        <v>-10276.95961579807</v>
      </c>
      <c r="E83" s="55">
        <f t="shared" si="8"/>
        <v>12294.942854942363</v>
      </c>
    </row>
    <row r="84" spans="1:5" x14ac:dyDescent="0.2">
      <c r="A84" s="56">
        <f t="shared" si="9"/>
        <v>54</v>
      </c>
      <c r="B84" s="53">
        <f t="shared" ref="B84:B105" si="10">EXP((E84-D84/2)^(1/3)-(E84+D84/2)^(1/3))</f>
        <v>729.17610926642794</v>
      </c>
      <c r="C84" s="54">
        <f t="shared" ref="C84:C105" si="11">-1*B84/((A84+273.15)^2*($B$22+3*$B$23*(LN(B84))^2))</f>
        <v>-24.225709012765989</v>
      </c>
      <c r="D84" s="55">
        <f t="shared" ref="D84:D105" si="12">($B$21-(1/(A84+273.15)))/$B$23</f>
        <v>-10168.024840357424</v>
      </c>
      <c r="E84" s="55">
        <f t="shared" ref="E84:E105" si="13">SQRT(($B$22/(3*$B$23))^3+D84^2/4)</f>
        <v>12272.278816855636</v>
      </c>
    </row>
    <row r="85" spans="1:5" x14ac:dyDescent="0.2">
      <c r="A85" s="56">
        <f t="shared" ref="A85:A116" si="14">IF(A84&lt;$H$77,A84+$H$78,$H$77)</f>
        <v>56</v>
      </c>
      <c r="B85" s="53">
        <f t="shared" si="10"/>
        <v>682.53880615343837</v>
      </c>
      <c r="C85" s="54">
        <f t="shared" si="11"/>
        <v>-22.437340553061738</v>
      </c>
      <c r="D85" s="55">
        <f t="shared" si="12"/>
        <v>-10060.413896306001</v>
      </c>
      <c r="E85" s="55">
        <f t="shared" si="13"/>
        <v>12250.086816482522</v>
      </c>
    </row>
    <row r="86" spans="1:5" x14ac:dyDescent="0.2">
      <c r="A86" s="56">
        <f t="shared" si="14"/>
        <v>58</v>
      </c>
      <c r="B86" s="53">
        <f t="shared" si="10"/>
        <v>639.32852958067315</v>
      </c>
      <c r="C86" s="54">
        <f t="shared" si="11"/>
        <v>-20.796346777145491</v>
      </c>
      <c r="D86" s="55">
        <f t="shared" si="12"/>
        <v>-9954.1027975700108</v>
      </c>
      <c r="E86" s="55">
        <f t="shared" si="13"/>
        <v>12228.355805105604</v>
      </c>
    </row>
    <row r="87" spans="1:5" x14ac:dyDescent="0.2">
      <c r="A87" s="56">
        <f t="shared" si="14"/>
        <v>60</v>
      </c>
      <c r="B87" s="53">
        <f t="shared" si="10"/>
        <v>599.26407538138085</v>
      </c>
      <c r="C87" s="54">
        <f t="shared" si="11"/>
        <v>-19.28941184686386</v>
      </c>
      <c r="D87" s="55">
        <f t="shared" si="12"/>
        <v>-9849.0681340582287</v>
      </c>
      <c r="E87" s="55">
        <f t="shared" si="13"/>
        <v>12207.075032432725</v>
      </c>
    </row>
    <row r="88" spans="1:5" x14ac:dyDescent="0.2">
      <c r="A88" s="56">
        <f t="shared" si="14"/>
        <v>62</v>
      </c>
      <c r="B88" s="53">
        <f t="shared" si="10"/>
        <v>562.08954434452789</v>
      </c>
      <c r="C88" s="54">
        <f t="shared" si="11"/>
        <v>-17.904522493180281</v>
      </c>
      <c r="D88" s="55">
        <f t="shared" si="12"/>
        <v>-9745.2870544761663</v>
      </c>
      <c r="E88" s="55">
        <f t="shared" si="13"/>
        <v>12186.234037373784</v>
      </c>
    </row>
    <row r="89" spans="1:5" x14ac:dyDescent="0.2">
      <c r="A89" s="56">
        <f t="shared" si="14"/>
        <v>64</v>
      </c>
      <c r="B89" s="53">
        <f t="shared" si="10"/>
        <v>527.57187643409475</v>
      </c>
      <c r="C89" s="54">
        <f t="shared" si="11"/>
        <v>-16.630831365711252</v>
      </c>
      <c r="D89" s="55">
        <f t="shared" si="12"/>
        <v>-9642.73724975197</v>
      </c>
      <c r="E89" s="55">
        <f t="shared" si="13"/>
        <v>12165.822639141617</v>
      </c>
    </row>
    <row r="90" spans="1:5" x14ac:dyDescent="0.2">
      <c r="A90" s="56">
        <f t="shared" si="14"/>
        <v>66</v>
      </c>
      <c r="B90" s="53">
        <f t="shared" si="10"/>
        <v>495.49864272664865</v>
      </c>
      <c r="C90" s="54">
        <f t="shared" si="11"/>
        <v>-15.45853564371872</v>
      </c>
      <c r="D90" s="55">
        <f t="shared" si="12"/>
        <v>-9541.3969370486993</v>
      </c>
      <c r="E90" s="55">
        <f t="shared" si="13"/>
        <v>12145.830928664071</v>
      </c>
    </row>
    <row r="91" spans="1:5" x14ac:dyDescent="0.2">
      <c r="A91" s="57">
        <f t="shared" si="14"/>
        <v>68</v>
      </c>
      <c r="B91" s="58">
        <f t="shared" si="10"/>
        <v>465.67606638827505</v>
      </c>
      <c r="C91" s="59">
        <f t="shared" si="11"/>
        <v>-14.378769104795282</v>
      </c>
      <c r="D91" s="60">
        <f t="shared" si="12"/>
        <v>-9441.2448443390149</v>
      </c>
      <c r="E91" s="60">
        <f t="shared" si="13"/>
        <v>12126.249260294861</v>
      </c>
    </row>
    <row r="92" spans="1:5" x14ac:dyDescent="0.2">
      <c r="A92" s="57">
        <f t="shared" si="14"/>
        <v>70</v>
      </c>
      <c r="B92" s="58">
        <f t="shared" si="10"/>
        <v>437.92724738971134</v>
      </c>
      <c r="C92" s="59">
        <f t="shared" si="11"/>
        <v>-13.383506071993269</v>
      </c>
      <c r="D92" s="60">
        <f t="shared" si="12"/>
        <v>-9342.2601955192913</v>
      </c>
      <c r="E92" s="60">
        <f t="shared" si="13"/>
        <v>12107.068243811471</v>
      </c>
    </row>
    <row r="93" spans="1:5" x14ac:dyDescent="0.2">
      <c r="A93" s="57">
        <f t="shared" si="14"/>
        <v>72</v>
      </c>
      <c r="B93" s="58">
        <f t="shared" si="10"/>
        <v>412.0905686169346</v>
      </c>
      <c r="C93" s="59">
        <f t="shared" si="11"/>
        <v>-12.465475855343239</v>
      </c>
      <c r="D93" s="60">
        <f t="shared" si="12"/>
        <v>-9244.4226960412379</v>
      </c>
      <c r="E93" s="60">
        <f t="shared" si="13"/>
        <v>12088.278736688808</v>
      </c>
    </row>
    <row r="94" spans="1:5" x14ac:dyDescent="0.2">
      <c r="A94" s="57">
        <f t="shared" si="14"/>
        <v>74</v>
      </c>
      <c r="B94" s="58">
        <f t="shared" si="10"/>
        <v>388.01826362907013</v>
      </c>
      <c r="C94" s="59">
        <f t="shared" si="11"/>
        <v>-11.618086473612109</v>
      </c>
      <c r="D94" s="60">
        <f t="shared" si="12"/>
        <v>-9147.7125190402494</v>
      </c>
      <c r="E94" s="60">
        <f t="shared" si="13"/>
        <v>12069.871836637853</v>
      </c>
    </row>
    <row r="95" spans="1:5" x14ac:dyDescent="0.2">
      <c r="A95" s="57">
        <f t="shared" si="14"/>
        <v>76</v>
      </c>
      <c r="B95" s="58">
        <f t="shared" si="10"/>
        <v>365.57512859232293</v>
      </c>
      <c r="C95" s="59">
        <f t="shared" si="11"/>
        <v>-10.835356590163427</v>
      </c>
      <c r="D95" s="60">
        <f t="shared" si="12"/>
        <v>-9052.1102919404602</v>
      </c>
      <c r="E95" s="60">
        <f t="shared" si="13"/>
        <v>12051.838874399033</v>
      </c>
    </row>
    <row r="96" spans="1:5" x14ac:dyDescent="0.2">
      <c r="A96" s="57">
        <f t="shared" si="14"/>
        <v>78</v>
      </c>
      <c r="B96" s="58">
        <f t="shared" si="10"/>
        <v>344.63736291882623</v>
      </c>
      <c r="C96" s="59">
        <f t="shared" si="11"/>
        <v>-10.111854725860519</v>
      </c>
      <c r="D96" s="60">
        <f t="shared" si="12"/>
        <v>-8957.5970835175867</v>
      </c>
      <c r="E96" s="60">
        <f t="shared" si="13"/>
        <v>12034.171406780479</v>
      </c>
    </row>
    <row r="97" spans="1:5" x14ac:dyDescent="0.2">
      <c r="A97" s="57">
        <f t="shared" si="14"/>
        <v>80</v>
      </c>
      <c r="B97" s="58">
        <f t="shared" si="10"/>
        <v>325.09152489819405</v>
      </c>
      <c r="C97" s="59">
        <f t="shared" si="11"/>
        <v>-9.442644924632086</v>
      </c>
      <c r="D97" s="60">
        <f t="shared" si="12"/>
        <v>-8864.15439140136</v>
      </c>
      <c r="E97" s="60">
        <f t="shared" si="13"/>
        <v>12016.861209931742</v>
      </c>
    </row>
    <row r="98" spans="1:5" x14ac:dyDescent="0.2">
      <c r="A98" s="57">
        <f t="shared" si="14"/>
        <v>82</v>
      </c>
      <c r="B98" s="58">
        <f t="shared" si="10"/>
        <v>306.83359015776551</v>
      </c>
      <c r="C98" s="59">
        <f t="shared" si="11"/>
        <v>-8.8232381457795714</v>
      </c>
      <c r="D98" s="60">
        <f t="shared" si="12"/>
        <v>-8771.7641300002215</v>
      </c>
      <c r="E98" s="60">
        <f t="shared" si="13"/>
        <v>11999.900272844012</v>
      </c>
    </row>
    <row r="99" spans="1:5" x14ac:dyDescent="0.2">
      <c r="A99" s="57">
        <f t="shared" si="14"/>
        <v>84</v>
      </c>
      <c r="B99" s="58">
        <f t="shared" si="10"/>
        <v>289.76810215128785</v>
      </c>
      <c r="C99" s="59">
        <f t="shared" si="11"/>
        <v>-8.249548743215966</v>
      </c>
      <c r="D99" s="60">
        <f t="shared" si="12"/>
        <v>-8680.4086188317742</v>
      </c>
      <c r="E99" s="60">
        <f t="shared" si="13"/>
        <v>11983.280791068211</v>
      </c>
    </row>
    <row r="100" spans="1:5" x14ac:dyDescent="0.2">
      <c r="A100" s="57">
        <f t="shared" si="14"/>
        <v>86</v>
      </c>
      <c r="B100" s="58">
        <f t="shared" si="10"/>
        <v>273.80740507823373</v>
      </c>
      <c r="C100" s="59">
        <f t="shared" si="11"/>
        <v>-7.7178554672089392</v>
      </c>
      <c r="D100" s="60">
        <f t="shared" si="12"/>
        <v>-8590.0705712430954</v>
      </c>
      <c r="E100" s="60">
        <f t="shared" si="13"/>
        <v>11966.995160642722</v>
      </c>
    </row>
    <row r="101" spans="1:5" x14ac:dyDescent="0.2">
      <c r="A101" s="57">
        <f t="shared" si="14"/>
        <v>88</v>
      </c>
      <c r="B101" s="58">
        <f t="shared" si="10"/>
        <v>258.87095069757606</v>
      </c>
      <c r="C101" s="59">
        <f t="shared" si="11"/>
        <v>-7.2247664902679869</v>
      </c>
      <c r="D101" s="60">
        <f t="shared" si="12"/>
        <v>-8500.7330835058765</v>
      </c>
      <c r="E101" s="60">
        <f t="shared" si="13"/>
        <v>11951.035972222868</v>
      </c>
    </row>
    <row r="102" spans="1:5" x14ac:dyDescent="0.2">
      <c r="A102" s="57">
        <f t="shared" si="14"/>
        <v>90</v>
      </c>
      <c r="B102" s="58">
        <f t="shared" si="10"/>
        <v>244.88467143704099</v>
      </c>
      <c r="C102" s="59">
        <f t="shared" si="11"/>
        <v>-6.7671880167442202</v>
      </c>
      <c r="D102" s="60">
        <f t="shared" si="12"/>
        <v>-8412.3796242718872</v>
      </c>
      <c r="E102" s="60">
        <f t="shared" si="13"/>
        <v>11935.396005404611</v>
      </c>
    </row>
    <row r="103" spans="1:5" x14ac:dyDescent="0.2">
      <c r="A103" s="57">
        <f t="shared" si="14"/>
        <v>92</v>
      </c>
      <c r="B103" s="58">
        <f t="shared" si="10"/>
        <v>231.78041302805212</v>
      </c>
      <c r="C103" s="59">
        <f t="shared" si="11"/>
        <v>-6.3422960865827456</v>
      </c>
      <c r="D103" s="60">
        <f t="shared" si="12"/>
        <v>-8324.9940243749843</v>
      </c>
      <c r="E103" s="60">
        <f t="shared" si="13"/>
        <v>11920.068223235216</v>
      </c>
    </row>
    <row r="104" spans="1:5" x14ac:dyDescent="0.2">
      <c r="A104" s="57">
        <f t="shared" si="14"/>
        <v>94</v>
      </c>
      <c r="B104" s="58">
        <f t="shared" si="10"/>
        <v>219.49542062976664</v>
      </c>
      <c r="C104" s="59">
        <f t="shared" si="11"/>
        <v>-5.9475112283509874</v>
      </c>
      <c r="D104" s="60">
        <f t="shared" si="12"/>
        <v>-8238.5604669664008</v>
      </c>
      <c r="E104" s="60">
        <f t="shared" si="13"/>
        <v>11905.045766903946</v>
      </c>
    </row>
    <row r="105" spans="1:5" x14ac:dyDescent="0.2">
      <c r="A105" s="57">
        <f t="shared" si="14"/>
        <v>96</v>
      </c>
      <c r="B105" s="58">
        <f t="shared" si="10"/>
        <v>207.97187305548724</v>
      </c>
      <c r="C105" s="59">
        <f t="shared" si="11"/>
        <v>-5.5804756559780939</v>
      </c>
      <c r="D105" s="60">
        <f t="shared" si="12"/>
        <v>-8153.0634779707516</v>
      </c>
      <c r="E105" s="60">
        <f t="shared" si="13"/>
        <v>11890.321950606185</v>
      </c>
    </row>
    <row r="106" spans="1:5" x14ac:dyDescent="0.2">
      <c r="A106" s="57">
        <f t="shared" si="14"/>
        <v>98</v>
      </c>
      <c r="B106" s="58">
        <f t="shared" ref="B106:B115" si="15">EXP((E106-D106/2)^(1/3)-(E106+D106/2)^(1/3))</f>
        <v>197.15646029033744</v>
      </c>
      <c r="C106" s="59">
        <f t="shared" ref="C106:C115" si="16">-1*B106/((A106+273.15)^2*($B$22+3*$B$23*(LN(B106))^2))</f>
        <v>-5.2390327382314386</v>
      </c>
      <c r="D106" s="60">
        <f t="shared" ref="D106:D115" si="17">($B$21-(1/(A106+273.15)))/$B$23</f>
        <v>-8068.4879168505804</v>
      </c>
      <c r="E106" s="60">
        <f t="shared" ref="E106:E115" si="18">SQRT(($B$22/(3*$B$23))^3+D106^2/4)</f>
        <v>11875.890256574583</v>
      </c>
    </row>
    <row r="107" spans="1:5" x14ac:dyDescent="0.2">
      <c r="A107" s="57">
        <f t="shared" si="14"/>
        <v>100</v>
      </c>
      <c r="B107" s="58">
        <f t="shared" si="15"/>
        <v>187.00000000000219</v>
      </c>
      <c r="C107" s="59">
        <f t="shared" si="16"/>
        <v>-4.9212085004380235</v>
      </c>
      <c r="D107" s="60">
        <f t="shared" si="17"/>
        <v>-7984.8189676679121</v>
      </c>
      <c r="E107" s="60">
        <f t="shared" si="18"/>
        <v>11861.744330271138</v>
      </c>
    </row>
    <row r="108" spans="1:5" x14ac:dyDescent="0.2">
      <c r="A108" s="57">
        <f t="shared" si="14"/>
        <v>102</v>
      </c>
      <c r="B108" s="58">
        <f t="shared" si="15"/>
        <v>177.45708918384659</v>
      </c>
      <c r="C108" s="59">
        <f t="shared" si="16"/>
        <v>-4.6251949448327965</v>
      </c>
      <c r="D108" s="60">
        <f t="shared" si="17"/>
        <v>-7902.0421304317488</v>
      </c>
      <c r="E108" s="60">
        <f t="shared" si="18"/>
        <v>11847.877975734376</v>
      </c>
    </row>
    <row r="109" spans="1:5" x14ac:dyDescent="0.2">
      <c r="A109" s="57">
        <f t="shared" si="14"/>
        <v>104</v>
      </c>
      <c r="B109" s="58">
        <f t="shared" si="15"/>
        <v>168.48578752882634</v>
      </c>
      <c r="C109" s="59">
        <f t="shared" si="16"/>
        <v>-4.3493349996353174</v>
      </c>
      <c r="D109" s="60">
        <f t="shared" si="17"/>
        <v>-7820.1432127208273</v>
      </c>
      <c r="E109" s="60">
        <f t="shared" si="18"/>
        <v>11834.285151076007</v>
      </c>
    </row>
    <row r="110" spans="1:5" x14ac:dyDescent="0.2">
      <c r="A110" s="57">
        <f t="shared" si="14"/>
        <v>106</v>
      </c>
      <c r="B110" s="58">
        <f t="shared" si="15"/>
        <v>160.04732937885137</v>
      </c>
      <c r="C110" s="59">
        <f t="shared" si="16"/>
        <v>-4.0921089279001359</v>
      </c>
      <c r="D110" s="60">
        <f t="shared" si="17"/>
        <v>-7739.1083215715389</v>
      </c>
      <c r="E110" s="60">
        <f t="shared" si="18"/>
        <v>11820.959964121637</v>
      </c>
    </row>
    <row r="111" spans="1:5" x14ac:dyDescent="0.2">
      <c r="A111" s="57">
        <f t="shared" si="14"/>
        <v>108</v>
      </c>
      <c r="B111" s="58">
        <f t="shared" si="15"/>
        <v>152.10586155355139</v>
      </c>
      <c r="C111" s="59">
        <f t="shared" si="16"/>
        <v>-3.8521220457114369</v>
      </c>
      <c r="D111" s="60">
        <f t="shared" si="17"/>
        <v>-7658.9238556212467</v>
      </c>
      <c r="E111" s="60">
        <f t="shared" si="18"/>
        <v>11807.896668190453</v>
      </c>
    </row>
    <row r="112" spans="1:5" x14ac:dyDescent="0.2">
      <c r="A112" s="57">
        <f t="shared" si="14"/>
        <v>110</v>
      </c>
      <c r="B112" s="58">
        <f t="shared" si="15"/>
        <v>144.62820453419695</v>
      </c>
      <c r="C112" s="59">
        <f t="shared" si="16"/>
        <v>-3.6280936156666264</v>
      </c>
      <c r="D112" s="60">
        <f t="shared" si="17"/>
        <v>-7579.5764974976573</v>
      </c>
      <c r="E112" s="60">
        <f t="shared" si="18"/>
        <v>11795.08965800883</v>
      </c>
    </row>
    <row r="113" spans="1:5" x14ac:dyDescent="0.2">
      <c r="A113" s="57">
        <f t="shared" si="14"/>
        <v>112</v>
      </c>
      <c r="B113" s="58">
        <f t="shared" si="15"/>
        <v>137.58363478817282</v>
      </c>
      <c r="C113" s="59">
        <f t="shared" si="16"/>
        <v>-3.4188467961081526</v>
      </c>
      <c r="D113" s="60">
        <f t="shared" si="17"/>
        <v>-7501.0532064453228</v>
      </c>
      <c r="E113" s="60">
        <f t="shared" si="18"/>
        <v>11782.533465753155</v>
      </c>
    </row>
    <row r="114" spans="1:5" x14ac:dyDescent="0.2">
      <c r="A114" s="57">
        <f t="shared" si="14"/>
        <v>114</v>
      </c>
      <c r="B114" s="58">
        <f t="shared" si="15"/>
        <v>130.94368622907717</v>
      </c>
      <c r="C114" s="59">
        <f t="shared" si="16"/>
        <v>-3.2232995394095978</v>
      </c>
      <c r="D114" s="60">
        <f t="shared" si="17"/>
        <v>-7423.3412111806947</v>
      </c>
      <c r="E114" s="60">
        <f t="shared" si="18"/>
        <v>11770.22275721728</v>
      </c>
    </row>
    <row r="115" spans="1:5" x14ac:dyDescent="0.2">
      <c r="A115" s="57">
        <f t="shared" si="14"/>
        <v>116</v>
      </c>
      <c r="B115" s="58">
        <f t="shared" si="15"/>
        <v>124.68196901153308</v>
      </c>
      <c r="C115" s="59">
        <f t="shared" si="16"/>
        <v>-3.0404563440283017</v>
      </c>
      <c r="D115" s="60">
        <f t="shared" si="17"/>
        <v>-7346.4280029674792</v>
      </c>
      <c r="E115" s="60">
        <f t="shared" si="18"/>
        <v>11758.152328100208</v>
      </c>
    </row>
    <row r="116" spans="1:5" x14ac:dyDescent="0.2">
      <c r="A116" s="57">
        <f t="shared" si="14"/>
        <v>118</v>
      </c>
      <c r="B116" s="58">
        <f t="shared" ref="B116:B122" si="19">EXP((E116-D116/2)^(1/3)-(E116+D116/2)^(1/3))</f>
        <v>118.77400403986468</v>
      </c>
      <c r="C116" s="59">
        <f t="shared" ref="C116:C122" si="20">-1*B116/((A116+273.15)^2*($B$22+3*$B$23*(LN(B116))^2))</f>
        <v>-2.8694007751496713</v>
      </c>
      <c r="D116" s="60">
        <f t="shared" ref="D116:D122" si="21">($B$21-(1/(A116+273.15)))/$B$23</f>
        <v>-7270.3013289044711</v>
      </c>
      <c r="E116" s="60">
        <f t="shared" ref="E116:E122" si="22">SQRT(($B$22/(3*$B$23))^3+D116^2/4)</f>
        <v>11746.3171004098</v>
      </c>
    </row>
    <row r="117" spans="1:5" x14ac:dyDescent="0.2">
      <c r="A117" s="57">
        <f t="shared" ref="A117:A122" si="23">IF(A116&lt;$H$77,A116+$H$78,$H$77)</f>
        <v>120</v>
      </c>
      <c r="B117" s="58">
        <f t="shared" si="19"/>
        <v>113.19707173106859</v>
      </c>
      <c r="C117" s="59">
        <f t="shared" si="20"/>
        <v>-2.7092886777375917</v>
      </c>
      <c r="D117" s="60">
        <f t="shared" si="21"/>
        <v>-7194.9491854182188</v>
      </c>
      <c r="E117" s="60">
        <f t="shared" si="22"/>
        <v>11734.712118978452</v>
      </c>
    </row>
    <row r="118" spans="1:5" x14ac:dyDescent="0.2">
      <c r="A118" s="57">
        <f t="shared" si="23"/>
        <v>122</v>
      </c>
      <c r="B118" s="58">
        <f t="shared" si="19"/>
        <v>107.93007371675451</v>
      </c>
      <c r="C118" s="59">
        <f t="shared" si="20"/>
        <v>-2.559342013794399</v>
      </c>
      <c r="D118" s="60">
        <f t="shared" si="21"/>
        <v>-7120.3598119533399</v>
      </c>
      <c r="E118" s="60">
        <f t="shared" si="22"/>
        <v>11723.332548086837</v>
      </c>
    </row>
    <row r="119" spans="1:5" x14ac:dyDescent="0.2">
      <c r="A119" s="57">
        <f t="shared" si="23"/>
        <v>124</v>
      </c>
      <c r="B119" s="58">
        <f t="shared" si="19"/>
        <v>102.95340629777897</v>
      </c>
      <c r="C119" s="59">
        <f t="shared" si="20"/>
        <v>-2.4188432627380312</v>
      </c>
      <c r="D119" s="60">
        <f t="shared" si="21"/>
        <v>-7046.5216848534592</v>
      </c>
      <c r="E119" s="60">
        <f t="shared" si="22"/>
        <v>11712.173668191983</v>
      </c>
    </row>
    <row r="120" spans="1:5" x14ac:dyDescent="0.2">
      <c r="A120" s="57">
        <f t="shared" si="23"/>
        <v>126</v>
      </c>
      <c r="B120" s="58">
        <f t="shared" si="19"/>
        <v>98.248844581162544</v>
      </c>
      <c r="C120" s="59">
        <f t="shared" si="20"/>
        <v>-2.287130330133889</v>
      </c>
      <c r="D120" s="60">
        <f t="shared" si="21"/>
        <v>-6973.423511426131</v>
      </c>
      <c r="E120" s="60">
        <f t="shared" si="22"/>
        <v>11701.230872756072</v>
      </c>
    </row>
    <row r="121" spans="1:5" x14ac:dyDescent="0.2">
      <c r="A121" s="57">
        <f t="shared" si="23"/>
        <v>128</v>
      </c>
      <c r="B121" s="58">
        <f t="shared" si="19"/>
        <v>93.799436332552744</v>
      </c>
      <c r="C121" s="59">
        <f t="shared" si="20"/>
        <v>-2.1635919156529297</v>
      </c>
      <c r="D121" s="60">
        <f t="shared" si="21"/>
        <v>-6901.0542241852918</v>
      </c>
      <c r="E121" s="60">
        <f t="shared" si="22"/>
        <v>11690.499665172511</v>
      </c>
    </row>
    <row r="122" spans="1:5" x14ac:dyDescent="0.2">
      <c r="A122" s="57">
        <f t="shared" si="23"/>
        <v>130</v>
      </c>
      <c r="B122" s="58">
        <f t="shared" si="19"/>
        <v>89.589404670684473</v>
      </c>
      <c r="C122" s="59">
        <f t="shared" si="20"/>
        <v>-2.0476632961543095</v>
      </c>
      <c r="D122" s="60">
        <f t="shared" si="21"/>
        <v>-6829.4029752650849</v>
      </c>
      <c r="E122" s="60">
        <f t="shared" si="22"/>
        <v>11679.975655785933</v>
      </c>
    </row>
    <row r="124" spans="1:5" x14ac:dyDescent="0.2">
      <c r="A124" s="37"/>
      <c r="B124" s="34"/>
      <c r="C124" s="35"/>
      <c r="D124" s="36"/>
      <c r="E124" s="36"/>
    </row>
    <row r="125" spans="1:5" x14ac:dyDescent="0.2">
      <c r="A125" s="37"/>
      <c r="B125" s="34"/>
      <c r="C125" s="35"/>
      <c r="D125" s="36"/>
      <c r="E125" s="36"/>
    </row>
    <row r="126" spans="1:5" x14ac:dyDescent="0.2">
      <c r="A126" s="37"/>
      <c r="B126" s="34"/>
      <c r="C126" s="35"/>
      <c r="D126" s="36"/>
      <c r="E126" s="36"/>
    </row>
    <row r="127" spans="1:5" x14ac:dyDescent="0.2">
      <c r="A127" s="37"/>
      <c r="B127" s="34"/>
      <c r="C127" s="35"/>
      <c r="D127" s="36"/>
      <c r="E127" s="36"/>
    </row>
    <row r="128" spans="1:5" x14ac:dyDescent="0.2">
      <c r="A128" s="37"/>
      <c r="B128" s="34"/>
      <c r="C128" s="35"/>
      <c r="D128" s="36"/>
      <c r="E128" s="36"/>
    </row>
    <row r="129" spans="1:5" x14ac:dyDescent="0.2">
      <c r="A129" s="37"/>
      <c r="B129" s="34"/>
      <c r="C129" s="35"/>
      <c r="D129" s="36"/>
      <c r="E129" s="36"/>
    </row>
    <row r="130" spans="1:5" x14ac:dyDescent="0.2">
      <c r="A130" s="37"/>
      <c r="B130" s="34"/>
      <c r="C130" s="35"/>
      <c r="D130" s="36"/>
      <c r="E130" s="36"/>
    </row>
    <row r="131" spans="1:5" x14ac:dyDescent="0.2">
      <c r="A131" s="37"/>
      <c r="B131" s="34"/>
      <c r="C131" s="35"/>
      <c r="D131" s="36"/>
      <c r="E131" s="36"/>
    </row>
    <row r="132" spans="1:5" x14ac:dyDescent="0.2">
      <c r="A132" s="37"/>
      <c r="B132" s="34"/>
      <c r="C132" s="35"/>
      <c r="D132" s="36"/>
      <c r="E132" s="36"/>
    </row>
    <row r="133" spans="1:5" x14ac:dyDescent="0.2">
      <c r="A133" s="37"/>
      <c r="B133" s="34"/>
      <c r="C133" s="35"/>
      <c r="D133" s="36"/>
      <c r="E133" s="36"/>
    </row>
    <row r="134" spans="1:5" x14ac:dyDescent="0.2">
      <c r="A134" s="37"/>
      <c r="B134" s="34"/>
      <c r="C134" s="35"/>
      <c r="D134" s="36"/>
      <c r="E134" s="36"/>
    </row>
    <row r="135" spans="1:5" x14ac:dyDescent="0.2">
      <c r="A135" s="37"/>
      <c r="B135" s="34"/>
      <c r="C135" s="35"/>
      <c r="D135" s="36"/>
      <c r="E135" s="36"/>
    </row>
    <row r="136" spans="1:5" x14ac:dyDescent="0.2">
      <c r="A136" s="37"/>
      <c r="B136" s="34"/>
      <c r="C136" s="35"/>
      <c r="D136" s="36"/>
      <c r="E136" s="36"/>
    </row>
    <row r="137" spans="1:5" x14ac:dyDescent="0.2">
      <c r="A137" s="37"/>
      <c r="B137" s="34"/>
      <c r="C137" s="35"/>
      <c r="D137" s="36"/>
      <c r="E137" s="36"/>
    </row>
    <row r="138" spans="1:5" x14ac:dyDescent="0.2">
      <c r="A138" s="37"/>
      <c r="B138" s="34"/>
      <c r="C138" s="35"/>
      <c r="D138" s="36"/>
      <c r="E138" s="36"/>
    </row>
    <row r="139" spans="1:5" x14ac:dyDescent="0.2">
      <c r="A139" s="37"/>
      <c r="B139" s="34"/>
      <c r="C139" s="35"/>
      <c r="D139" s="36"/>
      <c r="E139" s="36"/>
    </row>
    <row r="140" spans="1:5" x14ac:dyDescent="0.2">
      <c r="A140" s="37"/>
      <c r="B140" s="34"/>
      <c r="C140" s="35"/>
      <c r="D140" s="36"/>
      <c r="E140" s="36"/>
    </row>
    <row r="141" spans="1:5" x14ac:dyDescent="0.2">
      <c r="A141" s="37"/>
      <c r="B141" s="34"/>
      <c r="C141" s="35"/>
      <c r="D141" s="36"/>
      <c r="E141" s="36"/>
    </row>
    <row r="142" spans="1:5" x14ac:dyDescent="0.2">
      <c r="A142" s="37"/>
      <c r="B142" s="34"/>
      <c r="C142" s="35"/>
      <c r="D142" s="36"/>
      <c r="E142" s="36"/>
    </row>
    <row r="143" spans="1:5" x14ac:dyDescent="0.2">
      <c r="A143" s="37"/>
      <c r="B143" s="34"/>
      <c r="C143" s="35"/>
      <c r="D143" s="36"/>
      <c r="E143" s="36"/>
    </row>
    <row r="144" spans="1:5" x14ac:dyDescent="0.2">
      <c r="A144" s="37"/>
      <c r="B144" s="34"/>
      <c r="C144" s="35"/>
      <c r="D144" s="36"/>
      <c r="E144" s="36"/>
    </row>
    <row r="145" spans="1:5" x14ac:dyDescent="0.2">
      <c r="A145" s="37"/>
      <c r="B145" s="34"/>
      <c r="C145" s="35"/>
      <c r="D145" s="36"/>
      <c r="E145" s="36"/>
    </row>
    <row r="146" spans="1:5" x14ac:dyDescent="0.2">
      <c r="A146" s="37"/>
      <c r="B146" s="34"/>
      <c r="C146" s="35"/>
      <c r="D146" s="36"/>
      <c r="E146" s="36"/>
    </row>
    <row r="147" spans="1:5" x14ac:dyDescent="0.2">
      <c r="A147" s="37"/>
      <c r="B147" s="34"/>
      <c r="C147" s="35"/>
      <c r="D147" s="36"/>
      <c r="E147" s="36"/>
    </row>
    <row r="148" spans="1:5" x14ac:dyDescent="0.2">
      <c r="A148" s="37"/>
      <c r="B148" s="34"/>
      <c r="C148" s="35"/>
      <c r="D148" s="36"/>
      <c r="E148" s="36"/>
    </row>
    <row r="149" spans="1:5" x14ac:dyDescent="0.2">
      <c r="A149" s="37"/>
      <c r="B149" s="34"/>
      <c r="C149" s="35"/>
      <c r="D149" s="36"/>
      <c r="E149" s="36"/>
    </row>
    <row r="150" spans="1:5" x14ac:dyDescent="0.2">
      <c r="A150" s="37"/>
      <c r="B150" s="34"/>
      <c r="C150" s="35"/>
      <c r="D150" s="36"/>
      <c r="E150" s="36"/>
    </row>
    <row r="151" spans="1:5" x14ac:dyDescent="0.2">
      <c r="A151" s="37"/>
      <c r="B151" s="34"/>
      <c r="C151" s="35"/>
      <c r="D151" s="36"/>
      <c r="E151" s="36"/>
    </row>
    <row r="152" spans="1:5" x14ac:dyDescent="0.2">
      <c r="A152" s="37"/>
      <c r="B152" s="34"/>
      <c r="C152" s="35"/>
      <c r="D152" s="36"/>
      <c r="E152" s="36"/>
    </row>
    <row r="153" spans="1:5" x14ac:dyDescent="0.2">
      <c r="A153" s="37"/>
      <c r="B153" s="34"/>
      <c r="C153" s="35"/>
      <c r="D153" s="36"/>
      <c r="E153" s="36"/>
    </row>
    <row r="154" spans="1:5" x14ac:dyDescent="0.2">
      <c r="A154" s="37"/>
      <c r="B154" s="34"/>
      <c r="C154" s="35"/>
      <c r="D154" s="36"/>
      <c r="E154" s="36"/>
    </row>
    <row r="155" spans="1:5" x14ac:dyDescent="0.2">
      <c r="A155" s="37"/>
      <c r="B155" s="34"/>
      <c r="C155" s="35"/>
      <c r="D155" s="36"/>
      <c r="E155" s="36"/>
    </row>
    <row r="156" spans="1:5" x14ac:dyDescent="0.2">
      <c r="A156" s="37"/>
      <c r="B156" s="34"/>
      <c r="C156" s="35"/>
      <c r="D156" s="36"/>
      <c r="E156" s="36"/>
    </row>
    <row r="157" spans="1:5" x14ac:dyDescent="0.2">
      <c r="A157" s="37"/>
      <c r="B157" s="34"/>
      <c r="C157" s="35"/>
      <c r="D157" s="36"/>
      <c r="E157" s="36"/>
    </row>
  </sheetData>
  <phoneticPr fontId="0" type="noConversion"/>
  <hyperlinks>
    <hyperlink ref="B1" r:id="rId1"/>
    <hyperlink ref="G11" r:id="rId2"/>
  </hyperlinks>
  <pageMargins left="0.25" right="0.25" top="0.75" bottom="0.75" header="0.3" footer="0.3"/>
  <pageSetup paperSize="5" scale="98" orientation="portrait" horizontalDpi="4294967292" r:id="rId3"/>
  <headerFooter alignWithMargins="0">
    <oddHeader>&amp;C&amp;"Arial,Bold"&amp;12Data Sheet for Bosch 0 280 130 014
T2 Coolant Temperature Sensor</oddHeader>
    <oddFooter>&amp;C&amp;"Arial,Bold"&amp;12Bosch 0 280 130 014</oddFooter>
  </headerFooter>
  <rowBreaks count="2" manualBreakCount="2">
    <brk id="50" max="16383" man="1"/>
    <brk id="122" max="16383" man="1"/>
  </row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SNHRT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Steinhart and Hart Calculator</dc:title>
  <dc:subject>Steinhart and Hart Calculator</dc:subject>
  <dc:creator>Mark Long</dc:creator>
  <dc:description>Steinhart and Hart Calculator</dc:description>
  <cp:lastModifiedBy>James B. Cushman</cp:lastModifiedBy>
  <cp:lastPrinted>2013-09-02T07:46:51Z</cp:lastPrinted>
  <dcterms:created xsi:type="dcterms:W3CDTF">1999-03-10T13:52:51Z</dcterms:created>
  <dcterms:modified xsi:type="dcterms:W3CDTF">2013-09-13T18:46:13Z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ktContentLanguage">
    <vt:i4>1033</vt:i4>
  </property>
  <property fmtid="{D5CDD505-2E9C-101B-9397-08002B2CF9AE}" pid="3" name="EktQuickLink">
    <vt:lpwstr>DownloadAsset.aspx?id=6651</vt:lpwstr>
  </property>
  <property fmtid="{D5CDD505-2E9C-101B-9397-08002B2CF9AE}" pid="4" name="EktContentType">
    <vt:i4>101</vt:i4>
  </property>
  <property fmtid="{D5CDD505-2E9C-101B-9397-08002B2CF9AE}" pid="5" name="EktContentSubType">
    <vt:i4>0</vt:i4>
  </property>
  <property fmtid="{D5CDD505-2E9C-101B-9397-08002B2CF9AE}" pid="6" name="EktFolderName">
    <vt:lpwstr/>
  </property>
  <property fmtid="{D5CDD505-2E9C-101B-9397-08002B2CF9AE}" pid="7" name="EktCmsPath">
    <vt:lpwstr>Steinhart and Hart Calculator</vt:lpwstr>
  </property>
  <property fmtid="{D5CDD505-2E9C-101B-9397-08002B2CF9AE}" pid="8" name="EktExpiryType">
    <vt:i4>1</vt:i4>
  </property>
  <property fmtid="{D5CDD505-2E9C-101B-9397-08002B2CF9AE}" pid="9" name="EktDateCreated">
    <vt:filetime>2009-06-11T20:15:05Z</vt:filetime>
  </property>
  <property fmtid="{D5CDD505-2E9C-101B-9397-08002B2CF9AE}" pid="10" name="EktDateModified">
    <vt:filetime>2011-11-02T19:37:46Z</vt:filetime>
  </property>
  <property fmtid="{D5CDD505-2E9C-101B-9397-08002B2CF9AE}" pid="11" name="EktTaxCategory">
    <vt:lpwstr> #eksep#  #eksep#  #eksep#  #eksep#  #eksep#  #eksep#  #eksep#  #eksep#  #eksep# \Industries Served\Aerospace and Military #eksep# \Industries Served\General Industry #eksep# \Industries Served\Consumer Goods #eksep# \Industries Served\Medical #eksep# \In</vt:lpwstr>
  </property>
  <property fmtid="{D5CDD505-2E9C-101B-9397-08002B2CF9AE}" pid="12" name="EktDisabledTaxCategory">
    <vt:lpwstr/>
  </property>
  <property fmtid="{D5CDD505-2E9C-101B-9397-08002B2CF9AE}" pid="13" name="EktCmsSize">
    <vt:i4>182272</vt:i4>
  </property>
  <property fmtid="{D5CDD505-2E9C-101B-9397-08002B2CF9AE}" pid="14" name="EktSearchable">
    <vt:i4>1</vt:i4>
  </property>
  <property fmtid="{D5CDD505-2E9C-101B-9397-08002B2CF9AE}" pid="15" name="EktEDescription">
    <vt:lpwstr>Summary Steinhart and Hart Calculator</vt:lpwstr>
  </property>
  <property fmtid="{D5CDD505-2E9C-101B-9397-08002B2CF9AE}" pid="16" name="EktRegistrationRequired">
    <vt:bool>false</vt:bool>
  </property>
</Properties>
</file>