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TM-1\"/>
    </mc:Choice>
  </mc:AlternateContent>
  <xr:revisionPtr revIDLastSave="0" documentId="13_ncr:1_{19E87C87-0E7F-4213-BC2B-EDF98860B4A2}" xr6:coauthVersionLast="47" xr6:coauthVersionMax="47" xr10:uidLastSave="{00000000-0000-0000-0000-000000000000}"/>
  <bookViews>
    <workbookView xWindow="-120" yWindow="-120" windowWidth="20730" windowHeight="11160" xr2:uid="{2C0AEA2D-97B9-40D8-8323-8A42DA15C2D9}"/>
  </bookViews>
  <sheets>
    <sheet name="Distance calc from lat long" sheetId="1" r:id="rId1"/>
    <sheet name="RWY COORD" sheetId="2" r:id="rId2"/>
    <sheet name="Equation" sheetId="3" r:id="rId3"/>
    <sheet name="PlotCaseExample" sheetId="4" r:id="rId4"/>
    <sheet name="RWY and Approach coord" sheetId="5" r:id="rId5"/>
    <sheet name="datagridview1" sheetId="6" r:id="rId6"/>
    <sheet name="datagridview2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6" l="1"/>
  <c r="K7" i="6"/>
  <c r="J7" i="6"/>
  <c r="G2" i="7"/>
  <c r="G6" i="7"/>
  <c r="J4" i="6"/>
  <c r="I16" i="4"/>
  <c r="H16" i="4"/>
  <c r="I15" i="4"/>
  <c r="H15" i="4"/>
  <c r="I14" i="4"/>
  <c r="H14" i="4"/>
  <c r="L8" i="2"/>
  <c r="L7" i="2"/>
  <c r="M7" i="2"/>
  <c r="M6" i="2"/>
  <c r="L6" i="2"/>
  <c r="M5" i="2"/>
  <c r="L5" i="2"/>
  <c r="K44" i="2" l="1"/>
  <c r="B44" i="2"/>
  <c r="B46" i="2"/>
  <c r="B45" i="2"/>
  <c r="D44" i="2"/>
  <c r="D45" i="2"/>
  <c r="K46" i="2"/>
  <c r="K45" i="2"/>
  <c r="L46" i="2"/>
  <c r="J46" i="2"/>
  <c r="J45" i="2"/>
  <c r="I46" i="2"/>
  <c r="I45" i="2"/>
  <c r="L45" i="2"/>
  <c r="L44" i="2"/>
  <c r="B43" i="2"/>
  <c r="J44" i="2"/>
  <c r="J43" i="2"/>
  <c r="D43" i="2" s="1"/>
  <c r="I44" i="2"/>
  <c r="I43" i="2"/>
  <c r="D39" i="2"/>
  <c r="D40" i="2"/>
  <c r="D41" i="2"/>
  <c r="D42" i="2"/>
  <c r="D38" i="2"/>
  <c r="J38" i="2"/>
  <c r="D46" i="2" l="1"/>
  <c r="K43" i="2"/>
  <c r="L43" i="2"/>
  <c r="O15" i="4"/>
  <c r="N19" i="4"/>
  <c r="N17" i="4"/>
  <c r="N16" i="4"/>
  <c r="N18" i="4"/>
  <c r="N15" i="4"/>
  <c r="I13" i="4"/>
  <c r="H13" i="4"/>
  <c r="I12" i="4"/>
  <c r="H12" i="4"/>
  <c r="I11" i="4"/>
  <c r="H11" i="4"/>
  <c r="I10" i="4"/>
  <c r="H10" i="4"/>
  <c r="I9" i="4"/>
  <c r="H9" i="4"/>
  <c r="I7" i="4"/>
  <c r="H7" i="4"/>
  <c r="I6" i="4"/>
  <c r="H6" i="4"/>
  <c r="L39" i="2"/>
  <c r="L40" i="2"/>
  <c r="L41" i="2"/>
  <c r="L42" i="2"/>
  <c r="L38" i="2"/>
  <c r="H42" i="2"/>
  <c r="G42" i="2"/>
  <c r="F42" i="2"/>
  <c r="E42" i="2"/>
  <c r="H41" i="2"/>
  <c r="F41" i="2"/>
  <c r="G41" i="2"/>
  <c r="E41" i="2"/>
  <c r="H40" i="2"/>
  <c r="F40" i="2"/>
  <c r="G40" i="2"/>
  <c r="E40" i="2"/>
  <c r="H39" i="2"/>
  <c r="F39" i="2"/>
  <c r="G39" i="2"/>
  <c r="E39" i="2"/>
  <c r="H38" i="2"/>
  <c r="G38" i="2"/>
  <c r="F38" i="2"/>
  <c r="E38" i="2"/>
  <c r="J41" i="2"/>
  <c r="K41" i="2" s="1"/>
  <c r="J39" i="2"/>
  <c r="K39" i="2" s="1"/>
  <c r="K14" i="2"/>
  <c r="Q14" i="2"/>
  <c r="P14" i="2"/>
  <c r="J42" i="2" l="1"/>
  <c r="K42" i="2" s="1"/>
  <c r="K38" i="2"/>
  <c r="J40" i="2"/>
  <c r="K40" i="2" s="1"/>
  <c r="M6" i="1"/>
  <c r="M5" i="1"/>
  <c r="K5" i="1"/>
  <c r="J5" i="1"/>
  <c r="H18" i="3"/>
  <c r="Q10" i="3"/>
  <c r="O10" i="3"/>
  <c r="M10" i="3"/>
  <c r="L10" i="3"/>
  <c r="K10" i="3"/>
  <c r="J10" i="3"/>
  <c r="I10" i="3"/>
  <c r="H10" i="3"/>
  <c r="P10" i="3"/>
  <c r="H5" i="1"/>
  <c r="G5" i="1"/>
  <c r="J9" i="3"/>
  <c r="K29" i="2"/>
  <c r="Q18" i="2"/>
  <c r="Q17" i="2"/>
  <c r="Q16" i="2"/>
  <c r="Q15" i="2"/>
  <c r="J14" i="2"/>
  <c r="F25" i="2"/>
  <c r="F22" i="2"/>
  <c r="D22" i="2"/>
  <c r="E18" i="3"/>
  <c r="E24" i="3" s="1"/>
  <c r="E25" i="3" s="1"/>
  <c r="E26" i="3" s="1"/>
  <c r="D18" i="3"/>
  <c r="D24" i="3" s="1"/>
  <c r="D25" i="3" s="1"/>
  <c r="D26" i="3" s="1"/>
  <c r="H9" i="3"/>
  <c r="K9" i="3"/>
  <c r="O9" i="3"/>
  <c r="O8" i="3"/>
  <c r="O3" i="3"/>
  <c r="O4" i="3" s="1"/>
  <c r="N18" i="2"/>
  <c r="M18" i="2"/>
  <c r="L18" i="2"/>
  <c r="P18" i="2" s="1"/>
  <c r="K18" i="2"/>
  <c r="N16" i="2"/>
  <c r="M16" i="2"/>
  <c r="L16" i="2"/>
  <c r="K16" i="2"/>
  <c r="K8" i="3"/>
  <c r="H3" i="3"/>
  <c r="B3" i="3"/>
  <c r="B4" i="3" s="1"/>
  <c r="K8" i="1"/>
  <c r="J8" i="1"/>
  <c r="H8" i="1"/>
  <c r="G8" i="1"/>
  <c r="J27" i="2"/>
  <c r="J24" i="2"/>
  <c r="K24" i="2"/>
  <c r="E8" i="3" s="1"/>
  <c r="L24" i="2"/>
  <c r="J25" i="2"/>
  <c r="K25" i="2"/>
  <c r="E3" i="3" s="1"/>
  <c r="E4" i="3" s="1"/>
  <c r="L25" i="2"/>
  <c r="J26" i="2"/>
  <c r="K26" i="2"/>
  <c r="L26" i="2"/>
  <c r="L29" i="2" s="1"/>
  <c r="L23" i="2"/>
  <c r="L27" i="2" s="1"/>
  <c r="K23" i="2"/>
  <c r="J23" i="2"/>
  <c r="L22" i="2"/>
  <c r="K22" i="2"/>
  <c r="J22" i="2"/>
  <c r="N17" i="2"/>
  <c r="M17" i="2"/>
  <c r="L17" i="2"/>
  <c r="P17" i="2" s="1"/>
  <c r="K17" i="2"/>
  <c r="J17" i="2"/>
  <c r="K15" i="2"/>
  <c r="N15" i="2"/>
  <c r="M15" i="2"/>
  <c r="L15" i="2"/>
  <c r="P15" i="2" s="1"/>
  <c r="N14" i="2"/>
  <c r="L14" i="2"/>
  <c r="M14" i="2"/>
  <c r="E10" i="2"/>
  <c r="F10" i="2"/>
  <c r="H10" i="2"/>
  <c r="I10" i="2"/>
  <c r="J10" i="2"/>
  <c r="D10" i="2"/>
  <c r="D9" i="2"/>
  <c r="C14" i="2"/>
  <c r="C15" i="2"/>
  <c r="C16" i="2"/>
  <c r="C17" i="2"/>
  <c r="C18" i="2"/>
  <c r="C19" i="2"/>
  <c r="B15" i="2"/>
  <c r="B16" i="2"/>
  <c r="B17" i="2"/>
  <c r="B18" i="2"/>
  <c r="B19" i="2"/>
  <c r="B14" i="2"/>
  <c r="H9" i="2"/>
  <c r="I9" i="2"/>
  <c r="J9" i="2"/>
  <c r="E9" i="2"/>
  <c r="F9" i="2"/>
  <c r="K7" i="2"/>
  <c r="K10" i="2" s="1"/>
  <c r="E19" i="2" s="1"/>
  <c r="E25" i="2"/>
  <c r="E24" i="2"/>
  <c r="E23" i="2"/>
  <c r="E22" i="2"/>
  <c r="D25" i="2"/>
  <c r="D24" i="2"/>
  <c r="D23" i="2"/>
  <c r="F23" i="2" s="1"/>
  <c r="E16" i="2"/>
  <c r="H7" i="1" s="1"/>
  <c r="K5" i="2"/>
  <c r="E14" i="2" s="1"/>
  <c r="H6" i="1" s="1"/>
  <c r="K8" i="2"/>
  <c r="E17" i="2" s="1"/>
  <c r="K7" i="1" s="1"/>
  <c r="K6" i="2"/>
  <c r="E15" i="2" s="1"/>
  <c r="K6" i="1" s="1"/>
  <c r="G6" i="2"/>
  <c r="D15" i="2" s="1"/>
  <c r="J6" i="1" s="1"/>
  <c r="G7" i="2"/>
  <c r="D16" i="2" s="1"/>
  <c r="G7" i="1" s="1"/>
  <c r="G8" i="2"/>
  <c r="D17" i="2" s="1"/>
  <c r="J7" i="1" s="1"/>
  <c r="G5" i="2"/>
  <c r="D14" i="2" s="1"/>
  <c r="G6" i="1" s="1"/>
  <c r="L9" i="3" l="1"/>
  <c r="M9" i="3" s="1"/>
  <c r="F8" i="3"/>
  <c r="P3" i="3"/>
  <c r="P8" i="3"/>
  <c r="P9" i="3"/>
  <c r="Q9" i="3" s="1"/>
  <c r="P4" i="3"/>
  <c r="F4" i="3"/>
  <c r="F3" i="3"/>
  <c r="K27" i="2"/>
  <c r="K3" i="3"/>
  <c r="K4" i="3" s="1"/>
  <c r="P16" i="2"/>
  <c r="L30" i="2"/>
  <c r="L8" i="3"/>
  <c r="J16" i="2"/>
  <c r="B8" i="3"/>
  <c r="H4" i="3"/>
  <c r="K30" i="2"/>
  <c r="H8" i="3"/>
  <c r="D27" i="3"/>
  <c r="D28" i="3" s="1"/>
  <c r="K5" i="3"/>
  <c r="L4" i="3"/>
  <c r="C4" i="3"/>
  <c r="B5" i="3"/>
  <c r="L3" i="3"/>
  <c r="C3" i="3"/>
  <c r="H5" i="3"/>
  <c r="O5" i="3"/>
  <c r="P5" i="3" s="1"/>
  <c r="J18" i="2"/>
  <c r="E5" i="3"/>
  <c r="J15" i="2"/>
  <c r="K9" i="2"/>
  <c r="E18" i="2" s="1"/>
  <c r="G10" i="2"/>
  <c r="D19" i="2" s="1"/>
  <c r="G9" i="2"/>
  <c r="D18" i="2" s="1"/>
  <c r="F24" i="2"/>
  <c r="H14" i="1"/>
  <c r="K13" i="1"/>
  <c r="J13" i="1"/>
  <c r="H13" i="1"/>
  <c r="G13" i="1"/>
  <c r="O15" i="1"/>
  <c r="O16" i="1" s="1"/>
  <c r="N15" i="1"/>
  <c r="N16" i="1" s="1"/>
  <c r="K4" i="1"/>
  <c r="J4" i="1"/>
  <c r="H4" i="1"/>
  <c r="G4" i="1"/>
  <c r="C8" i="3" l="1"/>
  <c r="I9" i="3"/>
  <c r="B6" i="3"/>
  <c r="C5" i="3"/>
  <c r="H6" i="3"/>
  <c r="E6" i="3"/>
  <c r="F5" i="3"/>
  <c r="K6" i="3"/>
  <c r="L5" i="3"/>
  <c r="O6" i="3"/>
  <c r="P6" i="3" s="1"/>
  <c r="N17" i="1"/>
  <c r="N18" i="1" s="1"/>
  <c r="H16" i="1"/>
  <c r="H15" i="1"/>
  <c r="G26" i="1"/>
  <c r="G24" i="1"/>
  <c r="G27" i="1" s="1"/>
  <c r="F24" i="1"/>
  <c r="G25" i="1" s="1"/>
  <c r="I3" i="3" l="1"/>
  <c r="I8" i="3"/>
  <c r="I5" i="3"/>
  <c r="I4" i="3"/>
  <c r="K7" i="3"/>
  <c r="L7" i="3" s="1"/>
  <c r="L6" i="3"/>
  <c r="H7" i="3"/>
  <c r="I7" i="3" s="1"/>
  <c r="I6" i="3"/>
  <c r="E7" i="3"/>
  <c r="F7" i="3" s="1"/>
  <c r="F6" i="3"/>
  <c r="B7" i="3"/>
  <c r="C7" i="3" s="1"/>
  <c r="C6" i="3"/>
  <c r="O7" i="3"/>
  <c r="P7" i="3" s="1"/>
  <c r="H17" i="1"/>
  <c r="H18" i="1" s="1"/>
  <c r="H19" i="1" s="1"/>
  <c r="H20" i="1" s="1"/>
  <c r="G28" i="1"/>
  <c r="G34" i="1" s="1"/>
  <c r="G35" i="1" s="1"/>
  <c r="G36" i="1" s="1"/>
  <c r="G29" i="1" l="1"/>
  <c r="G30" i="1" l="1"/>
  <c r="G31" i="1" s="1"/>
  <c r="G32" i="1" s="1"/>
  <c r="H32" i="1" s="1"/>
</calcChain>
</file>

<file path=xl/sharedStrings.xml><?xml version="1.0" encoding="utf-8"?>
<sst xmlns="http://schemas.openxmlformats.org/spreadsheetml/2006/main" count="397" uniqueCount="241">
  <si>
    <t>lat1</t>
  </si>
  <si>
    <t>lat2</t>
  </si>
  <si>
    <t>long1</t>
  </si>
  <si>
    <t>long2</t>
  </si>
  <si>
    <t>first part</t>
  </si>
  <si>
    <t>second part</t>
  </si>
  <si>
    <t>add</t>
  </si>
  <si>
    <t>arcos</t>
  </si>
  <si>
    <t>distance (km)</t>
  </si>
  <si>
    <t>Radius (km)</t>
  </si>
  <si>
    <t>distance (m)</t>
  </si>
  <si>
    <t>dlat</t>
  </si>
  <si>
    <t>dlong</t>
  </si>
  <si>
    <t>coslat1 * coslat2</t>
  </si>
  <si>
    <t>sin(dlong/2) ^2</t>
  </si>
  <si>
    <t>sin(dlat/2) ^2</t>
  </si>
  <si>
    <t>a</t>
  </si>
  <si>
    <t>b</t>
  </si>
  <si>
    <t>c</t>
  </si>
  <si>
    <t>d</t>
  </si>
  <si>
    <t>a+b*c</t>
  </si>
  <si>
    <t>e</t>
  </si>
  <si>
    <t>sqrt(d)</t>
  </si>
  <si>
    <t>f</t>
  </si>
  <si>
    <t>g</t>
  </si>
  <si>
    <t>2*f</t>
  </si>
  <si>
    <t>h</t>
  </si>
  <si>
    <t>g*radius</t>
  </si>
  <si>
    <t xml:space="preserve"> </t>
  </si>
  <si>
    <t>d, km</t>
  </si>
  <si>
    <t>(sqrt(1-d))</t>
  </si>
  <si>
    <t>i</t>
  </si>
  <si>
    <t>j</t>
  </si>
  <si>
    <t>k</t>
  </si>
  <si>
    <t>2*atan2(e,i)</t>
  </si>
  <si>
    <t>asin</t>
  </si>
  <si>
    <t>Easting (X)</t>
  </si>
  <si>
    <t>Northing (Y)</t>
  </si>
  <si>
    <t>House</t>
  </si>
  <si>
    <t>RWY</t>
  </si>
  <si>
    <t>a or h</t>
  </si>
  <si>
    <t>Spherical law of cosine</t>
  </si>
  <si>
    <t>j*radius</t>
  </si>
  <si>
    <t>haversine formula</t>
  </si>
  <si>
    <t>Points</t>
  </si>
  <si>
    <t>Description</t>
  </si>
  <si>
    <t>Latitude (N)</t>
  </si>
  <si>
    <t>A</t>
  </si>
  <si>
    <t>B</t>
  </si>
  <si>
    <t>C</t>
  </si>
  <si>
    <t>D</t>
  </si>
  <si>
    <t>RWY28 N</t>
  </si>
  <si>
    <t>RWY28 S</t>
  </si>
  <si>
    <t>RWY10 N</t>
  </si>
  <si>
    <t>RWY10 S</t>
  </si>
  <si>
    <t>Longitude (E)</t>
  </si>
  <si>
    <t>Degree</t>
  </si>
  <si>
    <t>Minute</t>
  </si>
  <si>
    <t>Second</t>
  </si>
  <si>
    <t>Degree decimal</t>
  </si>
  <si>
    <t>WGS COORD</t>
  </si>
  <si>
    <t>To</t>
  </si>
  <si>
    <t>del_X</t>
  </si>
  <si>
    <t>del_Y</t>
  </si>
  <si>
    <t>distance</t>
  </si>
  <si>
    <t>From</t>
  </si>
  <si>
    <t>E</t>
  </si>
  <si>
    <t>F</t>
  </si>
  <si>
    <t>Y1</t>
  </si>
  <si>
    <t>Y2</t>
  </si>
  <si>
    <t>X1</t>
  </si>
  <si>
    <t>X2</t>
  </si>
  <si>
    <t>X</t>
  </si>
  <si>
    <t>Y</t>
  </si>
  <si>
    <t>Two point form straight line equation</t>
  </si>
  <si>
    <t>slope</t>
  </si>
  <si>
    <t>Line</t>
  </si>
  <si>
    <t>AD</t>
  </si>
  <si>
    <t>BC</t>
  </si>
  <si>
    <t>intercept</t>
  </si>
  <si>
    <t>AB</t>
  </si>
  <si>
    <t>CD</t>
  </si>
  <si>
    <t>YAB</t>
  </si>
  <si>
    <t>XAB</t>
  </si>
  <si>
    <t>YBC</t>
  </si>
  <si>
    <t>XBC</t>
  </si>
  <si>
    <t>XCD</t>
  </si>
  <si>
    <t>YAD</t>
  </si>
  <si>
    <t>XAD</t>
  </si>
  <si>
    <t>YCD</t>
  </si>
  <si>
    <t>max</t>
  </si>
  <si>
    <t>min</t>
  </si>
  <si>
    <t>EF</t>
  </si>
  <si>
    <t>XEF</t>
  </si>
  <si>
    <t>YEF</t>
  </si>
  <si>
    <t>RWY CL 28</t>
  </si>
  <si>
    <t>case 3</t>
  </si>
  <si>
    <t>case 2</t>
  </si>
  <si>
    <t>perp dist</t>
  </si>
  <si>
    <t>House2</t>
  </si>
  <si>
    <t>RWYCL</t>
  </si>
  <si>
    <t>UTM 84 Projection COORD</t>
  </si>
  <si>
    <t>RWY28 C</t>
  </si>
  <si>
    <t>RWY10 C</t>
  </si>
  <si>
    <t>DA</t>
  </si>
  <si>
    <t>case</t>
  </si>
  <si>
    <t>lat</t>
  </si>
  <si>
    <t>long</t>
  </si>
  <si>
    <t>m</t>
  </si>
  <si>
    <t>x1</t>
  </si>
  <si>
    <t>y1</t>
  </si>
  <si>
    <t>Perp Line</t>
  </si>
  <si>
    <t>Parallel to AB1</t>
  </si>
  <si>
    <t>Parallel to AB2</t>
  </si>
  <si>
    <t>Point is</t>
  </si>
  <si>
    <t>Parallel to CD1</t>
  </si>
  <si>
    <t>Parallel to CD2</t>
  </si>
  <si>
    <t>RWY C</t>
  </si>
  <si>
    <t>J</t>
  </si>
  <si>
    <t>I</t>
  </si>
  <si>
    <t>O</t>
  </si>
  <si>
    <t>P</t>
  </si>
  <si>
    <t>R</t>
  </si>
  <si>
    <t>Q</t>
  </si>
  <si>
    <t>G</t>
  </si>
  <si>
    <t>H</t>
  </si>
  <si>
    <t>K</t>
  </si>
  <si>
    <t>L</t>
  </si>
  <si>
    <t>V</t>
  </si>
  <si>
    <t>U</t>
  </si>
  <si>
    <t>S</t>
  </si>
  <si>
    <t>T</t>
  </si>
  <si>
    <t>N</t>
  </si>
  <si>
    <t>M</t>
  </si>
  <si>
    <t>POINT</t>
  </si>
  <si>
    <t>DESCRIPTION</t>
  </si>
  <si>
    <t>LATITUDE</t>
  </si>
  <si>
    <t>LONGITUDE</t>
  </si>
  <si>
    <t>EASTING X</t>
  </si>
  <si>
    <t>NORTHING Y</t>
  </si>
  <si>
    <t>apprach sec2</t>
  </si>
  <si>
    <t>balked</t>
  </si>
  <si>
    <t>transition</t>
  </si>
  <si>
    <t>Point</t>
  </si>
  <si>
    <t>Latitude (N in DD)</t>
  </si>
  <si>
    <t>Longitude (E in DD)</t>
  </si>
  <si>
    <t>Easting (X in m)</t>
  </si>
  <si>
    <t>Northing (Y in m)</t>
  </si>
  <si>
    <t>Approach 1</t>
  </si>
  <si>
    <t>Approach 2</t>
  </si>
  <si>
    <t>TOC_A</t>
  </si>
  <si>
    <t>Take Off Climb 1</t>
  </si>
  <si>
    <t>TOC_B</t>
  </si>
  <si>
    <t>TOC_F</t>
  </si>
  <si>
    <t>TOC_C</t>
  </si>
  <si>
    <t>TOC_E</t>
  </si>
  <si>
    <t>TOC_D</t>
  </si>
  <si>
    <t>TOC_G</t>
  </si>
  <si>
    <t>Take Off Climb 2</t>
  </si>
  <si>
    <t>TOC_H</t>
  </si>
  <si>
    <t>TOC_L</t>
  </si>
  <si>
    <t>TOC_I</t>
  </si>
  <si>
    <t>TOC_K</t>
  </si>
  <si>
    <t>TOC_J</t>
  </si>
  <si>
    <t>BL_A</t>
  </si>
  <si>
    <t>Balked Landing 1</t>
  </si>
  <si>
    <t>BL_B</t>
  </si>
  <si>
    <t>BL_D</t>
  </si>
  <si>
    <t>BL_C</t>
  </si>
  <si>
    <t>BL_E</t>
  </si>
  <si>
    <t>Balked Landing 2</t>
  </si>
  <si>
    <t>BL_F</t>
  </si>
  <si>
    <t>BL_H</t>
  </si>
  <si>
    <t>BL_G</t>
  </si>
  <si>
    <t>Trans_A</t>
  </si>
  <si>
    <t>Transitional 1</t>
  </si>
  <si>
    <t>Trans_D</t>
  </si>
  <si>
    <t>Trans_B</t>
  </si>
  <si>
    <t>Transitional 2</t>
  </si>
  <si>
    <t>Trans_C</t>
  </si>
  <si>
    <t>Slope</t>
  </si>
  <si>
    <t>Intercept in m</t>
  </si>
  <si>
    <t>Distance in m</t>
  </si>
  <si>
    <t>IJ</t>
  </si>
  <si>
    <t>OP</t>
  </si>
  <si>
    <t>QR</t>
  </si>
  <si>
    <t>GH</t>
  </si>
  <si>
    <t>KL</t>
  </si>
  <si>
    <t>UV</t>
  </si>
  <si>
    <t>ST</t>
  </si>
  <si>
    <t>MN</t>
  </si>
  <si>
    <t>JG</t>
  </si>
  <si>
    <t>IH</t>
  </si>
  <si>
    <t>NK</t>
  </si>
  <si>
    <t>ML</t>
  </si>
  <si>
    <t>TOC_AB</t>
  </si>
  <si>
    <t>TOC_FC</t>
  </si>
  <si>
    <t>TOC_ED</t>
  </si>
  <si>
    <t>TOC_GH</t>
  </si>
  <si>
    <t>TOC_LI</t>
  </si>
  <si>
    <t>TOC_KJ</t>
  </si>
  <si>
    <t>TOC_AF</t>
  </si>
  <si>
    <t>TOC_FE</t>
  </si>
  <si>
    <t>TOC_BC</t>
  </si>
  <si>
    <t>TOC_CD</t>
  </si>
  <si>
    <t>TOC_GL</t>
  </si>
  <si>
    <t>TOC_LK</t>
  </si>
  <si>
    <t>TOC_HI</t>
  </si>
  <si>
    <t>TOC_IJ</t>
  </si>
  <si>
    <t>BL_AB</t>
  </si>
  <si>
    <t>BL_CD</t>
  </si>
  <si>
    <t>BL_EF</t>
  </si>
  <si>
    <t>BL_GH</t>
  </si>
  <si>
    <t>BL_AD</t>
  </si>
  <si>
    <t>BL_BC</t>
  </si>
  <si>
    <t>BL_EH</t>
  </si>
  <si>
    <t>BL_FG</t>
  </si>
  <si>
    <t>Trans_AD</t>
  </si>
  <si>
    <t>Trans_BC</t>
  </si>
  <si>
    <t>Trans_JK</t>
  </si>
  <si>
    <t>Trans_LI</t>
  </si>
  <si>
    <t>INDEX</t>
  </si>
  <si>
    <t>H_A</t>
  </si>
  <si>
    <t>Horizontal Rect</t>
  </si>
  <si>
    <t>H_B</t>
  </si>
  <si>
    <t>H_D</t>
  </si>
  <si>
    <t>H_C</t>
  </si>
  <si>
    <t>C_A</t>
  </si>
  <si>
    <t>Conical Rect</t>
  </si>
  <si>
    <t>C_B</t>
  </si>
  <si>
    <t>C_D</t>
  </si>
  <si>
    <t>C_C</t>
  </si>
  <si>
    <t>H_E</t>
  </si>
  <si>
    <t>Horizontal Extreme</t>
  </si>
  <si>
    <t>H_F</t>
  </si>
  <si>
    <t>C_E</t>
  </si>
  <si>
    <t>Conical Extreme</t>
  </si>
  <si>
    <t>C_F</t>
  </si>
  <si>
    <t>x</t>
  </si>
  <si>
    <t>y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</si>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</sst>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0"/>
    <numFmt numFmtId="166" formatCode="0.0000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73239"/>
      <name val="Consolas"/>
      <family val="3"/>
    </font>
    <font>
      <sz val="11"/>
      <color theme="1"/>
      <name val="Cambria"/>
      <family val="1"/>
    </font>
    <font>
      <sz val="12"/>
      <color rgb="FF273239"/>
      <name val="Cambria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31">
    <xf numFmtId="0" fontId="0" fillId="0" borderId="0" xfId="0"/>
    <xf numFmtId="0" fontId="0" fillId="2" borderId="0" xfId="0" applyFill="1"/>
    <xf numFmtId="0" fontId="1" fillId="0" borderId="0" xfId="0" applyFont="1"/>
    <xf numFmtId="0" fontId="1" fillId="3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8" xfId="0" applyFill="1" applyBorder="1"/>
    <xf numFmtId="0" fontId="0" fillId="0" borderId="7" xfId="0" applyBorder="1"/>
    <xf numFmtId="0" fontId="0" fillId="0" borderId="9" xfId="0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0" xfId="0" applyFont="1"/>
    <xf numFmtId="0" fontId="3" fillId="0" borderId="6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3" xfId="0" applyFont="1" applyBorder="1"/>
    <xf numFmtId="0" fontId="3" fillId="0" borderId="4" xfId="0" applyFont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" xfId="0" applyFont="1" applyFill="1" applyBorder="1"/>
    <xf numFmtId="0" fontId="3" fillId="0" borderId="5" xfId="0" applyFont="1" applyBorder="1" applyAlignment="1">
      <alignment horizontal="center" vertical="center"/>
    </xf>
    <xf numFmtId="0" fontId="3" fillId="2" borderId="0" xfId="0" applyFont="1" applyFill="1"/>
    <xf numFmtId="0" fontId="3" fillId="2" borderId="6" xfId="0" applyFont="1" applyFill="1" applyBorder="1"/>
    <xf numFmtId="0" fontId="5" fillId="0" borderId="3" xfId="0" applyFont="1" applyBorder="1"/>
    <xf numFmtId="0" fontId="5" fillId="0" borderId="4" xfId="0" applyFont="1" applyBorder="1"/>
    <xf numFmtId="0" fontId="5" fillId="0" borderId="0" xfId="0" applyFont="1"/>
    <xf numFmtId="0" fontId="5" fillId="0" borderId="6" xfId="0" applyFont="1" applyBorder="1"/>
    <xf numFmtId="0" fontId="5" fillId="2" borderId="0" xfId="0" applyFont="1" applyFill="1"/>
    <xf numFmtId="0" fontId="5" fillId="2" borderId="6" xfId="0" applyFont="1" applyFill="1" applyBorder="1"/>
    <xf numFmtId="0" fontId="5" fillId="2" borderId="8" xfId="0" applyFont="1" applyFill="1" applyBorder="1"/>
    <xf numFmtId="0" fontId="5" fillId="2" borderId="9" xfId="0" applyFont="1" applyFill="1" applyBorder="1"/>
    <xf numFmtId="0" fontId="0" fillId="2" borderId="6" xfId="0" applyFill="1" applyBorder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2" fillId="0" borderId="21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43" fontId="0" fillId="0" borderId="0" xfId="1" applyFont="1"/>
    <xf numFmtId="0" fontId="7" fillId="0" borderId="16" xfId="0" applyFont="1" applyBorder="1" applyAlignment="1">
      <alignment horizontal="center" vertical="center"/>
    </xf>
    <xf numFmtId="0" fontId="7" fillId="0" borderId="28" xfId="0" applyFont="1" applyBorder="1" applyAlignment="1">
      <alignment vertical="center"/>
    </xf>
    <xf numFmtId="0" fontId="7" fillId="0" borderId="16" xfId="0" applyFont="1" applyBorder="1"/>
    <xf numFmtId="0" fontId="0" fillId="0" borderId="29" xfId="0" applyBorder="1"/>
    <xf numFmtId="164" fontId="0" fillId="0" borderId="16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164" fontId="0" fillId="0" borderId="0" xfId="0" applyNumberFormat="1"/>
    <xf numFmtId="0" fontId="0" fillId="3" borderId="16" xfId="0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  <xf numFmtId="0" fontId="0" fillId="4" borderId="3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164" fontId="0" fillId="0" borderId="16" xfId="0" applyNumberFormat="1" applyBorder="1"/>
    <xf numFmtId="43" fontId="0" fillId="0" borderId="0" xfId="0" applyNumberFormat="1"/>
    <xf numFmtId="0" fontId="0" fillId="7" borderId="23" xfId="0" applyFill="1" applyBorder="1"/>
    <xf numFmtId="0" fontId="0" fillId="7" borderId="0" xfId="0" applyFill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0" applyNumberFormat="1"/>
    <xf numFmtId="0" fontId="0" fillId="8" borderId="0" xfId="0" applyFill="1"/>
    <xf numFmtId="0" fontId="0" fillId="8" borderId="0" xfId="0" applyFill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8" borderId="6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166" fontId="0" fillId="0" borderId="16" xfId="0" applyNumberForma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 wrapText="1"/>
    </xf>
    <xf numFmtId="165" fontId="0" fillId="0" borderId="16" xfId="0" applyNumberFormat="1" applyBorder="1"/>
    <xf numFmtId="0" fontId="0" fillId="10" borderId="0" xfId="0" applyFill="1"/>
    <xf numFmtId="0" fontId="0" fillId="10" borderId="28" xfId="0" applyFill="1" applyBorder="1" applyAlignment="1">
      <alignment horizontal="center" vertical="center"/>
    </xf>
    <xf numFmtId="164" fontId="0" fillId="10" borderId="28" xfId="0" applyNumberFormat="1" applyFill="1" applyBorder="1" applyAlignment="1">
      <alignment horizontal="center" vertical="center"/>
    </xf>
    <xf numFmtId="0" fontId="0" fillId="10" borderId="28" xfId="0" applyFill="1" applyBorder="1"/>
    <xf numFmtId="164" fontId="0" fillId="10" borderId="28" xfId="0" applyNumberFormat="1" applyFill="1" applyBorder="1"/>
    <xf numFmtId="165" fontId="0" fillId="10" borderId="28" xfId="0" applyNumberFormat="1" applyFill="1" applyBorder="1"/>
    <xf numFmtId="164" fontId="0" fillId="10" borderId="28" xfId="0" applyNumberFormat="1" applyFill="1" applyBorder="1" applyAlignment="1">
      <alignment horizontal="center"/>
    </xf>
    <xf numFmtId="0" fontId="0" fillId="5" borderId="0" xfId="0" applyFill="1"/>
    <xf numFmtId="164" fontId="0" fillId="5" borderId="16" xfId="0" applyNumberFormat="1" applyFill="1" applyBorder="1" applyAlignment="1">
      <alignment horizontal="center" vertical="center"/>
    </xf>
    <xf numFmtId="0" fontId="0" fillId="5" borderId="16" xfId="0" applyFill="1" applyBorder="1"/>
    <xf numFmtId="164" fontId="0" fillId="5" borderId="16" xfId="0" applyNumberFormat="1" applyFill="1" applyBorder="1"/>
    <xf numFmtId="165" fontId="0" fillId="5" borderId="16" xfId="0" applyNumberFormat="1" applyFill="1" applyBorder="1"/>
    <xf numFmtId="164" fontId="0" fillId="5" borderId="16" xfId="0" applyNumberFormat="1" applyFill="1" applyBorder="1" applyAlignment="1">
      <alignment horizontal="center"/>
    </xf>
    <xf numFmtId="0" fontId="0" fillId="2" borderId="16" xfId="0" applyFill="1" applyBorder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/>
    </xf>
    <xf numFmtId="0" fontId="7" fillId="9" borderId="16" xfId="0" applyFont="1" applyFill="1" applyBorder="1" applyAlignment="1">
      <alignment horizont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Equation!$C$2</c:f>
              <c:strCache>
                <c:ptCount val="1"/>
                <c:pt idx="0">
                  <c:v>YAD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Equation!$B$3:$B$8</c:f>
              <c:numCache>
                <c:formatCode>General</c:formatCode>
                <c:ptCount val="6"/>
                <c:pt idx="0">
                  <c:v>440327.20699999999</c:v>
                </c:pt>
                <c:pt idx="1">
                  <c:v>440827.20699999999</c:v>
                </c:pt>
                <c:pt idx="2">
                  <c:v>441327.20699999999</c:v>
                </c:pt>
                <c:pt idx="3">
                  <c:v>441827.20699999999</c:v>
                </c:pt>
                <c:pt idx="4">
                  <c:v>442327.20699999999</c:v>
                </c:pt>
                <c:pt idx="5">
                  <c:v>443288.989</c:v>
                </c:pt>
              </c:numCache>
            </c:numRef>
          </c:xVal>
          <c:yVal>
            <c:numRef>
              <c:f>Equation!$C$3:$C$8</c:f>
              <c:numCache>
                <c:formatCode>General</c:formatCode>
                <c:ptCount val="6"/>
                <c:pt idx="0">
                  <c:v>3042740.2680000002</c:v>
                </c:pt>
                <c:pt idx="1">
                  <c:v>3042660.4945730567</c:v>
                </c:pt>
                <c:pt idx="2">
                  <c:v>3042580.7211461128</c:v>
                </c:pt>
                <c:pt idx="3">
                  <c:v>3042500.9477191693</c:v>
                </c:pt>
                <c:pt idx="4">
                  <c:v>3042421.1742922254</c:v>
                </c:pt>
                <c:pt idx="5">
                  <c:v>3042267.7250000001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7-4620-A6B9-0B137E193A01}"/>
            </c:ext>
          </c:extLst>
        </c:ser>
        <c:ser>
          <c:idx val="1"/>
          <c:order val="1"/>
          <c:tx>
            <c:v>YBC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Equation!$E$3:$E$8</c:f>
              <c:numCache>
                <c:formatCode>General</c:formatCode>
                <c:ptCount val="6"/>
                <c:pt idx="0">
                  <c:v>440320.12800000003</c:v>
                </c:pt>
                <c:pt idx="1">
                  <c:v>440820.12800000003</c:v>
                </c:pt>
                <c:pt idx="2">
                  <c:v>441320.12800000003</c:v>
                </c:pt>
                <c:pt idx="3">
                  <c:v>441820.12800000003</c:v>
                </c:pt>
                <c:pt idx="4">
                  <c:v>442320.12800000003</c:v>
                </c:pt>
                <c:pt idx="5">
                  <c:v>443281.92300000001</c:v>
                </c:pt>
              </c:numCache>
            </c:numRef>
          </c:xVal>
          <c:yVal>
            <c:numRef>
              <c:f>Equation!$F$3:$F$8</c:f>
              <c:numCache>
                <c:formatCode>General</c:formatCode>
                <c:ptCount val="6"/>
                <c:pt idx="0">
                  <c:v>3042695.071</c:v>
                </c:pt>
                <c:pt idx="1">
                  <c:v>3042615.4014077429</c:v>
                </c:pt>
                <c:pt idx="2">
                  <c:v>3042535.7318154853</c:v>
                </c:pt>
                <c:pt idx="3">
                  <c:v>3042456.0622232277</c:v>
                </c:pt>
                <c:pt idx="4">
                  <c:v>3042376.3926309706</c:v>
                </c:pt>
                <c:pt idx="5">
                  <c:v>3042223.1409999998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C7-4620-A6B9-0B137E193A01}"/>
            </c:ext>
          </c:extLst>
        </c:ser>
        <c:ser>
          <c:idx val="2"/>
          <c:order val="2"/>
          <c:tx>
            <c:v>YAB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Equation!$H$3:$H$8</c:f>
              <c:numCache>
                <c:formatCode>General</c:formatCode>
                <c:ptCount val="6"/>
                <c:pt idx="0">
                  <c:v>443281.92300000001</c:v>
                </c:pt>
                <c:pt idx="1">
                  <c:v>443282.92300000001</c:v>
                </c:pt>
                <c:pt idx="2">
                  <c:v>443283.92300000001</c:v>
                </c:pt>
                <c:pt idx="3">
                  <c:v>443284.92300000001</c:v>
                </c:pt>
                <c:pt idx="4">
                  <c:v>443285.92300000001</c:v>
                </c:pt>
                <c:pt idx="5">
                  <c:v>443288.989</c:v>
                </c:pt>
              </c:numCache>
            </c:numRef>
          </c:xVal>
          <c:yVal>
            <c:numRef>
              <c:f>Equation!$I$3:$I$8</c:f>
              <c:numCache>
                <c:formatCode>General</c:formatCode>
                <c:ptCount val="6"/>
                <c:pt idx="0">
                  <c:v>3042223.1409999998</c:v>
                </c:pt>
                <c:pt idx="1">
                  <c:v>3042229.4506518538</c:v>
                </c:pt>
                <c:pt idx="2">
                  <c:v>3042235.7603037078</c:v>
                </c:pt>
                <c:pt idx="3">
                  <c:v>3042242.0699555618</c:v>
                </c:pt>
                <c:pt idx="4">
                  <c:v>3042248.3796074158</c:v>
                </c:pt>
                <c:pt idx="5">
                  <c:v>3042267.7250000001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C7-4620-A6B9-0B137E193A01}"/>
            </c:ext>
          </c:extLst>
        </c:ser>
        <c:ser>
          <c:idx val="3"/>
          <c:order val="3"/>
          <c:tx>
            <c:v>YCD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Equation!$K$3:$K$8</c:f>
              <c:numCache>
                <c:formatCode>General</c:formatCode>
                <c:ptCount val="6"/>
                <c:pt idx="0">
                  <c:v>440320.12800000003</c:v>
                </c:pt>
                <c:pt idx="1">
                  <c:v>440321.12800000003</c:v>
                </c:pt>
                <c:pt idx="2">
                  <c:v>440322.12800000003</c:v>
                </c:pt>
                <c:pt idx="3">
                  <c:v>440323.12800000003</c:v>
                </c:pt>
                <c:pt idx="4">
                  <c:v>440324.12800000003</c:v>
                </c:pt>
                <c:pt idx="5">
                  <c:v>440327.20699999999</c:v>
                </c:pt>
              </c:numCache>
            </c:numRef>
          </c:xVal>
          <c:yVal>
            <c:numRef>
              <c:f>Equation!$L$3:$L$8</c:f>
              <c:numCache>
                <c:formatCode>General</c:formatCode>
                <c:ptCount val="6"/>
                <c:pt idx="0">
                  <c:v>3042695.071</c:v>
                </c:pt>
                <c:pt idx="1">
                  <c:v>3042701.4556588503</c:v>
                </c:pt>
                <c:pt idx="2">
                  <c:v>3042707.8403177001</c:v>
                </c:pt>
                <c:pt idx="3">
                  <c:v>3042714.2249765503</c:v>
                </c:pt>
                <c:pt idx="4">
                  <c:v>3042720.6096354006</c:v>
                </c:pt>
                <c:pt idx="5">
                  <c:v>3042740.2680000002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C7-4620-A6B9-0B137E193A01}"/>
            </c:ext>
          </c:extLst>
        </c:ser>
        <c:ser>
          <c:idx val="4"/>
          <c:order val="4"/>
          <c:tx>
            <c:v>YEF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Equation!$O$3:$O$8</c:f>
              <c:numCache>
                <c:formatCode>General</c:formatCode>
                <c:ptCount val="6"/>
                <c:pt idx="0">
                  <c:v>440323.66800000001</c:v>
                </c:pt>
                <c:pt idx="1">
                  <c:v>440324.66800000001</c:v>
                </c:pt>
                <c:pt idx="2">
                  <c:v>440325.66800000001</c:v>
                </c:pt>
                <c:pt idx="3">
                  <c:v>440326.66800000001</c:v>
                </c:pt>
                <c:pt idx="4">
                  <c:v>440327.66800000001</c:v>
                </c:pt>
                <c:pt idx="5">
                  <c:v>443285.45600000001</c:v>
                </c:pt>
              </c:numCache>
            </c:numRef>
          </c:xVal>
          <c:yVal>
            <c:numRef>
              <c:f>Equation!$P$3:$P$8</c:f>
              <c:numCache>
                <c:formatCode>General</c:formatCode>
                <c:ptCount val="6"/>
                <c:pt idx="0">
                  <c:v>3042717.6690000002</c:v>
                </c:pt>
                <c:pt idx="1">
                  <c:v>3042717.5095571233</c:v>
                </c:pt>
                <c:pt idx="2">
                  <c:v>3042717.3501142464</c:v>
                </c:pt>
                <c:pt idx="3">
                  <c:v>3042717.190671369</c:v>
                </c:pt>
                <c:pt idx="4">
                  <c:v>3042717.031228492</c:v>
                </c:pt>
                <c:pt idx="5">
                  <c:v>3042245.4330000002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C7-4620-A6B9-0B137E193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8600"/>
        <c:axId val="98352920"/>
      </c:scatterChart>
      <c:valAx>
        <c:axId val="9834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2920"/>
        <c:crosses val="autoZero"/>
        <c:crossBetween val="midCat"/>
      </c:valAx>
      <c:valAx>
        <c:axId val="9835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320165</xdr:colOff>
      <xdr:row>24</xdr:row>
      <xdr:rowOff>44823</xdr:rowOff>
    </xdr:from>
    <xdr:to>
      <xdr:col>23</xdr:col>
      <xdr:colOff>123265</xdr:colOff>
      <xdr:row>37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4A20F-7A5C-D09E-D0C9-085270BE7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0D39-AD29-466A-8074-93171DF1BA20}">
  <dimension ref="C1:S36"/>
  <sheetViews>
    <sheetView tabSelected="1" topLeftCell="A16" zoomScale="85" zoomScaleNormal="85" workbookViewId="0">
      <selection activeCell="C23" sqref="C23:D32"/>
    </sheetView>
  </sheetViews>
  <sheetFormatPr defaultRowHeight="15" x14ac:dyDescent="0.25"/>
  <cols>
    <col min="6" max="6" width="15.28515625" bestFit="1" customWidth="1"/>
    <col min="7" max="7" width="18.28515625" bestFit="1" customWidth="1"/>
    <col min="8" max="8" width="19.5703125" bestFit="1" customWidth="1"/>
    <col min="10" max="10" width="18.28515625" bestFit="1" customWidth="1"/>
    <col min="11" max="11" width="19.5703125" bestFit="1" customWidth="1"/>
    <col min="12" max="12" width="13.28515625" bestFit="1" customWidth="1"/>
    <col min="14" max="14" width="11.28515625" bestFit="1" customWidth="1"/>
    <col min="15" max="15" width="12.28515625" bestFit="1" customWidth="1"/>
  </cols>
  <sheetData>
    <row r="1" spans="6:19" x14ac:dyDescent="0.25">
      <c r="F1" s="44"/>
      <c r="G1" s="45" t="s">
        <v>0</v>
      </c>
      <c r="H1" s="45" t="s">
        <v>2</v>
      </c>
      <c r="I1" s="45" t="s">
        <v>29</v>
      </c>
      <c r="J1" s="45" t="s">
        <v>1</v>
      </c>
      <c r="K1" s="46" t="s">
        <v>3</v>
      </c>
    </row>
    <row r="2" spans="6:19" ht="15.75" x14ac:dyDescent="0.25">
      <c r="F2" s="47">
        <v>1</v>
      </c>
      <c r="G2" s="42">
        <v>53.320555555555501</v>
      </c>
      <c r="H2" s="43">
        <v>-1.7297222222222199</v>
      </c>
      <c r="I2" s="42">
        <v>2.0323397175675231</v>
      </c>
      <c r="J2" s="43">
        <v>53.318611111111103</v>
      </c>
      <c r="K2" s="48">
        <v>-1.6997222222222199</v>
      </c>
    </row>
    <row r="3" spans="6:19" ht="15.75" thickBot="1" x14ac:dyDescent="0.3">
      <c r="F3" s="47">
        <v>2</v>
      </c>
      <c r="G3" s="41">
        <v>51.510356999999999</v>
      </c>
      <c r="H3" s="41">
        <v>-0.116773</v>
      </c>
      <c r="I3" s="41"/>
      <c r="J3" s="41">
        <v>38.889930999999997</v>
      </c>
      <c r="K3" s="49">
        <v>-77.009003000000007</v>
      </c>
    </row>
    <row r="4" spans="6:19" ht="15.75" thickBot="1" x14ac:dyDescent="0.3">
      <c r="F4" s="50">
        <v>3</v>
      </c>
      <c r="G4" s="74">
        <f>27+30/60+20/3600</f>
        <v>27.505555555555556</v>
      </c>
      <c r="H4" s="74">
        <f>83+27/60+24.1/3600</f>
        <v>83.456694444444452</v>
      </c>
      <c r="I4" s="51"/>
      <c r="J4" s="51">
        <f>27+30/60+9.66/3600</f>
        <v>27.502683333333334</v>
      </c>
      <c r="K4" s="52">
        <f>83+25/60+32.89/3600</f>
        <v>83.425802777777776</v>
      </c>
      <c r="M4" s="4"/>
      <c r="N4" s="87" t="s">
        <v>36</v>
      </c>
      <c r="O4" s="88" t="s">
        <v>37</v>
      </c>
      <c r="P4" s="82"/>
      <c r="Q4" s="82"/>
    </row>
    <row r="5" spans="6:19" x14ac:dyDescent="0.25">
      <c r="F5" t="s">
        <v>99</v>
      </c>
      <c r="G5" s="85">
        <f>27+30/60+46.61/3600</f>
        <v>27.512947222222223</v>
      </c>
      <c r="H5" s="85">
        <f>83+24/60+58.94/3600</f>
        <v>83.416372222222222</v>
      </c>
      <c r="I5" s="85" t="s">
        <v>100</v>
      </c>
      <c r="J5" s="85">
        <f>27+30/60+15.19/3600</f>
        <v>27.504219444444445</v>
      </c>
      <c r="K5" s="85">
        <f>83+24/60+52.9/3600</f>
        <v>83.41469444444445</v>
      </c>
      <c r="M5" s="7" t="str">
        <f>F5</f>
        <v>House2</v>
      </c>
      <c r="N5" s="86">
        <v>442359.73100000003</v>
      </c>
      <c r="O5" s="89">
        <v>3043386.56</v>
      </c>
      <c r="P5" s="83"/>
      <c r="Q5" s="83"/>
    </row>
    <row r="6" spans="6:19" ht="15.75" thickBot="1" x14ac:dyDescent="0.3">
      <c r="F6" t="s">
        <v>47</v>
      </c>
      <c r="G6">
        <f>'RWY COORD'!D14</f>
        <v>27.50288611111111</v>
      </c>
      <c r="H6">
        <f>'RWY COORD'!E14</f>
        <v>83.425833333333344</v>
      </c>
      <c r="I6" t="s">
        <v>48</v>
      </c>
      <c r="J6">
        <f>'RWY COORD'!D15</f>
        <v>27.502483333333334</v>
      </c>
      <c r="K6">
        <f>'RWY COORD'!E15</f>
        <v>83.425763888888895</v>
      </c>
      <c r="M6" s="10" t="str">
        <f>I5</f>
        <v>RWYCL</v>
      </c>
      <c r="N6" s="90">
        <v>442189.46399999998</v>
      </c>
      <c r="O6" s="91">
        <v>3042420.56</v>
      </c>
      <c r="P6" s="83"/>
      <c r="Q6" s="83"/>
    </row>
    <row r="7" spans="6:19" x14ac:dyDescent="0.25">
      <c r="F7" t="s">
        <v>49</v>
      </c>
      <c r="G7">
        <f>'RWY COORD'!D16</f>
        <v>27.506616666666666</v>
      </c>
      <c r="H7">
        <f>'RWY COORD'!E16</f>
        <v>83.395755555555567</v>
      </c>
      <c r="I7" t="s">
        <v>50</v>
      </c>
      <c r="J7">
        <f>'RWY COORD'!D17</f>
        <v>27.507024999999999</v>
      </c>
      <c r="K7">
        <f>'RWY COORD'!E17</f>
        <v>83.395825000000002</v>
      </c>
      <c r="N7" s="82"/>
      <c r="O7" s="82"/>
    </row>
    <row r="8" spans="6:19" x14ac:dyDescent="0.25">
      <c r="F8" t="s">
        <v>66</v>
      </c>
      <c r="G8" s="75">
        <f>27+30/60+9.7/3600</f>
        <v>27.502694444444444</v>
      </c>
      <c r="H8" s="75">
        <f>83+25/60+32.91/3600</f>
        <v>83.425808333333336</v>
      </c>
      <c r="J8">
        <f>27+30/60+24.61/3600</f>
        <v>27.506836111111109</v>
      </c>
      <c r="K8">
        <f>83+23/60+44.89/3600</f>
        <v>83.395802777777789</v>
      </c>
    </row>
    <row r="10" spans="6:19" ht="15.75" thickBot="1" x14ac:dyDescent="0.3"/>
    <row r="11" spans="6:19" x14ac:dyDescent="0.25">
      <c r="G11" s="12" t="s">
        <v>0</v>
      </c>
      <c r="H11" s="13" t="s">
        <v>2</v>
      </c>
      <c r="I11" s="13"/>
      <c r="J11" s="13" t="s">
        <v>1</v>
      </c>
      <c r="K11" s="14" t="s">
        <v>3</v>
      </c>
      <c r="M11" s="4"/>
      <c r="N11" s="5"/>
      <c r="O11" s="6"/>
    </row>
    <row r="12" spans="6:19" ht="15.75" x14ac:dyDescent="0.25">
      <c r="G12" s="15">
        <v>27.512947222222223</v>
      </c>
      <c r="H12" s="16">
        <v>83.416372222222222</v>
      </c>
      <c r="I12" s="17" t="s">
        <v>100</v>
      </c>
      <c r="J12" s="16">
        <v>27.504219444444445</v>
      </c>
      <c r="K12" s="18">
        <v>83.41469444444445</v>
      </c>
      <c r="M12" s="7"/>
      <c r="N12" t="s">
        <v>36</v>
      </c>
      <c r="O12" s="8" t="s">
        <v>37</v>
      </c>
    </row>
    <row r="13" spans="6:19" x14ac:dyDescent="0.25">
      <c r="G13" s="19">
        <f>G12/180*PI()</f>
        <v>0.48019151595520582</v>
      </c>
      <c r="H13" s="20">
        <f>H12/180*PI()</f>
        <v>1.4558903453469167</v>
      </c>
      <c r="I13" s="20"/>
      <c r="J13" s="20">
        <f>J12/180*PI()</f>
        <v>0.48003918749660113</v>
      </c>
      <c r="K13" s="21">
        <f>K12/180*PI()</f>
        <v>1.4558610626005779</v>
      </c>
      <c r="M13" s="7" t="s">
        <v>38</v>
      </c>
      <c r="N13" s="1">
        <v>442359.73100000003</v>
      </c>
      <c r="O13" s="40">
        <v>3043386.56</v>
      </c>
    </row>
    <row r="14" spans="6:19" ht="15.75" thickBot="1" x14ac:dyDescent="0.3">
      <c r="G14" s="19" t="s">
        <v>9</v>
      </c>
      <c r="H14" s="20">
        <f>6378137/1000*0+6371</f>
        <v>6371</v>
      </c>
      <c r="I14" s="22"/>
      <c r="J14" s="22"/>
      <c r="K14" s="23"/>
      <c r="M14" s="29" t="s">
        <v>39</v>
      </c>
      <c r="N14" s="1">
        <v>442189.46399999998</v>
      </c>
      <c r="O14" s="40">
        <v>3042420.56</v>
      </c>
      <c r="S14" t="s">
        <v>28</v>
      </c>
    </row>
    <row r="15" spans="6:19" x14ac:dyDescent="0.25">
      <c r="F15" s="115" t="s">
        <v>41</v>
      </c>
      <c r="G15" s="32" t="s">
        <v>4</v>
      </c>
      <c r="H15" s="33">
        <f>SIN(G13)*SIN(J13)</f>
        <v>0.21333450395446146</v>
      </c>
      <c r="I15" s="2"/>
      <c r="M15" s="7"/>
      <c r="N15">
        <f>N13-N14</f>
        <v>170.26700000005076</v>
      </c>
      <c r="O15" s="8">
        <f>O13-O14</f>
        <v>966</v>
      </c>
    </row>
    <row r="16" spans="6:19" x14ac:dyDescent="0.25">
      <c r="F16" s="116"/>
      <c r="G16" s="34" t="s">
        <v>5</v>
      </c>
      <c r="H16" s="35">
        <f>COS(G13)*COS(J13)*COS(K13-H13)</f>
        <v>0.78666548410628434</v>
      </c>
      <c r="I16" s="2"/>
      <c r="M16" s="7"/>
      <c r="N16">
        <f>N15*N15</f>
        <v>28990.851289017286</v>
      </c>
      <c r="O16" s="8">
        <f>O15*O15</f>
        <v>933156</v>
      </c>
    </row>
    <row r="17" spans="3:16" x14ac:dyDescent="0.25">
      <c r="F17" s="116"/>
      <c r="G17" s="34" t="s">
        <v>6</v>
      </c>
      <c r="H17" s="35">
        <f>H15+H16</f>
        <v>0.99999998806074575</v>
      </c>
      <c r="I17" s="2"/>
      <c r="M17" s="7"/>
      <c r="N17">
        <f>N16+O16</f>
        <v>962146.85128901724</v>
      </c>
      <c r="O17" s="8"/>
    </row>
    <row r="18" spans="3:16" ht="15.75" thickBot="1" x14ac:dyDescent="0.3">
      <c r="F18" s="116"/>
      <c r="G18" s="34" t="s">
        <v>7</v>
      </c>
      <c r="H18" s="35">
        <f>ACOS(H17)</f>
        <v>1.5452672439209003E-4</v>
      </c>
      <c r="I18" s="2"/>
      <c r="M18" s="10"/>
      <c r="N18" s="9">
        <f>SQRT(N17)</f>
        <v>980.89084575655886</v>
      </c>
      <c r="O18" s="11"/>
    </row>
    <row r="19" spans="3:16" x14ac:dyDescent="0.25">
      <c r="F19" s="116"/>
      <c r="G19" s="36" t="s">
        <v>8</v>
      </c>
      <c r="H19" s="37">
        <f>H14*H18</f>
        <v>0.98448976110200559</v>
      </c>
      <c r="I19" s="2"/>
      <c r="K19" t="s">
        <v>28</v>
      </c>
    </row>
    <row r="20" spans="3:16" ht="15.75" thickBot="1" x14ac:dyDescent="0.3">
      <c r="F20" s="117"/>
      <c r="G20" s="38" t="s">
        <v>10</v>
      </c>
      <c r="H20" s="39">
        <f>H19*1000</f>
        <v>984.48976110200556</v>
      </c>
      <c r="I20" s="2"/>
      <c r="N20" t="s">
        <v>28</v>
      </c>
      <c r="O20" t="s">
        <v>28</v>
      </c>
      <c r="P20" t="s">
        <v>28</v>
      </c>
    </row>
    <row r="22" spans="3:16" ht="15.75" thickBot="1" x14ac:dyDescent="0.3"/>
    <row r="23" spans="3:16" x14ac:dyDescent="0.25">
      <c r="C23" s="118" t="s">
        <v>43</v>
      </c>
      <c r="D23" s="119"/>
      <c r="E23" s="24"/>
      <c r="F23" s="24" t="s">
        <v>11</v>
      </c>
      <c r="G23" s="25" t="s">
        <v>12</v>
      </c>
    </row>
    <row r="24" spans="3:16" x14ac:dyDescent="0.25">
      <c r="C24" s="120"/>
      <c r="D24" s="121"/>
      <c r="E24" s="20"/>
      <c r="F24" s="20">
        <f>J13-G13</f>
        <v>-1.5232845860468913E-4</v>
      </c>
      <c r="G24" s="21">
        <f>K13-H13</f>
        <v>-2.9282746338843424E-5</v>
      </c>
    </row>
    <row r="25" spans="3:16" x14ac:dyDescent="0.25">
      <c r="C25" s="120"/>
      <c r="D25" s="121"/>
      <c r="E25" s="20" t="s">
        <v>16</v>
      </c>
      <c r="F25" s="20" t="s">
        <v>15</v>
      </c>
      <c r="G25" s="21">
        <f>SIN(F24/2)*SIN(F24/2)</f>
        <v>5.8009898140029628E-9</v>
      </c>
    </row>
    <row r="26" spans="3:16" x14ac:dyDescent="0.25">
      <c r="C26" s="120"/>
      <c r="D26" s="121"/>
      <c r="E26" s="20" t="s">
        <v>17</v>
      </c>
      <c r="F26" s="20" t="s">
        <v>13</v>
      </c>
      <c r="G26" s="21">
        <f>COS(G13)*COS(J13)</f>
        <v>0.78666548444355899</v>
      </c>
    </row>
    <row r="27" spans="3:16" x14ac:dyDescent="0.25">
      <c r="C27" s="120"/>
      <c r="D27" s="121"/>
      <c r="E27" s="20" t="s">
        <v>18</v>
      </c>
      <c r="F27" s="20" t="s">
        <v>14</v>
      </c>
      <c r="G27" s="21">
        <f>SIN(G24/2)*SIN(G24/2)</f>
        <v>2.1436980827094386E-10</v>
      </c>
    </row>
    <row r="28" spans="3:16" x14ac:dyDescent="0.25">
      <c r="C28" s="120"/>
      <c r="D28" s="121"/>
      <c r="E28" s="30" t="s">
        <v>19</v>
      </c>
      <c r="F28" s="30" t="s">
        <v>20</v>
      </c>
      <c r="G28" s="31">
        <f>G25+G26*G27</f>
        <v>5.9696271430764976E-9</v>
      </c>
      <c r="H28" s="1" t="s">
        <v>40</v>
      </c>
    </row>
    <row r="29" spans="3:16" x14ac:dyDescent="0.25">
      <c r="C29" s="120"/>
      <c r="D29" s="121"/>
      <c r="E29" s="20" t="s">
        <v>21</v>
      </c>
      <c r="F29" s="20" t="s">
        <v>22</v>
      </c>
      <c r="G29" s="21">
        <f>SQRT(G28)</f>
        <v>7.7263362229950213E-5</v>
      </c>
    </row>
    <row r="30" spans="3:16" x14ac:dyDescent="0.25">
      <c r="C30" s="120"/>
      <c r="D30" s="121"/>
      <c r="E30" s="20" t="s">
        <v>23</v>
      </c>
      <c r="F30" s="20" t="s">
        <v>35</v>
      </c>
      <c r="G30" s="21">
        <f>ASIN(G29)</f>
        <v>7.7263362306822465E-5</v>
      </c>
    </row>
    <row r="31" spans="3:16" ht="15.75" thickBot="1" x14ac:dyDescent="0.3">
      <c r="C31" s="120"/>
      <c r="D31" s="121"/>
      <c r="E31" s="20" t="s">
        <v>24</v>
      </c>
      <c r="F31" s="20" t="s">
        <v>25</v>
      </c>
      <c r="G31" s="21">
        <f>G30*2</f>
        <v>1.5452672461364493E-4</v>
      </c>
    </row>
    <row r="32" spans="3:16" ht="15.75" thickBot="1" x14ac:dyDescent="0.3">
      <c r="C32" s="122"/>
      <c r="D32" s="123"/>
      <c r="E32" s="26" t="s">
        <v>26</v>
      </c>
      <c r="F32" s="26" t="s">
        <v>27</v>
      </c>
      <c r="G32" s="27">
        <f>G31*H14</f>
        <v>0.98448976251353182</v>
      </c>
      <c r="H32" s="28">
        <f>G32*1000</f>
        <v>984.48976251353179</v>
      </c>
      <c r="L32" s="53"/>
    </row>
    <row r="33" spans="5:8" x14ac:dyDescent="0.25">
      <c r="E33" s="20"/>
      <c r="F33" s="20"/>
      <c r="G33" s="20"/>
      <c r="H33" s="20"/>
    </row>
    <row r="34" spans="5:8" x14ac:dyDescent="0.25">
      <c r="E34" s="2" t="s">
        <v>31</v>
      </c>
      <c r="F34" s="2" t="s">
        <v>30</v>
      </c>
      <c r="G34" s="2">
        <f>(SQRT(1-G28))</f>
        <v>0.99999999701518638</v>
      </c>
    </row>
    <row r="35" spans="5:8" x14ac:dyDescent="0.25">
      <c r="E35" s="2" t="s">
        <v>32</v>
      </c>
      <c r="F35" s="2" t="s">
        <v>34</v>
      </c>
      <c r="G35" s="2">
        <f>2*ATAN2(G34,G28)</f>
        <v>1.1939254321789445E-8</v>
      </c>
    </row>
    <row r="36" spans="5:8" x14ac:dyDescent="0.25">
      <c r="E36" s="3" t="s">
        <v>33</v>
      </c>
      <c r="F36" s="3" t="s">
        <v>42</v>
      </c>
      <c r="G36" s="3">
        <f>G35*H14</f>
        <v>7.6064989284120547E-5</v>
      </c>
    </row>
  </sheetData>
  <mergeCells count="2">
    <mergeCell ref="F15:F20"/>
    <mergeCell ref="C23:D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DFB22-462C-4B85-A21E-E1535E2238BB}">
  <dimension ref="A2:Q47"/>
  <sheetViews>
    <sheetView topLeftCell="A31" workbookViewId="0">
      <selection activeCell="K45" sqref="J45:K45"/>
    </sheetView>
  </sheetViews>
  <sheetFormatPr defaultRowHeight="15" x14ac:dyDescent="0.25"/>
  <cols>
    <col min="2" max="2" width="17.5703125" customWidth="1"/>
    <col min="3" max="3" width="13.7109375" customWidth="1"/>
    <col min="4" max="4" width="11.5703125" bestFit="1" customWidth="1"/>
    <col min="5" max="5" width="15.28515625" customWidth="1"/>
    <col min="6" max="6" width="13.140625" customWidth="1"/>
    <col min="7" max="7" width="15.5703125" customWidth="1"/>
    <col min="8" max="8" width="12.7109375" bestFit="1" customWidth="1"/>
    <col min="9" max="9" width="10.5703125" bestFit="1" customWidth="1"/>
    <col min="10" max="10" width="12.28515625" bestFit="1" customWidth="1"/>
    <col min="11" max="11" width="15.42578125" bestFit="1" customWidth="1"/>
    <col min="12" max="12" width="14.5703125" bestFit="1" customWidth="1"/>
    <col min="13" max="13" width="10.5703125" bestFit="1" customWidth="1"/>
    <col min="14" max="14" width="13.28515625" bestFit="1" customWidth="1"/>
    <col min="15" max="15" width="7.85546875" customWidth="1"/>
    <col min="16" max="16" width="13.28515625" customWidth="1"/>
    <col min="17" max="17" width="13" customWidth="1"/>
  </cols>
  <sheetData>
    <row r="2" spans="1:17" x14ac:dyDescent="0.25">
      <c r="B2" s="124" t="s">
        <v>60</v>
      </c>
      <c r="C2" s="124"/>
      <c r="D2" s="124"/>
      <c r="E2" s="124"/>
      <c r="F2" s="124"/>
      <c r="G2" s="124"/>
      <c r="H2" s="124"/>
      <c r="I2" s="124"/>
      <c r="J2" s="124"/>
      <c r="K2" s="124"/>
    </row>
    <row r="3" spans="1:17" x14ac:dyDescent="0.25">
      <c r="B3" s="129" t="s">
        <v>44</v>
      </c>
      <c r="C3" s="129" t="s">
        <v>45</v>
      </c>
      <c r="D3" s="126" t="s">
        <v>46</v>
      </c>
      <c r="E3" s="127"/>
      <c r="F3" s="127"/>
      <c r="G3" s="128"/>
      <c r="H3" s="126" t="s">
        <v>55</v>
      </c>
      <c r="I3" s="127"/>
      <c r="J3" s="127"/>
      <c r="K3" s="128"/>
    </row>
    <row r="4" spans="1:17" x14ac:dyDescent="0.25">
      <c r="B4" s="130"/>
      <c r="C4" s="130"/>
      <c r="D4" s="54" t="s">
        <v>56</v>
      </c>
      <c r="E4" s="54" t="s">
        <v>57</v>
      </c>
      <c r="F4" s="54" t="s">
        <v>58</v>
      </c>
      <c r="G4" s="54" t="s">
        <v>59</v>
      </c>
      <c r="H4" s="54" t="s">
        <v>56</v>
      </c>
      <c r="I4" s="54" t="s">
        <v>57</v>
      </c>
      <c r="J4" s="54" t="s">
        <v>58</v>
      </c>
      <c r="K4" s="54" t="s">
        <v>59</v>
      </c>
    </row>
    <row r="5" spans="1:17" x14ac:dyDescent="0.25">
      <c r="B5" s="41" t="s">
        <v>47</v>
      </c>
      <c r="C5" s="41" t="s">
        <v>51</v>
      </c>
      <c r="D5" s="41">
        <v>27</v>
      </c>
      <c r="E5" s="41">
        <v>30</v>
      </c>
      <c r="F5" s="41">
        <v>10.39</v>
      </c>
      <c r="G5" s="41">
        <f>D5+E5/60+F5/3600</f>
        <v>27.50288611111111</v>
      </c>
      <c r="H5" s="41">
        <v>83</v>
      </c>
      <c r="I5" s="41">
        <v>25</v>
      </c>
      <c r="J5" s="41">
        <v>33</v>
      </c>
      <c r="K5" s="41">
        <f>H5+I5/60+J5/3600</f>
        <v>83.425833333333344</v>
      </c>
      <c r="L5" s="111">
        <f>83+34/60+39.44/3600</f>
        <v>83.577622222222217</v>
      </c>
      <c r="M5" s="111">
        <f>L5-K5</f>
        <v>0.15178888888887343</v>
      </c>
    </row>
    <row r="6" spans="1:17" x14ac:dyDescent="0.25">
      <c r="B6" s="41" t="s">
        <v>48</v>
      </c>
      <c r="C6" s="41" t="s">
        <v>52</v>
      </c>
      <c r="D6" s="41">
        <v>27</v>
      </c>
      <c r="E6" s="41">
        <v>30</v>
      </c>
      <c r="F6" s="41">
        <v>8.94</v>
      </c>
      <c r="G6" s="41">
        <f t="shared" ref="G6:G8" si="0">D6+E6/60+F6/3600</f>
        <v>27.502483333333334</v>
      </c>
      <c r="H6" s="41">
        <v>83</v>
      </c>
      <c r="I6" s="41">
        <v>25</v>
      </c>
      <c r="J6" s="41">
        <v>32.75</v>
      </c>
      <c r="K6" s="41">
        <f t="shared" ref="K6:K8" si="1">H6+I6/60+J6/3600</f>
        <v>83.425763888888895</v>
      </c>
      <c r="L6" s="111">
        <f>83+14/60+41.13/3600</f>
        <v>83.244758333333337</v>
      </c>
      <c r="M6" s="111">
        <f>L6-K8</f>
        <v>-0.15106666666666513</v>
      </c>
    </row>
    <row r="7" spans="1:17" x14ac:dyDescent="0.25">
      <c r="B7" s="41" t="s">
        <v>49</v>
      </c>
      <c r="C7" s="41" t="s">
        <v>54</v>
      </c>
      <c r="D7" s="41">
        <v>27</v>
      </c>
      <c r="E7" s="41">
        <v>30</v>
      </c>
      <c r="F7" s="41">
        <v>23.82</v>
      </c>
      <c r="G7" s="41">
        <f t="shared" si="0"/>
        <v>27.506616666666666</v>
      </c>
      <c r="H7" s="41">
        <v>83</v>
      </c>
      <c r="I7" s="41">
        <v>23</v>
      </c>
      <c r="J7" s="41">
        <v>44.72</v>
      </c>
      <c r="K7" s="41">
        <f>H7+I7/60+J7/3600</f>
        <v>83.395755555555567</v>
      </c>
      <c r="L7" s="111">
        <f>L5-L6</f>
        <v>0.33286388888888041</v>
      </c>
      <c r="M7" s="111">
        <f>M5-M6</f>
        <v>0.30285555555553856</v>
      </c>
    </row>
    <row r="8" spans="1:17" x14ac:dyDescent="0.25">
      <c r="B8" s="41" t="s">
        <v>50</v>
      </c>
      <c r="C8" s="41" t="s">
        <v>53</v>
      </c>
      <c r="D8" s="41">
        <v>27</v>
      </c>
      <c r="E8" s="41">
        <v>30</v>
      </c>
      <c r="F8" s="41">
        <v>25.29</v>
      </c>
      <c r="G8" s="41">
        <f t="shared" si="0"/>
        <v>27.507024999999999</v>
      </c>
      <c r="H8" s="41">
        <v>83</v>
      </c>
      <c r="I8" s="41">
        <v>23</v>
      </c>
      <c r="J8" s="41">
        <v>44.97</v>
      </c>
      <c r="K8" s="41">
        <f t="shared" si="1"/>
        <v>83.395825000000002</v>
      </c>
      <c r="L8" s="111">
        <f>L7*111</f>
        <v>36.947891666665726</v>
      </c>
      <c r="M8" s="111"/>
    </row>
    <row r="9" spans="1:17" x14ac:dyDescent="0.25">
      <c r="B9" s="41" t="s">
        <v>66</v>
      </c>
      <c r="C9" s="41" t="s">
        <v>102</v>
      </c>
      <c r="D9" s="41">
        <f>(D5+D6)/2</f>
        <v>27</v>
      </c>
      <c r="E9" s="41">
        <f t="shared" ref="E9:K9" si="2">(E5+E6)/2</f>
        <v>30</v>
      </c>
      <c r="F9" s="41">
        <f t="shared" si="2"/>
        <v>9.6649999999999991</v>
      </c>
      <c r="G9" s="41">
        <f t="shared" si="2"/>
        <v>27.50268472222222</v>
      </c>
      <c r="H9" s="41">
        <f>(H5+H6)/2</f>
        <v>83</v>
      </c>
      <c r="I9" s="41">
        <f t="shared" si="2"/>
        <v>25</v>
      </c>
      <c r="J9" s="41">
        <f t="shared" si="2"/>
        <v>32.875</v>
      </c>
      <c r="K9" s="41">
        <f t="shared" si="2"/>
        <v>83.425798611111119</v>
      </c>
    </row>
    <row r="10" spans="1:17" x14ac:dyDescent="0.25">
      <c r="B10" s="41" t="s">
        <v>67</v>
      </c>
      <c r="C10" s="41" t="s">
        <v>103</v>
      </c>
      <c r="D10" s="41">
        <f>(D7+D8)/2</f>
        <v>27</v>
      </c>
      <c r="E10" s="41">
        <f t="shared" ref="E10:K10" si="3">(E7+E8)/2</f>
        <v>30</v>
      </c>
      <c r="F10" s="41">
        <f t="shared" si="3"/>
        <v>24.555</v>
      </c>
      <c r="G10" s="41">
        <f t="shared" si="3"/>
        <v>27.506820833333332</v>
      </c>
      <c r="H10" s="41">
        <f t="shared" si="3"/>
        <v>83</v>
      </c>
      <c r="I10" s="41">
        <f t="shared" si="3"/>
        <v>23</v>
      </c>
      <c r="J10" s="41">
        <f t="shared" si="3"/>
        <v>44.844999999999999</v>
      </c>
      <c r="K10" s="41">
        <f t="shared" si="3"/>
        <v>83.395790277777792</v>
      </c>
    </row>
    <row r="12" spans="1:17" x14ac:dyDescent="0.25">
      <c r="B12" s="125" t="s">
        <v>101</v>
      </c>
      <c r="C12" s="125"/>
      <c r="D12" s="125"/>
      <c r="E12" s="125"/>
      <c r="F12" s="125"/>
      <c r="G12" s="125"/>
      <c r="I12" s="125" t="s">
        <v>74</v>
      </c>
      <c r="J12" s="125"/>
      <c r="K12" s="125"/>
      <c r="L12" s="125"/>
      <c r="M12" s="125"/>
      <c r="N12" s="125"/>
      <c r="O12" s="125"/>
      <c r="P12" s="125"/>
      <c r="Q12" s="125"/>
    </row>
    <row r="13" spans="1:17" x14ac:dyDescent="0.25">
      <c r="B13" s="55" t="s">
        <v>44</v>
      </c>
      <c r="C13" s="55" t="s">
        <v>45</v>
      </c>
      <c r="D13" s="56" t="s">
        <v>46</v>
      </c>
      <c r="E13" s="56" t="s">
        <v>55</v>
      </c>
      <c r="F13" s="56" t="s">
        <v>36</v>
      </c>
      <c r="G13" s="56" t="s">
        <v>37</v>
      </c>
      <c r="I13" s="54" t="s">
        <v>76</v>
      </c>
      <c r="J13" s="54" t="s">
        <v>73</v>
      </c>
      <c r="K13" s="54" t="s">
        <v>68</v>
      </c>
      <c r="L13" s="54" t="s">
        <v>69</v>
      </c>
      <c r="M13" s="54" t="s">
        <v>70</v>
      </c>
      <c r="N13" s="54" t="s">
        <v>71</v>
      </c>
      <c r="O13" s="54" t="s">
        <v>72</v>
      </c>
      <c r="P13" s="54" t="s">
        <v>75</v>
      </c>
      <c r="Q13" s="54" t="s">
        <v>79</v>
      </c>
    </row>
    <row r="14" spans="1:17" x14ac:dyDescent="0.25">
      <c r="A14">
        <v>0</v>
      </c>
      <c r="B14" s="41" t="str">
        <f>B5</f>
        <v>A</v>
      </c>
      <c r="C14" s="41" t="str">
        <f>C5</f>
        <v>RWY28 N</v>
      </c>
      <c r="D14" s="41">
        <f t="shared" ref="D14:D19" si="4">G5</f>
        <v>27.50288611111111</v>
      </c>
      <c r="E14" s="41">
        <f t="shared" ref="E14:E19" si="5">K5</f>
        <v>83.425833333333344</v>
      </c>
      <c r="F14" s="42">
        <v>443288.989</v>
      </c>
      <c r="G14" s="42">
        <v>3042267.7250000001</v>
      </c>
      <c r="I14" s="42" t="s">
        <v>77</v>
      </c>
      <c r="J14" s="59">
        <f>(L14-K14)/(N14-M14)*(O14-M14)+K14</f>
        <v>3112993.0885578361</v>
      </c>
      <c r="K14" s="59">
        <f>G14</f>
        <v>3042267.7250000001</v>
      </c>
      <c r="L14" s="59">
        <f>G17</f>
        <v>3042740.2680000002</v>
      </c>
      <c r="M14" s="59">
        <f>F14</f>
        <v>443288.989</v>
      </c>
      <c r="N14" s="59">
        <f>F17</f>
        <v>440327.20699999999</v>
      </c>
      <c r="O14" s="42">
        <v>0</v>
      </c>
      <c r="P14" s="64">
        <f>(L14-K14)/(N14-M14)</f>
        <v>-0.15954685388730916</v>
      </c>
      <c r="Q14" s="58">
        <f>K14-P14*M14</f>
        <v>3112993.0885578361</v>
      </c>
    </row>
    <row r="15" spans="1:17" x14ac:dyDescent="0.25">
      <c r="A15">
        <v>1</v>
      </c>
      <c r="B15" s="41" t="str">
        <f t="shared" ref="B15:C19" si="6">B6</f>
        <v>B</v>
      </c>
      <c r="C15" s="41" t="str">
        <f t="shared" si="6"/>
        <v>RWY28 S</v>
      </c>
      <c r="D15" s="41">
        <f t="shared" si="4"/>
        <v>27.502483333333334</v>
      </c>
      <c r="E15" s="41">
        <f t="shared" si="5"/>
        <v>83.425763888888895</v>
      </c>
      <c r="F15" s="42">
        <v>443281.92300000001</v>
      </c>
      <c r="G15" s="42">
        <v>3042223.1409999998</v>
      </c>
      <c r="I15" s="42" t="s">
        <v>78</v>
      </c>
      <c r="J15" s="59">
        <f>(L15-K15)/(N15-M15)*(O15-M15)+K15</f>
        <v>3112855.321120996</v>
      </c>
      <c r="K15" s="59">
        <f>G15</f>
        <v>3042223.1409999998</v>
      </c>
      <c r="L15" s="59">
        <f>G16</f>
        <v>3042695.071</v>
      </c>
      <c r="M15" s="59">
        <f>F15</f>
        <v>443281.92300000001</v>
      </c>
      <c r="N15" s="59">
        <f>F16</f>
        <v>440320.12800000003</v>
      </c>
      <c r="O15" s="42">
        <v>0</v>
      </c>
      <c r="P15" s="64">
        <f t="shared" ref="P15" si="7">(L15-K15)/(N15-M15)</f>
        <v>-0.1593391845148534</v>
      </c>
      <c r="Q15" s="58">
        <f>K15-P15*M15</f>
        <v>3112855.321120996</v>
      </c>
    </row>
    <row r="16" spans="1:17" x14ac:dyDescent="0.25">
      <c r="A16">
        <v>2</v>
      </c>
      <c r="B16" s="41" t="str">
        <f t="shared" si="6"/>
        <v>C</v>
      </c>
      <c r="C16" s="41" t="str">
        <f t="shared" si="6"/>
        <v>RWY10 S</v>
      </c>
      <c r="D16" s="41">
        <f t="shared" si="4"/>
        <v>27.506616666666666</v>
      </c>
      <c r="E16" s="41">
        <f t="shared" si="5"/>
        <v>83.395755555555567</v>
      </c>
      <c r="F16" s="42">
        <v>440320.12800000003</v>
      </c>
      <c r="G16" s="42">
        <v>3042695.071</v>
      </c>
      <c r="I16" s="61" t="s">
        <v>80</v>
      </c>
      <c r="J16" s="62">
        <f t="shared" ref="J16:J17" si="8">(L16-K16)/(N16-M16)*(O16-M16)+K16</f>
        <v>245268.53370128898</v>
      </c>
      <c r="K16" s="62">
        <f>G14</f>
        <v>3042267.7250000001</v>
      </c>
      <c r="L16" s="62">
        <f>G15</f>
        <v>3042223.1409999998</v>
      </c>
      <c r="M16" s="62">
        <f>F14</f>
        <v>443288.989</v>
      </c>
      <c r="N16" s="62">
        <f>F15</f>
        <v>443281.92300000001</v>
      </c>
      <c r="O16" s="61">
        <v>0</v>
      </c>
      <c r="P16" s="65">
        <f>(L16-K16)/(N16-M16)</f>
        <v>6.3096518539934028</v>
      </c>
      <c r="Q16" s="63">
        <f>K16-P16*M16</f>
        <v>245268.53370128898</v>
      </c>
    </row>
    <row r="17" spans="1:17" ht="15.75" thickBot="1" x14ac:dyDescent="0.3">
      <c r="A17">
        <v>3</v>
      </c>
      <c r="B17" s="51" t="str">
        <f t="shared" si="6"/>
        <v>D</v>
      </c>
      <c r="C17" s="51" t="str">
        <f t="shared" si="6"/>
        <v>RWY10 N</v>
      </c>
      <c r="D17" s="51">
        <f t="shared" si="4"/>
        <v>27.507024999999999</v>
      </c>
      <c r="E17" s="51">
        <f t="shared" si="5"/>
        <v>83.395825000000002</v>
      </c>
      <c r="F17" s="79">
        <v>440327.20699999999</v>
      </c>
      <c r="G17" s="79">
        <v>3042740.2680000002</v>
      </c>
      <c r="I17" s="42" t="s">
        <v>81</v>
      </c>
      <c r="J17" s="59">
        <f t="shared" si="8"/>
        <v>231401.26885644207</v>
      </c>
      <c r="K17" s="59">
        <f>G16</f>
        <v>3042695.071</v>
      </c>
      <c r="L17" s="59">
        <f>G17</f>
        <v>3042740.2680000002</v>
      </c>
      <c r="M17" s="59">
        <f>F16</f>
        <v>440320.12800000003</v>
      </c>
      <c r="N17" s="59">
        <f>F17</f>
        <v>440327.20699999999</v>
      </c>
      <c r="O17" s="42">
        <v>0</v>
      </c>
      <c r="P17" s="64">
        <f>(L17-K17)/(N17-M17)</f>
        <v>6.3846588501708412</v>
      </c>
      <c r="Q17" s="58">
        <f>K17-P17*M17</f>
        <v>231401.26885644207</v>
      </c>
    </row>
    <row r="18" spans="1:17" x14ac:dyDescent="0.25">
      <c r="A18">
        <v>4</v>
      </c>
      <c r="B18" s="57" t="str">
        <f t="shared" si="6"/>
        <v>E</v>
      </c>
      <c r="C18" s="57" t="str">
        <f t="shared" si="6"/>
        <v>RWY28 C</v>
      </c>
      <c r="D18" s="57">
        <f t="shared" si="4"/>
        <v>27.50268472222222</v>
      </c>
      <c r="E18" s="57">
        <f t="shared" si="5"/>
        <v>83.425798611111119</v>
      </c>
      <c r="F18" s="80">
        <v>443285.45600000001</v>
      </c>
      <c r="G18" s="80">
        <v>3042245.4330000002</v>
      </c>
      <c r="I18" s="42" t="s">
        <v>92</v>
      </c>
      <c r="J18" s="59">
        <f t="shared" ref="J18" si="9">(L18-K18)/(N18-M18)*(O18-M18)+K18</f>
        <v>3112924.1414692192</v>
      </c>
      <c r="K18" s="59">
        <f>G18</f>
        <v>3042245.4330000002</v>
      </c>
      <c r="L18" s="59">
        <f>G19</f>
        <v>3042717.6690000002</v>
      </c>
      <c r="M18" s="59">
        <f>F18</f>
        <v>443285.45600000001</v>
      </c>
      <c r="N18" s="59">
        <f>F19</f>
        <v>440323.66800000001</v>
      </c>
      <c r="O18" s="42">
        <v>0</v>
      </c>
      <c r="P18" s="64">
        <f>(L18-K18)/(N18-M18)</f>
        <v>-0.15944287707291455</v>
      </c>
      <c r="Q18" s="58">
        <f>K18-P18*M18</f>
        <v>3112924.1414692192</v>
      </c>
    </row>
    <row r="19" spans="1:17" x14ac:dyDescent="0.25">
      <c r="A19">
        <v>5</v>
      </c>
      <c r="B19" s="41" t="str">
        <f t="shared" si="6"/>
        <v>F</v>
      </c>
      <c r="C19" s="41" t="str">
        <f t="shared" si="6"/>
        <v>RWY10 C</v>
      </c>
      <c r="D19" s="41">
        <f t="shared" si="4"/>
        <v>27.506820833333332</v>
      </c>
      <c r="E19" s="41">
        <f t="shared" si="5"/>
        <v>83.395790277777792</v>
      </c>
      <c r="F19" s="42">
        <v>440323.66800000001</v>
      </c>
      <c r="G19" s="42">
        <v>3042717.6690000002</v>
      </c>
    </row>
    <row r="20" spans="1:17" x14ac:dyDescent="0.25">
      <c r="P20" s="81"/>
    </row>
    <row r="21" spans="1:17" x14ac:dyDescent="0.25">
      <c r="B21" s="54" t="s">
        <v>65</v>
      </c>
      <c r="C21" s="54" t="s">
        <v>61</v>
      </c>
      <c r="D21" s="54" t="s">
        <v>62</v>
      </c>
      <c r="E21" s="54" t="s">
        <v>63</v>
      </c>
      <c r="F21" s="54" t="s">
        <v>64</v>
      </c>
      <c r="O21" s="60"/>
      <c r="P21" s="81"/>
    </row>
    <row r="22" spans="1:17" x14ac:dyDescent="0.25">
      <c r="B22" s="42" t="s">
        <v>47</v>
      </c>
      <c r="C22" s="42" t="s">
        <v>48</v>
      </c>
      <c r="D22" s="42">
        <f>F15-F14</f>
        <v>-7.0659999999916181</v>
      </c>
      <c r="E22" s="42">
        <f t="shared" ref="D22:E24" si="10">G15-G14</f>
        <v>-44.584000000264496</v>
      </c>
      <c r="F22" s="42">
        <f>SQRT(D22*D22+E22*E22)</f>
        <v>45.140463134791453</v>
      </c>
      <c r="J22" s="41" t="str">
        <f>B13</f>
        <v>Points</v>
      </c>
      <c r="K22" s="41" t="str">
        <f>F13</f>
        <v>Easting (X)</v>
      </c>
      <c r="L22" s="41" t="str">
        <f>G13</f>
        <v>Northing (Y)</v>
      </c>
      <c r="O22" s="60"/>
      <c r="P22" s="81"/>
    </row>
    <row r="23" spans="1:17" x14ac:dyDescent="0.25">
      <c r="B23" s="42" t="s">
        <v>48</v>
      </c>
      <c r="C23" s="42" t="s">
        <v>49</v>
      </c>
      <c r="D23" s="42">
        <f t="shared" si="10"/>
        <v>-2961.7949999999837</v>
      </c>
      <c r="E23" s="42">
        <f t="shared" si="10"/>
        <v>471.93000000016764</v>
      </c>
      <c r="F23" s="42">
        <f t="shared" ref="F23:F24" si="11">SQRT(D23*D23+E23*E23)</f>
        <v>2999.1578062724643</v>
      </c>
      <c r="J23" s="41" t="str">
        <f>B14</f>
        <v>A</v>
      </c>
      <c r="K23" s="41">
        <f>F14</f>
        <v>443288.989</v>
      </c>
      <c r="L23" s="41">
        <f>G14</f>
        <v>3042267.7250000001</v>
      </c>
      <c r="P23" s="81"/>
    </row>
    <row r="24" spans="1:17" x14ac:dyDescent="0.25">
      <c r="B24" s="42" t="s">
        <v>49</v>
      </c>
      <c r="C24" s="42" t="s">
        <v>50</v>
      </c>
      <c r="D24" s="42">
        <f t="shared" si="10"/>
        <v>7.0789999999688007</v>
      </c>
      <c r="E24" s="42">
        <f t="shared" si="10"/>
        <v>45.197000000160187</v>
      </c>
      <c r="F24" s="42">
        <f t="shared" si="11"/>
        <v>45.748016897063842</v>
      </c>
      <c r="J24" s="41" t="str">
        <f t="shared" ref="J24:J26" si="12">B15</f>
        <v>B</v>
      </c>
      <c r="K24" s="41">
        <f t="shared" ref="K24:L24" si="13">F15</f>
        <v>443281.92300000001</v>
      </c>
      <c r="L24" s="72">
        <f t="shared" si="13"/>
        <v>3042223.1409999998</v>
      </c>
      <c r="M24" s="60"/>
      <c r="P24" s="81"/>
    </row>
    <row r="25" spans="1:17" x14ac:dyDescent="0.25">
      <c r="B25" s="42" t="s">
        <v>50</v>
      </c>
      <c r="C25" s="42" t="s">
        <v>47</v>
      </c>
      <c r="D25" s="42">
        <f>F14-F17</f>
        <v>2961.7820000000065</v>
      </c>
      <c r="E25" s="42">
        <f>G14-G17</f>
        <v>-472.54300000006333</v>
      </c>
      <c r="F25" s="42">
        <f>SQRT(D25*D25+E25*E25)</f>
        <v>2999.2414878387335</v>
      </c>
      <c r="J25" s="41" t="str">
        <f t="shared" si="12"/>
        <v>C</v>
      </c>
      <c r="K25" s="41">
        <f t="shared" ref="K25:L25" si="14">F16</f>
        <v>440320.12800000003</v>
      </c>
      <c r="L25" s="72">
        <f t="shared" si="14"/>
        <v>3042695.071</v>
      </c>
      <c r="P25" s="81"/>
    </row>
    <row r="26" spans="1:17" x14ac:dyDescent="0.25">
      <c r="J26" s="41" t="str">
        <f t="shared" si="12"/>
        <v>D</v>
      </c>
      <c r="K26" s="41">
        <f t="shared" ref="K26:L26" si="15">F17</f>
        <v>440327.20699999999</v>
      </c>
      <c r="L26" s="41">
        <f t="shared" si="15"/>
        <v>3042740.2680000002</v>
      </c>
      <c r="P26" s="81"/>
    </row>
    <row r="27" spans="1:17" x14ac:dyDescent="0.25">
      <c r="J27" s="41" t="str">
        <f>J23</f>
        <v>A</v>
      </c>
      <c r="K27" s="41">
        <f t="shared" ref="K27:L27" si="16">K23</f>
        <v>443288.989</v>
      </c>
      <c r="L27" s="41">
        <f t="shared" si="16"/>
        <v>3042267.7250000001</v>
      </c>
      <c r="P27" s="84"/>
    </row>
    <row r="28" spans="1:17" x14ac:dyDescent="0.25">
      <c r="K28" s="70" t="s">
        <v>47</v>
      </c>
      <c r="L28" s="71" t="s">
        <v>50</v>
      </c>
      <c r="N28" s="53"/>
    </row>
    <row r="29" spans="1:17" x14ac:dyDescent="0.25">
      <c r="J29" s="41" t="s">
        <v>90</v>
      </c>
      <c r="K29" s="61">
        <f>MAX(K23:K26)</f>
        <v>443288.989</v>
      </c>
      <c r="L29" s="67">
        <f>MAX(L23:L26)</f>
        <v>3042740.2680000002</v>
      </c>
      <c r="N29" s="73"/>
    </row>
    <row r="30" spans="1:17" x14ac:dyDescent="0.25">
      <c r="J30" s="41" t="s">
        <v>91</v>
      </c>
      <c r="K30" s="68">
        <f>MIN(K23:K26)</f>
        <v>440320.12800000003</v>
      </c>
      <c r="L30" s="69">
        <f>MIN(L23:L26)</f>
        <v>3042223.1409999998</v>
      </c>
      <c r="N30" s="73"/>
    </row>
    <row r="31" spans="1:17" x14ac:dyDescent="0.25">
      <c r="K31" s="68" t="s">
        <v>49</v>
      </c>
      <c r="L31" s="66" t="s">
        <v>48</v>
      </c>
    </row>
    <row r="33" spans="2:13" x14ac:dyDescent="0.25">
      <c r="D33" s="60"/>
    </row>
    <row r="36" spans="2:13" x14ac:dyDescent="0.25">
      <c r="C36" s="124" t="s">
        <v>74</v>
      </c>
      <c r="D36" s="124"/>
      <c r="E36" s="124"/>
      <c r="F36" s="124"/>
      <c r="G36" s="124"/>
      <c r="H36" s="124"/>
      <c r="I36" s="124"/>
      <c r="J36" s="124"/>
      <c r="K36" s="124"/>
    </row>
    <row r="37" spans="2:13" x14ac:dyDescent="0.25">
      <c r="C37" s="54" t="s">
        <v>76</v>
      </c>
      <c r="D37" s="54" t="s">
        <v>73</v>
      </c>
      <c r="E37" s="54" t="s">
        <v>68</v>
      </c>
      <c r="F37" s="54" t="s">
        <v>69</v>
      </c>
      <c r="G37" s="54" t="s">
        <v>70</v>
      </c>
      <c r="H37" s="54" t="s">
        <v>71</v>
      </c>
      <c r="I37" s="54" t="s">
        <v>72</v>
      </c>
      <c r="J37" s="54" t="s">
        <v>75</v>
      </c>
      <c r="K37" s="54" t="s">
        <v>79</v>
      </c>
      <c r="L37" s="60"/>
    </row>
    <row r="38" spans="2:13" x14ac:dyDescent="0.25">
      <c r="C38" s="42" t="s">
        <v>80</v>
      </c>
      <c r="D38" s="59">
        <f>J38*I38+K38</f>
        <v>245268.53370128898</v>
      </c>
      <c r="E38" s="59">
        <f>G14</f>
        <v>3042267.7250000001</v>
      </c>
      <c r="F38" s="59">
        <f>G15</f>
        <v>3042223.1409999998</v>
      </c>
      <c r="G38" s="59">
        <f>F14</f>
        <v>443288.989</v>
      </c>
      <c r="H38" s="59">
        <f>F15</f>
        <v>443281.92300000001</v>
      </c>
      <c r="I38" s="42">
        <v>0</v>
      </c>
      <c r="J38" s="64">
        <f>(F38-E38)/(H38-G38)</f>
        <v>6.3096518539934028</v>
      </c>
      <c r="K38" s="58">
        <f>E38-J38*G38</f>
        <v>245268.53370128898</v>
      </c>
      <c r="L38" t="str">
        <f>C38</f>
        <v>AB</v>
      </c>
      <c r="M38">
        <v>0</v>
      </c>
    </row>
    <row r="39" spans="2:13" x14ac:dyDescent="0.25">
      <c r="C39" s="42" t="s">
        <v>78</v>
      </c>
      <c r="D39" s="59">
        <f t="shared" ref="D39:D42" si="17">J39*I39+K39</f>
        <v>3112855.321120996</v>
      </c>
      <c r="E39" s="59">
        <f>F38</f>
        <v>3042223.1409999998</v>
      </c>
      <c r="F39" s="59">
        <f>G16</f>
        <v>3042695.071</v>
      </c>
      <c r="G39" s="59">
        <f>H38</f>
        <v>443281.92300000001</v>
      </c>
      <c r="H39" s="59">
        <f>F16</f>
        <v>440320.12800000003</v>
      </c>
      <c r="I39" s="42">
        <v>0</v>
      </c>
      <c r="J39" s="92">
        <f t="shared" ref="J39" si="18">(F39-E39)/(H39-G39)</f>
        <v>-0.1593391845148534</v>
      </c>
      <c r="K39" s="58">
        <f>E39-J39*G39</f>
        <v>3112855.321120996</v>
      </c>
      <c r="L39" t="str">
        <f t="shared" ref="L39:L46" si="19">C39</f>
        <v>BC</v>
      </c>
      <c r="M39">
        <v>1</v>
      </c>
    </row>
    <row r="40" spans="2:13" x14ac:dyDescent="0.25">
      <c r="C40" s="61" t="s">
        <v>81</v>
      </c>
      <c r="D40" s="62">
        <f t="shared" si="17"/>
        <v>231401.26885644207</v>
      </c>
      <c r="E40" s="62">
        <f>F39</f>
        <v>3042695.071</v>
      </c>
      <c r="F40" s="62">
        <f>G17</f>
        <v>3042740.2680000002</v>
      </c>
      <c r="G40" s="62">
        <f>H39</f>
        <v>440320.12800000003</v>
      </c>
      <c r="H40" s="62">
        <f>F17</f>
        <v>440327.20699999999</v>
      </c>
      <c r="I40" s="61">
        <v>0</v>
      </c>
      <c r="J40" s="65">
        <f>(F40-E40)/(H40-G40)</f>
        <v>6.3846588501708412</v>
      </c>
      <c r="K40" s="63">
        <f>E40-J40*G40</f>
        <v>231401.26885644207</v>
      </c>
      <c r="L40" t="str">
        <f t="shared" si="19"/>
        <v>CD</v>
      </c>
      <c r="M40">
        <v>2</v>
      </c>
    </row>
    <row r="41" spans="2:13" x14ac:dyDescent="0.25">
      <c r="C41" s="42" t="s">
        <v>104</v>
      </c>
      <c r="D41" s="59">
        <f t="shared" si="17"/>
        <v>3112993.0885578361</v>
      </c>
      <c r="E41" s="59">
        <f>F40</f>
        <v>3042740.2680000002</v>
      </c>
      <c r="F41" s="59">
        <f>E38</f>
        <v>3042267.7250000001</v>
      </c>
      <c r="G41" s="59">
        <f>H40</f>
        <v>440327.20699999999</v>
      </c>
      <c r="H41" s="59">
        <f>G38</f>
        <v>443288.989</v>
      </c>
      <c r="I41" s="42">
        <v>0</v>
      </c>
      <c r="J41" s="92">
        <f>(F41-E41)/(H41-G41)</f>
        <v>-0.15954685388730916</v>
      </c>
      <c r="K41" s="58">
        <f>E41-J41*G41</f>
        <v>3112993.0885578361</v>
      </c>
      <c r="L41" t="str">
        <f t="shared" si="19"/>
        <v>DA</v>
      </c>
      <c r="M41">
        <v>3</v>
      </c>
    </row>
    <row r="42" spans="2:13" x14ac:dyDescent="0.25">
      <c r="B42" s="1" t="s">
        <v>114</v>
      </c>
      <c r="C42" s="42" t="s">
        <v>92</v>
      </c>
      <c r="D42" s="59">
        <f t="shared" si="17"/>
        <v>3112924.1414692192</v>
      </c>
      <c r="E42" s="59">
        <f>G18</f>
        <v>3042245.4330000002</v>
      </c>
      <c r="F42" s="59">
        <f>G19</f>
        <v>3042717.6690000002</v>
      </c>
      <c r="G42" s="59">
        <f>F18</f>
        <v>443285.45600000001</v>
      </c>
      <c r="H42" s="59">
        <f>F19</f>
        <v>440323.66800000001</v>
      </c>
      <c r="I42" s="42">
        <v>0</v>
      </c>
      <c r="J42" s="64">
        <f>(F42-E42)/(H42-G42)</f>
        <v>-0.15944287707291455</v>
      </c>
      <c r="K42" s="58">
        <f>E42-J42*G42</f>
        <v>3112924.1414692192</v>
      </c>
      <c r="L42" t="str">
        <f t="shared" si="19"/>
        <v>EF</v>
      </c>
      <c r="M42">
        <v>4</v>
      </c>
    </row>
    <row r="43" spans="2:13" x14ac:dyDescent="0.25">
      <c r="B43" t="str">
        <f>IF($E$38&gt;D43,"Line is below point",IF($E$38&lt;D43,"Line is above point","line passes through point" ))</f>
        <v>Line is above point</v>
      </c>
      <c r="C43" s="42" t="s">
        <v>112</v>
      </c>
      <c r="D43" s="59">
        <f>J43*I43+K43</f>
        <v>3042651.0292439982</v>
      </c>
      <c r="E43" s="59"/>
      <c r="F43" s="41"/>
      <c r="G43" s="41"/>
      <c r="H43" s="41"/>
      <c r="I43" s="72">
        <f>G38</f>
        <v>443288.989</v>
      </c>
      <c r="J43" s="97">
        <f>J38</f>
        <v>6.3096518539934028</v>
      </c>
      <c r="K43" s="58">
        <f>$K$38+60*SQRT($J$38*$J$38+1)</f>
        <v>245651.83794528709</v>
      </c>
      <c r="L43" t="str">
        <f t="shared" si="19"/>
        <v>Parallel to AB1</v>
      </c>
    </row>
    <row r="44" spans="2:13" x14ac:dyDescent="0.25">
      <c r="B44" s="98" t="str">
        <f>IF($E$38&gt;D44,"Line is below point",IF($E$38&lt;D44,"Line is above point","line passes through point" ))</f>
        <v>Line is below point</v>
      </c>
      <c r="C44" s="99" t="s">
        <v>113</v>
      </c>
      <c r="D44" s="100">
        <f>J44*I44+K44</f>
        <v>3041884.420756002</v>
      </c>
      <c r="E44" s="100"/>
      <c r="F44" s="101"/>
      <c r="G44" s="101"/>
      <c r="H44" s="101"/>
      <c r="I44" s="102">
        <f>G38</f>
        <v>443288.989</v>
      </c>
      <c r="J44" s="103">
        <f>J38</f>
        <v>6.3096518539934028</v>
      </c>
      <c r="K44" s="104">
        <f>$K$38-60*SQRT($J$38*$J$38+1)</f>
        <v>244885.22945729087</v>
      </c>
      <c r="L44" s="98" t="str">
        <f t="shared" si="19"/>
        <v>Parallel to AB2</v>
      </c>
    </row>
    <row r="45" spans="2:13" x14ac:dyDescent="0.25">
      <c r="B45" s="105" t="str">
        <f>IF($E$40&gt;D45,"Line is below point",IF($E$40&lt;D45,"Line is above point","line passes through point" ))</f>
        <v>Line is above point</v>
      </c>
      <c r="C45" s="67" t="s">
        <v>115</v>
      </c>
      <c r="D45" s="106">
        <f>J45*I45+K45</f>
        <v>3043082.8208253761</v>
      </c>
      <c r="E45" s="107"/>
      <c r="F45" s="107"/>
      <c r="G45" s="107"/>
      <c r="H45" s="107"/>
      <c r="I45" s="108">
        <f>G40</f>
        <v>440320.12800000003</v>
      </c>
      <c r="J45" s="109">
        <f>J40</f>
        <v>6.3846588501708412</v>
      </c>
      <c r="K45" s="110">
        <f>$K$40+60*SQRT($J$40*$J$40+1)</f>
        <v>231789.01868181795</v>
      </c>
      <c r="L45" s="108" t="str">
        <f t="shared" si="19"/>
        <v>Parallel to CD1</v>
      </c>
    </row>
    <row r="46" spans="2:13" x14ac:dyDescent="0.25">
      <c r="B46" t="str">
        <f>IF($E$40&gt;D46,"Line is below point",IF($E$40&lt;D46,"Line is above point","line passes through point" ))</f>
        <v>Line is below point</v>
      </c>
      <c r="C46" s="42" t="s">
        <v>116</v>
      </c>
      <c r="D46" s="59">
        <f t="shared" ref="D46" si="20">J46*I46+K46</f>
        <v>3042307.3211746239</v>
      </c>
      <c r="E46" s="41"/>
      <c r="F46" s="41"/>
      <c r="G46" s="41"/>
      <c r="H46" s="41"/>
      <c r="I46" s="72">
        <f>G40</f>
        <v>440320.12800000003</v>
      </c>
      <c r="J46" s="97">
        <f>J40</f>
        <v>6.3846588501708412</v>
      </c>
      <c r="K46" s="58">
        <f>$K$40-60*SQRT($J$40*$J$40+1)</f>
        <v>231013.51903106619</v>
      </c>
      <c r="L46" s="72" t="str">
        <f t="shared" si="19"/>
        <v>Parallel to CD2</v>
      </c>
    </row>
    <row r="47" spans="2:13" x14ac:dyDescent="0.25">
      <c r="L47" s="60"/>
    </row>
  </sheetData>
  <mergeCells count="8">
    <mergeCell ref="C36:K36"/>
    <mergeCell ref="B12:G12"/>
    <mergeCell ref="B2:K2"/>
    <mergeCell ref="D3:G3"/>
    <mergeCell ref="H3:K3"/>
    <mergeCell ref="B3:B4"/>
    <mergeCell ref="C3:C4"/>
    <mergeCell ref="I12:Q12"/>
  </mergeCells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CE2F-7B04-4BD4-832E-0059FCC8A709}">
  <dimension ref="B1:U35"/>
  <sheetViews>
    <sheetView topLeftCell="A4" zoomScale="85" zoomScaleNormal="85" workbookViewId="0">
      <selection activeCell="H20" sqref="H20"/>
    </sheetView>
  </sheetViews>
  <sheetFormatPr defaultRowHeight="15" x14ac:dyDescent="0.25"/>
  <cols>
    <col min="2" max="2" width="11.140625" customWidth="1"/>
    <col min="3" max="3" width="11.5703125" customWidth="1"/>
    <col min="4" max="4" width="11.28515625" customWidth="1"/>
    <col min="5" max="5" width="13.85546875" customWidth="1"/>
    <col min="7" max="7" width="10.42578125" bestFit="1" customWidth="1"/>
    <col min="8" max="8" width="12.85546875" customWidth="1"/>
    <col min="9" max="9" width="13.28515625" bestFit="1" customWidth="1"/>
    <col min="10" max="10" width="10.42578125" bestFit="1" customWidth="1"/>
    <col min="12" max="13" width="11" customWidth="1"/>
    <col min="17" max="17" width="11.140625" customWidth="1"/>
    <col min="19" max="21" width="13.28515625" bestFit="1" customWidth="1"/>
  </cols>
  <sheetData>
    <row r="1" spans="2:21" ht="15.75" thickBot="1" x14ac:dyDescent="0.3"/>
    <row r="2" spans="2:21" ht="15.75" thickBot="1" x14ac:dyDescent="0.3">
      <c r="B2" t="s">
        <v>88</v>
      </c>
      <c r="C2" t="s">
        <v>87</v>
      </c>
      <c r="E2" t="s">
        <v>85</v>
      </c>
      <c r="F2" t="s">
        <v>84</v>
      </c>
      <c r="H2" s="76" t="s">
        <v>83</v>
      </c>
      <c r="I2" s="77" t="s">
        <v>82</v>
      </c>
      <c r="J2" s="77"/>
      <c r="K2" s="77" t="s">
        <v>86</v>
      </c>
      <c r="L2" s="77" t="s">
        <v>89</v>
      </c>
      <c r="M2" s="77"/>
      <c r="N2" s="77"/>
      <c r="O2" s="77" t="s">
        <v>93</v>
      </c>
      <c r="P2" s="77" t="s">
        <v>94</v>
      </c>
      <c r="Q2" s="78"/>
    </row>
    <row r="3" spans="2:21" x14ac:dyDescent="0.25">
      <c r="B3">
        <f>'RWY COORD'!K26</f>
        <v>440327.20699999999</v>
      </c>
      <c r="C3">
        <f>'RWY COORD'!$P$14*B3+'RWY COORD'!$Q$14</f>
        <v>3042740.2680000002</v>
      </c>
      <c r="E3">
        <f>'RWY COORD'!K25</f>
        <v>440320.12800000003</v>
      </c>
      <c r="F3">
        <f>'RWY COORD'!$P$15*E3+'RWY COORD'!$Q$15</f>
        <v>3042695.071</v>
      </c>
      <c r="H3">
        <f>'RWY COORD'!K24</f>
        <v>443281.92300000001</v>
      </c>
      <c r="I3">
        <f>'RWY COORD'!$P$16*H3+'RWY COORD'!$Q$16</f>
        <v>3042223.1409999998</v>
      </c>
      <c r="K3">
        <f>'RWY COORD'!K25</f>
        <v>440320.12800000003</v>
      </c>
      <c r="L3">
        <f>'RWY COORD'!$P$17*K3+'RWY COORD'!$Q$17</f>
        <v>3042695.071</v>
      </c>
      <c r="O3">
        <f>'RWY COORD'!F19</f>
        <v>440323.66800000001</v>
      </c>
      <c r="P3">
        <f>'RWY COORD'!$P$18*O3+'RWY COORD'!$Q$18</f>
        <v>3042717.6690000002</v>
      </c>
    </row>
    <row r="4" spans="2:21" x14ac:dyDescent="0.25">
      <c r="B4">
        <f>B3+500</f>
        <v>440827.20699999999</v>
      </c>
      <c r="C4">
        <f>'RWY COORD'!$P$14*B4+'RWY COORD'!$Q$14</f>
        <v>3042660.4945730567</v>
      </c>
      <c r="E4">
        <f>E3+500</f>
        <v>440820.12800000003</v>
      </c>
      <c r="F4">
        <f>'RWY COORD'!$P$15*E4+'RWY COORD'!$Q$15</f>
        <v>3042615.4014077429</v>
      </c>
      <c r="H4">
        <f>H3+1</f>
        <v>443282.92300000001</v>
      </c>
      <c r="I4">
        <f>'RWY COORD'!$P$16*H4+'RWY COORD'!$Q$16</f>
        <v>3042229.4506518538</v>
      </c>
      <c r="K4">
        <f>K3+1</f>
        <v>440321.12800000003</v>
      </c>
      <c r="L4">
        <f>'RWY COORD'!$P$17*K4+'RWY COORD'!$Q$17</f>
        <v>3042701.4556588503</v>
      </c>
      <c r="O4">
        <f>O3+1</f>
        <v>440324.66800000001</v>
      </c>
      <c r="P4">
        <f>'RWY COORD'!$P$18*O4+'RWY COORD'!$Q$18</f>
        <v>3042717.5095571233</v>
      </c>
    </row>
    <row r="5" spans="2:21" x14ac:dyDescent="0.25">
      <c r="B5">
        <f t="shared" ref="B5:B6" si="0">B4+500</f>
        <v>441327.20699999999</v>
      </c>
      <c r="C5">
        <f>'RWY COORD'!$P$14*B5+'RWY COORD'!$Q$14</f>
        <v>3042580.7211461128</v>
      </c>
      <c r="E5">
        <f t="shared" ref="E5:E6" si="1">E4+500</f>
        <v>441320.12800000003</v>
      </c>
      <c r="F5">
        <f>'RWY COORD'!$P$15*E5+'RWY COORD'!$Q$15</f>
        <v>3042535.7318154853</v>
      </c>
      <c r="H5">
        <f t="shared" ref="H5:H7" si="2">H4+1</f>
        <v>443283.92300000001</v>
      </c>
      <c r="I5">
        <f>'RWY COORD'!$P$16*H5+'RWY COORD'!$Q$16</f>
        <v>3042235.7603037078</v>
      </c>
      <c r="K5">
        <f t="shared" ref="K5:K7" si="3">K4+1</f>
        <v>440322.12800000003</v>
      </c>
      <c r="L5">
        <f>'RWY COORD'!$P$17*K5+'RWY COORD'!$Q$17</f>
        <v>3042707.8403177001</v>
      </c>
      <c r="O5">
        <f t="shared" ref="O5:O7" si="4">O4+1</f>
        <v>440325.66800000001</v>
      </c>
      <c r="P5">
        <f>'RWY COORD'!$P$18*O5+'RWY COORD'!$Q$18</f>
        <v>3042717.3501142464</v>
      </c>
    </row>
    <row r="6" spans="2:21" x14ac:dyDescent="0.25">
      <c r="B6">
        <f t="shared" si="0"/>
        <v>441827.20699999999</v>
      </c>
      <c r="C6">
        <f>'RWY COORD'!$P$14*B6+'RWY COORD'!$Q$14</f>
        <v>3042500.9477191693</v>
      </c>
      <c r="E6">
        <f t="shared" si="1"/>
        <v>441820.12800000003</v>
      </c>
      <c r="F6">
        <f>'RWY COORD'!$P$15*E6+'RWY COORD'!$Q$15</f>
        <v>3042456.0622232277</v>
      </c>
      <c r="H6">
        <f t="shared" si="2"/>
        <v>443284.92300000001</v>
      </c>
      <c r="I6">
        <f>'RWY COORD'!$P$16*H6+'RWY COORD'!$Q$16</f>
        <v>3042242.0699555618</v>
      </c>
      <c r="K6">
        <f t="shared" si="3"/>
        <v>440323.12800000003</v>
      </c>
      <c r="L6">
        <f>'RWY COORD'!$P$17*K6+'RWY COORD'!$Q$17</f>
        <v>3042714.2249765503</v>
      </c>
      <c r="O6">
        <f t="shared" si="4"/>
        <v>440326.66800000001</v>
      </c>
      <c r="P6">
        <f>'RWY COORD'!$P$18*O6+'RWY COORD'!$Q$18</f>
        <v>3042717.190671369</v>
      </c>
    </row>
    <row r="7" spans="2:21" x14ac:dyDescent="0.25">
      <c r="B7">
        <f>B6+500</f>
        <v>442327.20699999999</v>
      </c>
      <c r="C7">
        <f>'RWY COORD'!$P$14*B7+'RWY COORD'!$Q$14</f>
        <v>3042421.1742922254</v>
      </c>
      <c r="E7">
        <f>E6+500</f>
        <v>442320.12800000003</v>
      </c>
      <c r="F7">
        <f>'RWY COORD'!$P$15*E7+'RWY COORD'!$Q$15</f>
        <v>3042376.3926309706</v>
      </c>
      <c r="H7">
        <f t="shared" si="2"/>
        <v>443285.92300000001</v>
      </c>
      <c r="I7">
        <f>'RWY COORD'!$P$16*H7+'RWY COORD'!$Q$16</f>
        <v>3042248.3796074158</v>
      </c>
      <c r="K7">
        <f t="shared" si="3"/>
        <v>440324.12800000003</v>
      </c>
      <c r="L7">
        <f>'RWY COORD'!$P$17*K7+'RWY COORD'!$Q$17</f>
        <v>3042720.6096354006</v>
      </c>
      <c r="O7">
        <f t="shared" si="4"/>
        <v>440327.66800000001</v>
      </c>
      <c r="P7">
        <f>'RWY COORD'!$P$18*O7+'RWY COORD'!$Q$18</f>
        <v>3042717.031228492</v>
      </c>
    </row>
    <row r="8" spans="2:21" x14ac:dyDescent="0.25">
      <c r="B8">
        <f>'RWY COORD'!K23</f>
        <v>443288.989</v>
      </c>
      <c r="C8">
        <f>'RWY COORD'!$P$14*B8+'RWY COORD'!$Q$14</f>
        <v>3042267.7250000001</v>
      </c>
      <c r="E8">
        <f>'RWY COORD'!K24</f>
        <v>443281.92300000001</v>
      </c>
      <c r="F8">
        <f>'RWY COORD'!$P$15*E8+'RWY COORD'!$Q$15</f>
        <v>3042223.1409999998</v>
      </c>
      <c r="H8">
        <f>'RWY COORD'!K23</f>
        <v>443288.989</v>
      </c>
      <c r="I8">
        <f>'RWY COORD'!$P$16*H8+'RWY COORD'!$Q$16</f>
        <v>3042267.7250000001</v>
      </c>
      <c r="K8">
        <f>'RWY COORD'!K26</f>
        <v>440327.20699999999</v>
      </c>
      <c r="L8">
        <f>'RWY COORD'!$P$17*K8+'RWY COORD'!$Q$17</f>
        <v>3042740.2680000002</v>
      </c>
      <c r="O8">
        <f>'RWY COORD'!F18</f>
        <v>443285.45600000001</v>
      </c>
      <c r="P8">
        <f>'RWY COORD'!$P$18*O8+'RWY COORD'!$Q$18</f>
        <v>3042245.4330000002</v>
      </c>
    </row>
    <row r="9" spans="2:21" x14ac:dyDescent="0.25">
      <c r="H9" s="75">
        <f>D17</f>
        <v>742684.90300000005</v>
      </c>
      <c r="I9" s="75">
        <f>'RWY COORD'!$P$16*H9+'RWY COORD'!$Q$16</f>
        <v>4931351.7088481504</v>
      </c>
      <c r="J9" s="75" t="str">
        <f>IF($E$17&gt;I9,"ABOVE L28",IF($E$17&lt;I9,"BELOW L28","ON L28"))</f>
        <v>BELOW L28</v>
      </c>
      <c r="K9" s="75">
        <f>D17</f>
        <v>742684.90300000005</v>
      </c>
      <c r="L9" s="75">
        <f>'RWY COORD'!$P$17*K9+'RWY COORD'!$Q$17</f>
        <v>4973191.0076836646</v>
      </c>
      <c r="M9" s="75" t="str">
        <f>IF($E$17&gt;L9,"ABOVE L10",IF($E$17&lt;L9,"BELOW L10","ON L10"))</f>
        <v>BELOW L10</v>
      </c>
      <c r="O9" s="75">
        <f>D17</f>
        <v>742684.90300000005</v>
      </c>
      <c r="P9">
        <f>'RWY COORD'!$P$18*O9+'RWY COORD'!$Q$18</f>
        <v>2994508.323776281</v>
      </c>
      <c r="Q9" s="75" t="str">
        <f>IF($E$17&gt;P9,"ABOVE CL",IF($E$17&lt;P9,"BELOW CL","ON CL"))</f>
        <v>ABOVE CL</v>
      </c>
      <c r="S9" s="53"/>
    </row>
    <row r="10" spans="2:21" x14ac:dyDescent="0.25">
      <c r="H10" s="85">
        <f>G17</f>
        <v>442359.73100000003</v>
      </c>
      <c r="I10" s="85">
        <f>'RWY COORD'!$P$16*H10+'RWY COORD'!$Q$16</f>
        <v>3036404.4305374622</v>
      </c>
      <c r="J10" s="85" t="str">
        <f>IF($H$17&gt;I10,"ABOVE L28",IF($E$17&lt;I10,"BELOW L28","ON L28"))</f>
        <v>ABOVE L28</v>
      </c>
      <c r="K10" s="85">
        <f>G17</f>
        <v>442359.73100000003</v>
      </c>
      <c r="L10" s="85">
        <f>'RWY COORD'!$P$17*K10+'RWY COORD'!$Q$17</f>
        <v>3055717.2403447847</v>
      </c>
      <c r="M10" s="85" t="str">
        <f>IF($H$17&gt;L10,"ABOVE L10",IF($E$17&lt;L10,"BELOW L10","ON L10"))</f>
        <v>BELOW L10</v>
      </c>
      <c r="N10" s="85"/>
      <c r="O10" s="85">
        <f>G17</f>
        <v>442359.73100000003</v>
      </c>
      <c r="P10" s="85">
        <f>'RWY COORD'!$P$18*O10+'RWY COORD'!$Q$18</f>
        <v>3042393.0332573787</v>
      </c>
      <c r="Q10" s="85" t="str">
        <f>IF($H$17&gt;P10,"ABOVE CL",IF($E$17&lt;P10,"BELOW CL","ON CL"))</f>
        <v>ABOVE CL</v>
      </c>
    </row>
    <row r="11" spans="2:21" x14ac:dyDescent="0.25">
      <c r="T11" s="53"/>
    </row>
    <row r="12" spans="2:21" x14ac:dyDescent="0.25">
      <c r="T12" s="73"/>
    </row>
    <row r="14" spans="2:21" x14ac:dyDescent="0.25">
      <c r="U14" s="53"/>
    </row>
    <row r="16" spans="2:21" x14ac:dyDescent="0.25">
      <c r="D16" t="s">
        <v>36</v>
      </c>
      <c r="E16" s="8" t="s">
        <v>37</v>
      </c>
      <c r="G16" s="82" t="s">
        <v>36</v>
      </c>
      <c r="H16" s="82" t="s">
        <v>37</v>
      </c>
    </row>
    <row r="17" spans="3:9" x14ac:dyDescent="0.25">
      <c r="C17" t="s">
        <v>38</v>
      </c>
      <c r="D17">
        <v>742684.90300000005</v>
      </c>
      <c r="E17" s="53">
        <v>3044836.0040000002</v>
      </c>
      <c r="F17" t="s">
        <v>96</v>
      </c>
      <c r="G17" s="86">
        <v>442359.73100000003</v>
      </c>
      <c r="H17" s="86">
        <v>3043386.56</v>
      </c>
      <c r="I17" t="s">
        <v>97</v>
      </c>
    </row>
    <row r="18" spans="3:9" x14ac:dyDescent="0.25">
      <c r="C18" t="s">
        <v>95</v>
      </c>
      <c r="D18">
        <f>'RWY COORD'!F14</f>
        <v>443288.989</v>
      </c>
      <c r="E18">
        <f>'RWY COORD'!G14</f>
        <v>3042267.7250000001</v>
      </c>
      <c r="G18" t="s">
        <v>98</v>
      </c>
      <c r="H18">
        <f>ABS('RWY COORD'!P14*Equation!G17-Equation!H17+'RWY COORD'!Q14)/(SQRT('RWY COORD'!P14*'RWY COORD'!P14+1))</f>
        <v>958.45266629314756</v>
      </c>
    </row>
    <row r="20" spans="3:9" ht="15.75" thickBot="1" x14ac:dyDescent="0.3"/>
    <row r="21" spans="3:9" x14ac:dyDescent="0.25">
      <c r="C21" s="4"/>
      <c r="D21" s="5"/>
      <c r="E21" s="6"/>
    </row>
    <row r="22" spans="3:9" x14ac:dyDescent="0.25">
      <c r="C22" s="7"/>
      <c r="D22" t="s">
        <v>36</v>
      </c>
      <c r="E22" s="8" t="s">
        <v>37</v>
      </c>
    </row>
    <row r="23" spans="3:9" x14ac:dyDescent="0.25">
      <c r="C23" s="7" t="s">
        <v>38</v>
      </c>
      <c r="D23" s="1">
        <v>446338.52</v>
      </c>
      <c r="E23" s="40">
        <v>3042549.6919999998</v>
      </c>
    </row>
    <row r="24" spans="3:9" x14ac:dyDescent="0.25">
      <c r="C24" s="29" t="s">
        <v>39</v>
      </c>
      <c r="D24" s="1">
        <f>D18</f>
        <v>443288.989</v>
      </c>
      <c r="E24" s="40">
        <f>E18</f>
        <v>3042267.7250000001</v>
      </c>
    </row>
    <row r="25" spans="3:9" x14ac:dyDescent="0.25">
      <c r="C25" s="7"/>
      <c r="D25">
        <f>D23-D24</f>
        <v>3049.5310000000172</v>
      </c>
      <c r="E25" s="8">
        <f>E23-E24</f>
        <v>281.96699999971315</v>
      </c>
    </row>
    <row r="26" spans="3:9" x14ac:dyDescent="0.25">
      <c r="C26" s="7"/>
      <c r="D26">
        <f>D25*D25</f>
        <v>9299639.3199611045</v>
      </c>
      <c r="E26" s="8">
        <f>E25*E25</f>
        <v>79505.38908883823</v>
      </c>
    </row>
    <row r="27" spans="3:9" x14ac:dyDescent="0.25">
      <c r="C27" s="7"/>
      <c r="D27">
        <f>D26+E26</f>
        <v>9379144.709049942</v>
      </c>
      <c r="E27" s="8"/>
    </row>
    <row r="28" spans="3:9" ht="15.75" thickBot="1" x14ac:dyDescent="0.3">
      <c r="C28" s="10"/>
      <c r="D28" s="9">
        <f>SQRT(D27)</f>
        <v>3062.5389318423272</v>
      </c>
      <c r="E28" s="11"/>
    </row>
    <row r="34" spans="11:12" x14ac:dyDescent="0.25">
      <c r="K34" s="82"/>
      <c r="L34" s="82"/>
    </row>
    <row r="35" spans="11:12" x14ac:dyDescent="0.25">
      <c r="K35" s="83"/>
      <c r="L35" s="8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B662-AC46-4D48-B621-1E0317247013}">
  <dimension ref="G5:O19"/>
  <sheetViews>
    <sheetView topLeftCell="F7" workbookViewId="0">
      <selection activeCell="L23" sqref="L23"/>
    </sheetView>
  </sheetViews>
  <sheetFormatPr defaultRowHeight="15" x14ac:dyDescent="0.25"/>
  <cols>
    <col min="8" max="8" width="16.85546875" customWidth="1"/>
    <col min="9" max="9" width="21.7109375" customWidth="1"/>
    <col min="10" max="10" width="16.140625" customWidth="1"/>
    <col min="11" max="11" width="17.28515625" customWidth="1"/>
    <col min="14" max="14" width="10.7109375" customWidth="1"/>
  </cols>
  <sheetData>
    <row r="5" spans="7:15" ht="30" x14ac:dyDescent="0.25">
      <c r="G5" s="93" t="s">
        <v>105</v>
      </c>
      <c r="H5" s="93" t="s">
        <v>106</v>
      </c>
      <c r="I5" s="93" t="s">
        <v>107</v>
      </c>
      <c r="J5" s="93" t="s">
        <v>36</v>
      </c>
      <c r="K5" s="93" t="s">
        <v>37</v>
      </c>
    </row>
    <row r="6" spans="7:15" x14ac:dyDescent="0.25">
      <c r="G6" s="42">
        <v>1</v>
      </c>
      <c r="H6" s="42">
        <f>27+30/60+48.26/3600</f>
        <v>27.513405555555554</v>
      </c>
      <c r="I6" s="42">
        <f>83+23/60+22.71/3600</f>
        <v>83.389641666666677</v>
      </c>
      <c r="J6" s="94">
        <v>439719.96</v>
      </c>
      <c r="K6" s="94">
        <v>3043450.0380000002</v>
      </c>
    </row>
    <row r="7" spans="7:15" x14ac:dyDescent="0.25">
      <c r="G7" s="95">
        <v>2</v>
      </c>
      <c r="H7" s="95">
        <f>27+30/60+48.28/3600</f>
        <v>27.513411111111111</v>
      </c>
      <c r="I7" s="95">
        <f>83+25/60+1.44/3600</f>
        <v>83.41706666666667</v>
      </c>
      <c r="J7" s="96">
        <v>442428.55900000001</v>
      </c>
      <c r="K7" s="96">
        <v>3043437.6230000001</v>
      </c>
    </row>
    <row r="8" spans="7:15" x14ac:dyDescent="0.25">
      <c r="G8" s="42">
        <v>3</v>
      </c>
      <c r="H8" s="42">
        <v>27.505555560000001</v>
      </c>
      <c r="I8" s="42">
        <v>83.456694440000007</v>
      </c>
      <c r="J8" s="94">
        <v>446338.52</v>
      </c>
      <c r="K8" s="94">
        <v>3042549.6919999998</v>
      </c>
    </row>
    <row r="9" spans="7:15" x14ac:dyDescent="0.25">
      <c r="G9" s="95">
        <v>4</v>
      </c>
      <c r="H9" s="95">
        <f>27+29/60+59.89/3600</f>
        <v>27.499969444444446</v>
      </c>
      <c r="I9" s="95">
        <f>83+26/60+40.45/3600</f>
        <v>83.444569444444454</v>
      </c>
      <c r="J9" s="96">
        <v>445138.16100000002</v>
      </c>
      <c r="K9" s="96">
        <v>3041936.22</v>
      </c>
    </row>
    <row r="10" spans="7:15" x14ac:dyDescent="0.25">
      <c r="G10" s="42">
        <v>5</v>
      </c>
      <c r="H10" s="42">
        <f>27+29/60+36.12/3600</f>
        <v>27.493366666666667</v>
      </c>
      <c r="I10" s="42">
        <f>83+25/60+46.02/3600</f>
        <v>83.429450000000003</v>
      </c>
      <c r="J10" s="94">
        <v>443641.36900000001</v>
      </c>
      <c r="K10" s="94">
        <v>3041211.6060000001</v>
      </c>
    </row>
    <row r="11" spans="7:15" x14ac:dyDescent="0.25">
      <c r="G11" s="95">
        <v>6</v>
      </c>
      <c r="H11" s="95">
        <f>27+29/60+34.27/3600</f>
        <v>27.492852777777777</v>
      </c>
      <c r="I11" s="95">
        <f>83+24/60+7.13/3600</f>
        <v>83.401980555555568</v>
      </c>
      <c r="J11" s="96">
        <v>440927.62199999997</v>
      </c>
      <c r="K11" s="96">
        <v>3041167.4569999999</v>
      </c>
    </row>
    <row r="12" spans="7:15" x14ac:dyDescent="0.25">
      <c r="G12" s="42">
        <v>7</v>
      </c>
      <c r="H12" s="42">
        <f>27+30/60+2.59/3600</f>
        <v>27.500719444444446</v>
      </c>
      <c r="I12" s="42">
        <f>83+22/60+54.62/3600</f>
        <v>83.381838888888879</v>
      </c>
      <c r="J12" s="94">
        <v>438942.32500000001</v>
      </c>
      <c r="K12" s="94">
        <v>3042048.602</v>
      </c>
    </row>
    <row r="13" spans="7:15" x14ac:dyDescent="0.25">
      <c r="G13" s="95">
        <v>8</v>
      </c>
      <c r="H13" s="95">
        <f>27+30/60+29.69/3600</f>
        <v>27.508247222222224</v>
      </c>
      <c r="I13" s="95">
        <f>83+23/60+7.46/3600</f>
        <v>83.385405555555565</v>
      </c>
      <c r="J13" s="96">
        <v>439298.75400000002</v>
      </c>
      <c r="K13" s="96">
        <v>3042880.71</v>
      </c>
    </row>
    <row r="14" spans="7:15" x14ac:dyDescent="0.25">
      <c r="G14" t="s">
        <v>140</v>
      </c>
      <c r="H14">
        <f>27+29/60+22.12/3600</f>
        <v>27.489477777777779</v>
      </c>
      <c r="I14">
        <f>83+28/60+39.62/3600</f>
        <v>83.477672222222225</v>
      </c>
      <c r="N14" t="s">
        <v>80</v>
      </c>
      <c r="O14" t="s">
        <v>111</v>
      </c>
    </row>
    <row r="15" spans="7:15" x14ac:dyDescent="0.25">
      <c r="G15" t="s">
        <v>141</v>
      </c>
      <c r="H15">
        <f>27+30/60+14.3/3600</f>
        <v>27.503972222222224</v>
      </c>
      <c r="I15">
        <f>83+25/60+36.03/3600</f>
        <v>83.426675000000003</v>
      </c>
      <c r="M15" t="s">
        <v>108</v>
      </c>
      <c r="N15">
        <f>'RWY COORD'!P16</f>
        <v>6.3096518539934028</v>
      </c>
      <c r="O15">
        <f>1/N15</f>
        <v>0.15848734972074507</v>
      </c>
    </row>
    <row r="16" spans="7:15" x14ac:dyDescent="0.25">
      <c r="G16" t="s">
        <v>142</v>
      </c>
      <c r="H16">
        <f>27+30/60+20.69/3600</f>
        <v>27.505747222222222</v>
      </c>
      <c r="I16">
        <f>83+25/60+21.65/3600</f>
        <v>83.422680555555559</v>
      </c>
      <c r="M16" t="s">
        <v>109</v>
      </c>
      <c r="N16">
        <f>J9</f>
        <v>445138.16100000002</v>
      </c>
    </row>
    <row r="17" spans="13:14" x14ac:dyDescent="0.25">
      <c r="M17" t="s">
        <v>110</v>
      </c>
      <c r="N17">
        <f>K9</f>
        <v>3041936.22</v>
      </c>
    </row>
    <row r="18" spans="13:14" x14ac:dyDescent="0.25">
      <c r="M18" t="s">
        <v>18</v>
      </c>
      <c r="N18">
        <f>'RWY COORD'!Q16</f>
        <v>245268.53370128898</v>
      </c>
    </row>
    <row r="19" spans="13:14" x14ac:dyDescent="0.25">
      <c r="M19" t="s">
        <v>64</v>
      </c>
      <c r="N19">
        <f>(N15*N16-N17+N18)/(SQRT(N15*N15+1))</f>
        <v>1878.2682518190181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E7F6-E041-4555-A5BF-8B44E0AFF580}">
  <dimension ref="A1:G24"/>
  <sheetViews>
    <sheetView topLeftCell="A10" workbookViewId="0">
      <selection activeCell="K17" sqref="K17"/>
    </sheetView>
  </sheetViews>
  <sheetFormatPr defaultRowHeight="15" x14ac:dyDescent="0.25"/>
  <sheetData>
    <row r="1" spans="1:7" x14ac:dyDescent="0.25"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</row>
    <row r="2" spans="1:7" x14ac:dyDescent="0.25">
      <c r="A2" s="112"/>
      <c r="B2" s="113" t="s">
        <v>47</v>
      </c>
      <c r="C2" s="113" t="s">
        <v>51</v>
      </c>
      <c r="D2" s="113">
        <v>27.502886109999999</v>
      </c>
      <c r="E2" s="113">
        <v>83.425833330000003</v>
      </c>
      <c r="F2" s="113">
        <v>443288.989</v>
      </c>
      <c r="G2" s="113">
        <v>3042267.7250000001</v>
      </c>
    </row>
    <row r="3" spans="1:7" x14ac:dyDescent="0.25">
      <c r="A3" s="112"/>
      <c r="B3" s="113" t="s">
        <v>48</v>
      </c>
      <c r="C3" s="113" t="s">
        <v>52</v>
      </c>
      <c r="D3" s="113">
        <v>27.50248333</v>
      </c>
      <c r="E3" s="113">
        <v>83.425763889999999</v>
      </c>
      <c r="F3" s="113">
        <v>443281.92300000001</v>
      </c>
      <c r="G3" s="113">
        <v>3042223.1409999998</v>
      </c>
    </row>
    <row r="4" spans="1:7" x14ac:dyDescent="0.25">
      <c r="A4" s="112"/>
      <c r="B4" s="113" t="s">
        <v>49</v>
      </c>
      <c r="C4" s="113" t="s">
        <v>54</v>
      </c>
      <c r="D4" s="113">
        <v>27.50661667</v>
      </c>
      <c r="E4" s="113">
        <v>83.395755559999998</v>
      </c>
      <c r="F4" s="113">
        <v>440320.12800000003</v>
      </c>
      <c r="G4" s="113">
        <v>3042695.071</v>
      </c>
    </row>
    <row r="5" spans="1:7" x14ac:dyDescent="0.25">
      <c r="A5" s="112"/>
      <c r="B5" s="113" t="s">
        <v>50</v>
      </c>
      <c r="C5" s="113" t="s">
        <v>53</v>
      </c>
      <c r="D5" s="113">
        <v>27.507024999999999</v>
      </c>
      <c r="E5" s="113">
        <v>83.395825000000002</v>
      </c>
      <c r="F5" s="113">
        <v>440327.20699999999</v>
      </c>
      <c r="G5" s="113">
        <v>3042740.2680000002</v>
      </c>
    </row>
    <row r="6" spans="1:7" x14ac:dyDescent="0.25">
      <c r="A6" s="112"/>
      <c r="B6" s="113" t="s">
        <v>66</v>
      </c>
      <c r="C6" s="113" t="s">
        <v>117</v>
      </c>
      <c r="D6" s="113">
        <v>27.502684720000001</v>
      </c>
      <c r="E6" s="113">
        <v>83.425798610000001</v>
      </c>
      <c r="F6" s="113">
        <v>443285.45600000001</v>
      </c>
      <c r="G6" s="113">
        <v>3042245.4330000002</v>
      </c>
    </row>
    <row r="7" spans="1:7" x14ac:dyDescent="0.25">
      <c r="A7" s="112"/>
      <c r="B7" s="113" t="s">
        <v>67</v>
      </c>
      <c r="C7" s="113" t="s">
        <v>117</v>
      </c>
      <c r="D7" s="113">
        <v>27.506820834999999</v>
      </c>
      <c r="E7" s="113">
        <v>83.39579028</v>
      </c>
      <c r="F7" s="113">
        <v>440323.66749999998</v>
      </c>
      <c r="G7" s="113">
        <v>3042717.6694999998</v>
      </c>
    </row>
    <row r="8" spans="1:7" x14ac:dyDescent="0.25">
      <c r="A8" s="112"/>
      <c r="B8" s="83" t="s">
        <v>118</v>
      </c>
      <c r="C8" s="83"/>
      <c r="D8" s="83">
        <v>27.503851094074601</v>
      </c>
      <c r="E8" s="83">
        <v>83.426614308487302</v>
      </c>
      <c r="F8" s="83">
        <v>443366.62230977498</v>
      </c>
      <c r="G8" s="83">
        <v>3042374.25991295</v>
      </c>
    </row>
    <row r="9" spans="1:7" x14ac:dyDescent="0.25">
      <c r="A9" s="112"/>
      <c r="B9" s="83" t="s">
        <v>119</v>
      </c>
      <c r="C9" s="83"/>
      <c r="D9" s="83">
        <v>27.501352726696702</v>
      </c>
      <c r="E9" s="83">
        <v>83.426183523836897</v>
      </c>
      <c r="F9" s="83">
        <v>443322.79289709497</v>
      </c>
      <c r="G9" s="83">
        <v>3042097.7115779798</v>
      </c>
    </row>
    <row r="10" spans="1:7" x14ac:dyDescent="0.25">
      <c r="A10" s="112"/>
      <c r="B10" s="83" t="s">
        <v>120</v>
      </c>
      <c r="C10" s="83"/>
      <c r="D10" s="83">
        <v>27.503722291431501</v>
      </c>
      <c r="E10" s="83">
        <v>83.457322265657098</v>
      </c>
      <c r="F10" s="83">
        <v>446399.64260972798</v>
      </c>
      <c r="G10" s="83">
        <v>3042346.3498718501</v>
      </c>
    </row>
    <row r="11" spans="1:7" x14ac:dyDescent="0.25">
      <c r="A11" s="112"/>
      <c r="B11" s="83" t="s">
        <v>121</v>
      </c>
      <c r="C11" s="83"/>
      <c r="D11" s="83">
        <v>27.493193801562999</v>
      </c>
      <c r="E11" s="83">
        <v>83.455504013086596</v>
      </c>
      <c r="F11" s="83">
        <v>446214.93294066802</v>
      </c>
      <c r="G11" s="83">
        <v>3041180.8961660098</v>
      </c>
    </row>
    <row r="12" spans="1:7" x14ac:dyDescent="0.25">
      <c r="A12" s="112"/>
      <c r="B12" s="83" t="s">
        <v>122</v>
      </c>
      <c r="C12" s="83"/>
      <c r="D12" s="83">
        <v>27.5035587802912</v>
      </c>
      <c r="E12" s="83">
        <v>83.494171879175695</v>
      </c>
      <c r="F12" s="83">
        <v>450039.26696935098</v>
      </c>
      <c r="G12" s="83">
        <v>3042312.8578205002</v>
      </c>
    </row>
    <row r="13" spans="1:7" x14ac:dyDescent="0.25">
      <c r="A13" s="112"/>
      <c r="B13" s="83" t="s">
        <v>123</v>
      </c>
      <c r="C13" s="83"/>
      <c r="D13" s="83">
        <v>27.4833948434249</v>
      </c>
      <c r="E13" s="83">
        <v>83.490683025685698</v>
      </c>
      <c r="F13" s="83">
        <v>449685.500993277</v>
      </c>
      <c r="G13" s="83">
        <v>3040080.7176736798</v>
      </c>
    </row>
    <row r="14" spans="1:7" x14ac:dyDescent="0.25">
      <c r="A14" s="112"/>
      <c r="B14" s="83" t="s">
        <v>124</v>
      </c>
      <c r="C14" s="83"/>
      <c r="D14" s="83">
        <v>27.503139293954501</v>
      </c>
      <c r="E14" s="83">
        <v>83.580154485903705</v>
      </c>
      <c r="F14" s="83">
        <v>458531.72380865598</v>
      </c>
      <c r="G14" s="83">
        <v>3042234.7097018398</v>
      </c>
    </row>
    <row r="15" spans="1:7" x14ac:dyDescent="0.25">
      <c r="A15" s="112"/>
      <c r="B15" s="83" t="s">
        <v>125</v>
      </c>
      <c r="C15" s="83"/>
      <c r="D15" s="83">
        <v>27.460495675776102</v>
      </c>
      <c r="E15" s="83">
        <v>83.572743676947695</v>
      </c>
      <c r="F15" s="83">
        <v>457783.493115847</v>
      </c>
      <c r="G15" s="83">
        <v>3037513.63452374</v>
      </c>
    </row>
    <row r="16" spans="1:7" x14ac:dyDescent="0.25">
      <c r="A16" s="112"/>
      <c r="B16" s="83" t="s">
        <v>126</v>
      </c>
      <c r="C16" s="83"/>
      <c r="D16" s="83">
        <v>27.508153084300801</v>
      </c>
      <c r="E16" s="83">
        <v>83.395402429809394</v>
      </c>
      <c r="F16" s="83">
        <v>440286.079150962</v>
      </c>
      <c r="G16" s="83">
        <v>3042865.4305400299</v>
      </c>
    </row>
    <row r="17" spans="1:7" x14ac:dyDescent="0.25">
      <c r="A17" s="112"/>
      <c r="B17" s="83" t="s">
        <v>127</v>
      </c>
      <c r="C17" s="83"/>
      <c r="D17" s="83">
        <v>27.505653940097201</v>
      </c>
      <c r="E17" s="83">
        <v>83.394977428603198</v>
      </c>
      <c r="F17" s="83">
        <v>440242.75224590598</v>
      </c>
      <c r="G17" s="83">
        <v>3042588.8030322101</v>
      </c>
    </row>
    <row r="18" spans="1:7" x14ac:dyDescent="0.25">
      <c r="A18" s="112"/>
      <c r="B18" s="83" t="s">
        <v>128</v>
      </c>
      <c r="C18" s="83"/>
      <c r="D18" s="83">
        <v>27.516300316385799</v>
      </c>
      <c r="E18" s="83">
        <v>83.366065491057796</v>
      </c>
      <c r="F18" s="83">
        <v>437393.121599423</v>
      </c>
      <c r="G18" s="83">
        <v>3043782.3747742199</v>
      </c>
    </row>
    <row r="19" spans="1:7" x14ac:dyDescent="0.25">
      <c r="A19" s="112"/>
      <c r="B19" s="83" t="s">
        <v>129</v>
      </c>
      <c r="C19" s="83"/>
      <c r="D19" s="83">
        <v>27.505767874712099</v>
      </c>
      <c r="E19" s="83">
        <v>83.3642772226262</v>
      </c>
      <c r="F19" s="83">
        <v>437210.529640881</v>
      </c>
      <c r="G19" s="83">
        <v>3042616.5874101399</v>
      </c>
    </row>
    <row r="20" spans="1:7" x14ac:dyDescent="0.25">
      <c r="A20" s="112"/>
      <c r="B20" s="83" t="s">
        <v>130</v>
      </c>
      <c r="C20" s="83"/>
      <c r="D20" s="83">
        <v>27.526068716094802</v>
      </c>
      <c r="E20" s="83">
        <v>83.330855616310004</v>
      </c>
      <c r="F20" s="83">
        <v>433921.57253728999</v>
      </c>
      <c r="G20" s="83">
        <v>3044882.7078534202</v>
      </c>
    </row>
    <row r="21" spans="1:7" x14ac:dyDescent="0.25">
      <c r="A21" s="112"/>
      <c r="B21" s="83" t="s">
        <v>131</v>
      </c>
      <c r="C21" s="83"/>
      <c r="D21" s="83">
        <v>27.505895652208501</v>
      </c>
      <c r="E21" s="83">
        <v>83.327437085938598</v>
      </c>
      <c r="F21" s="83">
        <v>433571.86251513602</v>
      </c>
      <c r="G21" s="83">
        <v>3042649.9286654801</v>
      </c>
    </row>
    <row r="22" spans="1:7" x14ac:dyDescent="0.25">
      <c r="A22" s="112"/>
      <c r="B22" s="83" t="s">
        <v>132</v>
      </c>
      <c r="C22" s="83"/>
      <c r="D22" s="83">
        <v>27.557619405383999</v>
      </c>
      <c r="E22" s="83">
        <v>83.250159765912002</v>
      </c>
      <c r="F22" s="83">
        <v>425973.70925597101</v>
      </c>
      <c r="G22" s="83">
        <v>3048423.2877670201</v>
      </c>
    </row>
    <row r="23" spans="1:7" x14ac:dyDescent="0.25">
      <c r="A23" s="112"/>
      <c r="B23" s="83" t="s">
        <v>133</v>
      </c>
      <c r="C23" s="83"/>
      <c r="D23" s="83">
        <v>27.497362787601599</v>
      </c>
      <c r="E23" s="83">
        <v>83.239994616969497</v>
      </c>
      <c r="F23" s="83">
        <v>424929.22135807399</v>
      </c>
      <c r="G23" s="83">
        <v>3041754.5888658199</v>
      </c>
    </row>
    <row r="24" spans="1:7" x14ac:dyDescent="0.25">
      <c r="A24" s="112"/>
      <c r="B24" s="83"/>
      <c r="C24" s="83"/>
      <c r="D24" s="83"/>
      <c r="E24" s="83"/>
      <c r="F24" s="83"/>
      <c r="G24" s="8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2816-315A-4FC7-B986-1949391BEBE5}">
  <dimension ref="A1:L60"/>
  <sheetViews>
    <sheetView workbookViewId="0">
      <selection activeCell="M11" sqref="M11"/>
    </sheetView>
  </sheetViews>
  <sheetFormatPr defaultRowHeight="15" x14ac:dyDescent="0.25"/>
  <cols>
    <col min="2" max="2" width="8" bestFit="1" customWidth="1"/>
    <col min="3" max="3" width="15.85546875" bestFit="1" customWidth="1"/>
    <col min="4" max="4" width="16.85546875" bestFit="1" customWidth="1"/>
    <col min="5" max="5" width="18.140625" bestFit="1" customWidth="1"/>
    <col min="6" max="6" width="14.7109375" bestFit="1" customWidth="1"/>
    <col min="7" max="7" width="16.140625" bestFit="1" customWidth="1"/>
    <col min="10" max="10" width="12" bestFit="1" customWidth="1"/>
    <col min="11" max="11" width="11.7109375" customWidth="1"/>
    <col min="12" max="12" width="12" bestFit="1" customWidth="1"/>
    <col min="13" max="13" width="13.140625" bestFit="1" customWidth="1"/>
  </cols>
  <sheetData>
    <row r="1" spans="1:12" x14ac:dyDescent="0.25">
      <c r="A1" t="s">
        <v>221</v>
      </c>
      <c r="B1" t="s">
        <v>143</v>
      </c>
      <c r="C1" t="s">
        <v>45</v>
      </c>
      <c r="D1" t="s">
        <v>144</v>
      </c>
      <c r="E1" t="s">
        <v>145</v>
      </c>
      <c r="F1" t="s">
        <v>146</v>
      </c>
      <c r="G1" t="s">
        <v>147</v>
      </c>
    </row>
    <row r="2" spans="1:12" x14ac:dyDescent="0.25">
      <c r="A2" s="112">
        <v>0</v>
      </c>
      <c r="B2" s="83" t="s">
        <v>47</v>
      </c>
      <c r="C2" s="83" t="s">
        <v>51</v>
      </c>
      <c r="D2" s="83">
        <v>27.502886109999999</v>
      </c>
      <c r="E2" s="83">
        <v>83.425833330000003</v>
      </c>
      <c r="F2" s="83">
        <v>443288.989</v>
      </c>
      <c r="G2" s="83">
        <v>3042267.7250000001</v>
      </c>
    </row>
    <row r="3" spans="1:12" x14ac:dyDescent="0.25">
      <c r="A3" s="112">
        <v>1</v>
      </c>
      <c r="B3" s="83" t="s">
        <v>48</v>
      </c>
      <c r="C3" s="83" t="s">
        <v>52</v>
      </c>
      <c r="D3" s="83">
        <v>27.50248333</v>
      </c>
      <c r="E3" s="83">
        <v>83.425763889999999</v>
      </c>
      <c r="F3" s="83">
        <v>443281.92300000001</v>
      </c>
      <c r="G3" s="83">
        <v>3042223.1409999998</v>
      </c>
      <c r="J3" t="s">
        <v>16</v>
      </c>
      <c r="K3" t="s">
        <v>17</v>
      </c>
      <c r="L3" t="s">
        <v>240</v>
      </c>
    </row>
    <row r="4" spans="1:12" x14ac:dyDescent="0.25">
      <c r="A4" s="112">
        <v>2</v>
      </c>
      <c r="B4" s="83" t="s">
        <v>49</v>
      </c>
      <c r="C4" s="83" t="s">
        <v>54</v>
      </c>
      <c r="D4" s="83">
        <v>27.50661667</v>
      </c>
      <c r="E4" s="83">
        <v>83.395755559999998</v>
      </c>
      <c r="F4" s="83">
        <v>440320.12800000003</v>
      </c>
      <c r="G4" s="83">
        <v>3042695.071</v>
      </c>
      <c r="J4">
        <f>F6</f>
        <v>443285.45600000001</v>
      </c>
      <c r="K4">
        <f>G6</f>
        <v>3042245.4330000002</v>
      </c>
      <c r="L4">
        <v>4000</v>
      </c>
    </row>
    <row r="5" spans="1:12" x14ac:dyDescent="0.25">
      <c r="A5" s="112">
        <v>3</v>
      </c>
      <c r="B5" s="83" t="s">
        <v>50</v>
      </c>
      <c r="C5" s="83" t="s">
        <v>53</v>
      </c>
      <c r="D5" s="83">
        <v>27.507024999999999</v>
      </c>
      <c r="E5" s="83">
        <v>83.395825000000002</v>
      </c>
      <c r="F5" s="83">
        <v>440327.20699999999</v>
      </c>
      <c r="G5" s="83">
        <v>3042740.2680000002</v>
      </c>
    </row>
    <row r="6" spans="1:12" x14ac:dyDescent="0.25">
      <c r="A6" s="112">
        <v>4</v>
      </c>
      <c r="B6" s="83" t="s">
        <v>66</v>
      </c>
      <c r="C6" s="83" t="s">
        <v>117</v>
      </c>
      <c r="D6" s="83">
        <v>27.502684720000001</v>
      </c>
      <c r="E6" s="83">
        <v>83.425798610000001</v>
      </c>
      <c r="F6" s="83">
        <v>443285.45600000001</v>
      </c>
      <c r="G6" s="83">
        <v>3042245.4330000002</v>
      </c>
      <c r="J6" t="s">
        <v>238</v>
      </c>
      <c r="K6" t="s">
        <v>239</v>
      </c>
    </row>
    <row r="7" spans="1:12" x14ac:dyDescent="0.25">
      <c r="A7" s="112">
        <v>5</v>
      </c>
      <c r="B7" s="83" t="s">
        <v>67</v>
      </c>
      <c r="C7" s="83" t="s">
        <v>117</v>
      </c>
      <c r="D7" s="83">
        <v>27.506820834999999</v>
      </c>
      <c r="E7" s="83">
        <v>83.39579028</v>
      </c>
      <c r="F7" s="83">
        <v>440323.66749999998</v>
      </c>
      <c r="G7" s="83">
        <v>3042717.6694999998</v>
      </c>
      <c r="J7" s="83">
        <f>J4</f>
        <v>443285.45600000001</v>
      </c>
      <c r="K7">
        <f>$K$4+SQRT($L$4*$L$4-(J7-$J$4)^2)</f>
        <v>3046245.4330000002</v>
      </c>
    </row>
    <row r="8" spans="1:12" x14ac:dyDescent="0.25">
      <c r="A8" s="112">
        <v>6</v>
      </c>
      <c r="B8" s="83" t="s">
        <v>118</v>
      </c>
      <c r="C8" s="83" t="s">
        <v>148</v>
      </c>
      <c r="D8" s="83">
        <v>27.503851094074601</v>
      </c>
      <c r="E8" s="83">
        <v>83.426614308487302</v>
      </c>
      <c r="F8" s="83">
        <v>443366.62230977498</v>
      </c>
      <c r="G8" s="83">
        <v>3042374.25991295</v>
      </c>
      <c r="I8" s="83"/>
    </row>
    <row r="9" spans="1:12" x14ac:dyDescent="0.25">
      <c r="A9" s="112">
        <v>7</v>
      </c>
      <c r="B9" s="83" t="s">
        <v>119</v>
      </c>
      <c r="C9" s="83" t="s">
        <v>148</v>
      </c>
      <c r="D9" s="83">
        <v>27.501352726696702</v>
      </c>
      <c r="E9" s="83">
        <v>83.426183523836897</v>
      </c>
      <c r="F9" s="83">
        <v>443322.79289709497</v>
      </c>
      <c r="G9" s="83">
        <v>3042097.7115779798</v>
      </c>
      <c r="I9" s="83"/>
    </row>
    <row r="10" spans="1:12" x14ac:dyDescent="0.25">
      <c r="A10" s="112">
        <v>8</v>
      </c>
      <c r="B10" s="83" t="s">
        <v>120</v>
      </c>
      <c r="C10" s="83" t="s">
        <v>148</v>
      </c>
      <c r="D10" s="83">
        <v>27.503722291431501</v>
      </c>
      <c r="E10" s="83">
        <v>83.457322265657098</v>
      </c>
      <c r="F10" s="83">
        <v>446399.64260972798</v>
      </c>
      <c r="G10" s="83">
        <v>3042346.3498718501</v>
      </c>
      <c r="I10" s="83"/>
    </row>
    <row r="11" spans="1:12" x14ac:dyDescent="0.25">
      <c r="A11" s="112">
        <v>9</v>
      </c>
      <c r="B11" s="83" t="s">
        <v>121</v>
      </c>
      <c r="C11" s="83" t="s">
        <v>148</v>
      </c>
      <c r="D11" s="83">
        <v>27.493193801562999</v>
      </c>
      <c r="E11" s="83">
        <v>83.455504013086596</v>
      </c>
      <c r="F11" s="83">
        <v>446214.93294066802</v>
      </c>
      <c r="G11" s="83">
        <v>3041180.8961660098</v>
      </c>
      <c r="I11" s="83"/>
    </row>
    <row r="12" spans="1:12" x14ac:dyDescent="0.25">
      <c r="A12" s="112">
        <v>10</v>
      </c>
      <c r="B12" s="83" t="s">
        <v>122</v>
      </c>
      <c r="C12" s="83" t="s">
        <v>148</v>
      </c>
      <c r="D12" s="83">
        <v>27.5035587802912</v>
      </c>
      <c r="E12" s="83">
        <v>83.494171879175695</v>
      </c>
      <c r="F12" s="83">
        <v>450039.26696935098</v>
      </c>
      <c r="G12" s="83">
        <v>3042312.8578205002</v>
      </c>
      <c r="I12" s="83"/>
    </row>
    <row r="13" spans="1:12" x14ac:dyDescent="0.25">
      <c r="A13" s="112">
        <v>11</v>
      </c>
      <c r="B13" s="83" t="s">
        <v>123</v>
      </c>
      <c r="C13" s="83" t="s">
        <v>148</v>
      </c>
      <c r="D13" s="83">
        <v>27.4833948434249</v>
      </c>
      <c r="E13" s="83">
        <v>83.490683025685698</v>
      </c>
      <c r="F13" s="83">
        <v>449685.500993277</v>
      </c>
      <c r="G13" s="83">
        <v>3040080.7176736798</v>
      </c>
      <c r="I13" s="83"/>
    </row>
    <row r="14" spans="1:12" x14ac:dyDescent="0.25">
      <c r="A14" s="112">
        <v>12</v>
      </c>
      <c r="B14" s="83" t="s">
        <v>124</v>
      </c>
      <c r="C14" s="83" t="s">
        <v>148</v>
      </c>
      <c r="D14" s="83">
        <v>27.503139293954501</v>
      </c>
      <c r="E14" s="83">
        <v>83.580154485903705</v>
      </c>
      <c r="F14" s="83">
        <v>458531.72380865598</v>
      </c>
      <c r="G14" s="83">
        <v>3042234.7097018398</v>
      </c>
      <c r="I14" s="83"/>
    </row>
    <row r="15" spans="1:12" x14ac:dyDescent="0.25">
      <c r="A15" s="112">
        <v>13</v>
      </c>
      <c r="B15" s="83" t="s">
        <v>125</v>
      </c>
      <c r="C15" s="83" t="s">
        <v>148</v>
      </c>
      <c r="D15" s="83">
        <v>27.460495675776102</v>
      </c>
      <c r="E15" s="83">
        <v>83.572743676947695</v>
      </c>
      <c r="F15" s="83">
        <v>457783.493115847</v>
      </c>
      <c r="G15" s="83">
        <v>3037513.63452374</v>
      </c>
      <c r="I15" s="83"/>
    </row>
    <row r="16" spans="1:12" x14ac:dyDescent="0.25">
      <c r="A16" s="112">
        <v>14</v>
      </c>
      <c r="B16" s="83" t="s">
        <v>126</v>
      </c>
      <c r="C16" s="83" t="s">
        <v>149</v>
      </c>
      <c r="D16" s="83">
        <v>27.508153084300801</v>
      </c>
      <c r="E16" s="83">
        <v>83.395402429809394</v>
      </c>
      <c r="F16" s="83">
        <v>440286.079150962</v>
      </c>
      <c r="G16" s="83">
        <v>3042865.4305400299</v>
      </c>
      <c r="I16" s="83"/>
    </row>
    <row r="17" spans="1:7" x14ac:dyDescent="0.25">
      <c r="A17" s="112">
        <v>15</v>
      </c>
      <c r="B17" s="83" t="s">
        <v>127</v>
      </c>
      <c r="C17" s="83" t="s">
        <v>149</v>
      </c>
      <c r="D17" s="83">
        <v>27.505653940097201</v>
      </c>
      <c r="E17" s="83">
        <v>83.394977428603198</v>
      </c>
      <c r="F17" s="83">
        <v>440242.75224590598</v>
      </c>
      <c r="G17" s="83">
        <v>3042588.8030322101</v>
      </c>
    </row>
    <row r="18" spans="1:7" x14ac:dyDescent="0.25">
      <c r="A18" s="112">
        <v>16</v>
      </c>
      <c r="B18" s="83" t="s">
        <v>128</v>
      </c>
      <c r="C18" s="83" t="s">
        <v>149</v>
      </c>
      <c r="D18" s="83">
        <v>27.516300316385799</v>
      </c>
      <c r="E18" s="83">
        <v>83.366065491057796</v>
      </c>
      <c r="F18" s="83">
        <v>437393.121599423</v>
      </c>
      <c r="G18" s="83">
        <v>3043782.3747742199</v>
      </c>
    </row>
    <row r="19" spans="1:7" x14ac:dyDescent="0.25">
      <c r="A19" s="112">
        <v>17</v>
      </c>
      <c r="B19" s="83" t="s">
        <v>129</v>
      </c>
      <c r="C19" s="83" t="s">
        <v>149</v>
      </c>
      <c r="D19" s="83">
        <v>27.505767874712099</v>
      </c>
      <c r="E19" s="83">
        <v>83.3642772226262</v>
      </c>
      <c r="F19" s="83">
        <v>437210.529640881</v>
      </c>
      <c r="G19" s="83">
        <v>3042616.5874101399</v>
      </c>
    </row>
    <row r="20" spans="1:7" x14ac:dyDescent="0.25">
      <c r="A20" s="112">
        <v>18</v>
      </c>
      <c r="B20" s="83" t="s">
        <v>130</v>
      </c>
      <c r="C20" s="83" t="s">
        <v>149</v>
      </c>
      <c r="D20" s="83">
        <v>27.526068716094802</v>
      </c>
      <c r="E20" s="83">
        <v>83.330855616310004</v>
      </c>
      <c r="F20" s="83">
        <v>433921.57253728999</v>
      </c>
      <c r="G20" s="83">
        <v>3044882.7078534202</v>
      </c>
    </row>
    <row r="21" spans="1:7" x14ac:dyDescent="0.25">
      <c r="A21" s="112">
        <v>19</v>
      </c>
      <c r="B21" s="83" t="s">
        <v>131</v>
      </c>
      <c r="C21" s="83" t="s">
        <v>149</v>
      </c>
      <c r="D21" s="83">
        <v>27.505895652208501</v>
      </c>
      <c r="E21" s="83">
        <v>83.327437085938598</v>
      </c>
      <c r="F21" s="83">
        <v>433571.86251513602</v>
      </c>
      <c r="G21" s="83">
        <v>3042649.9286654801</v>
      </c>
    </row>
    <row r="22" spans="1:7" x14ac:dyDescent="0.25">
      <c r="A22" s="112">
        <v>20</v>
      </c>
      <c r="B22" s="83" t="s">
        <v>132</v>
      </c>
      <c r="C22" s="83" t="s">
        <v>149</v>
      </c>
      <c r="D22" s="83">
        <v>27.548826467388999</v>
      </c>
      <c r="E22" s="83">
        <v>83.248675766522794</v>
      </c>
      <c r="F22" s="83">
        <v>425821.29139237001</v>
      </c>
      <c r="G22" s="83">
        <v>3047450.1517052599</v>
      </c>
    </row>
    <row r="23" spans="1:7" x14ac:dyDescent="0.25">
      <c r="A23" s="112">
        <v>21</v>
      </c>
      <c r="B23" s="83" t="s">
        <v>133</v>
      </c>
      <c r="C23" s="83" t="s">
        <v>149</v>
      </c>
      <c r="D23" s="83">
        <v>27.506155854995299</v>
      </c>
      <c r="E23" s="83">
        <v>83.241477335865298</v>
      </c>
      <c r="F23" s="83">
        <v>425081.63922167401</v>
      </c>
      <c r="G23" s="83">
        <v>3042727.72492758</v>
      </c>
    </row>
    <row r="24" spans="1:7" x14ac:dyDescent="0.25">
      <c r="A24" s="112">
        <v>22</v>
      </c>
      <c r="B24" s="83" t="s">
        <v>150</v>
      </c>
      <c r="C24" s="83" t="s">
        <v>151</v>
      </c>
      <c r="D24" s="83">
        <v>27.503404957177001</v>
      </c>
      <c r="E24" s="83">
        <v>83.426537381306304</v>
      </c>
      <c r="F24" s="83">
        <v>443358.79562881001</v>
      </c>
      <c r="G24" s="83">
        <v>3042324.8762808898</v>
      </c>
    </row>
    <row r="25" spans="1:7" x14ac:dyDescent="0.25">
      <c r="A25" s="112">
        <v>23</v>
      </c>
      <c r="B25" s="83" t="s">
        <v>152</v>
      </c>
      <c r="C25" s="83" t="s">
        <v>151</v>
      </c>
      <c r="D25" s="83">
        <v>27.501798863877301</v>
      </c>
      <c r="E25" s="83">
        <v>83.426260448319297</v>
      </c>
      <c r="F25" s="83">
        <v>443330.61957806</v>
      </c>
      <c r="G25" s="83">
        <v>3042147.09521004</v>
      </c>
    </row>
    <row r="26" spans="1:7" x14ac:dyDescent="0.25">
      <c r="A26" s="112">
        <v>24</v>
      </c>
      <c r="B26" s="83" t="s">
        <v>153</v>
      </c>
      <c r="C26" s="83" t="s">
        <v>151</v>
      </c>
      <c r="D26" s="83">
        <v>27.5016729064379</v>
      </c>
      <c r="E26" s="83">
        <v>83.492616254364705</v>
      </c>
      <c r="F26" s="83">
        <v>449884.761030327</v>
      </c>
      <c r="G26" s="83">
        <v>3042104.58762387</v>
      </c>
    </row>
    <row r="27" spans="1:7" x14ac:dyDescent="0.25">
      <c r="A27" s="112">
        <v>25</v>
      </c>
      <c r="B27" s="83" t="s">
        <v>154</v>
      </c>
      <c r="C27" s="83" t="s">
        <v>151</v>
      </c>
      <c r="D27" s="83">
        <v>27.485613112436202</v>
      </c>
      <c r="E27" s="83">
        <v>83.489837692365001</v>
      </c>
      <c r="F27" s="83">
        <v>449603.00051856099</v>
      </c>
      <c r="G27" s="83">
        <v>3040326.7768884301</v>
      </c>
    </row>
    <row r="28" spans="1:7" x14ac:dyDescent="0.25">
      <c r="A28" s="112">
        <v>26</v>
      </c>
      <c r="B28" s="83" t="s">
        <v>155</v>
      </c>
      <c r="C28" s="83" t="s">
        <v>151</v>
      </c>
      <c r="D28" s="83">
        <v>27.489846681370501</v>
      </c>
      <c r="E28" s="83">
        <v>83.577843834005606</v>
      </c>
      <c r="F28" s="83">
        <v>458298.48871826701</v>
      </c>
      <c r="G28" s="83">
        <v>3040763.0774813499</v>
      </c>
    </row>
    <row r="29" spans="1:7" x14ac:dyDescent="0.25">
      <c r="A29" s="112">
        <v>27</v>
      </c>
      <c r="B29" s="83" t="s">
        <v>156</v>
      </c>
      <c r="C29" s="83" t="s">
        <v>151</v>
      </c>
      <c r="D29" s="83">
        <v>27.473788415072899</v>
      </c>
      <c r="E29" s="83">
        <v>83.575053153057297</v>
      </c>
      <c r="F29" s="83">
        <v>458016.72820623498</v>
      </c>
      <c r="G29" s="83">
        <v>3038985.2667442299</v>
      </c>
    </row>
    <row r="30" spans="1:7" x14ac:dyDescent="0.25">
      <c r="A30" s="112">
        <v>28</v>
      </c>
      <c r="B30" s="83" t="s">
        <v>157</v>
      </c>
      <c r="C30" s="83" t="s">
        <v>158</v>
      </c>
      <c r="D30" s="83">
        <v>27.507706808740799</v>
      </c>
      <c r="E30" s="83">
        <v>83.395326535419201</v>
      </c>
      <c r="F30" s="83">
        <v>440278.34220454301</v>
      </c>
      <c r="G30" s="83">
        <v>3042816.0327766002</v>
      </c>
    </row>
    <row r="31" spans="1:7" x14ac:dyDescent="0.25">
      <c r="A31" s="112">
        <v>29</v>
      </c>
      <c r="B31" s="83" t="s">
        <v>159</v>
      </c>
      <c r="C31" s="83" t="s">
        <v>158</v>
      </c>
      <c r="D31" s="83">
        <v>27.506100215933301</v>
      </c>
      <c r="E31" s="83">
        <v>83.395053320340295</v>
      </c>
      <c r="F31" s="83">
        <v>440250.48919232498</v>
      </c>
      <c r="G31" s="83">
        <v>3042638.2007956398</v>
      </c>
    </row>
    <row r="32" spans="1:7" x14ac:dyDescent="0.25">
      <c r="A32" s="112">
        <v>30</v>
      </c>
      <c r="B32" s="83" t="s">
        <v>160</v>
      </c>
      <c r="C32" s="83" t="s">
        <v>158</v>
      </c>
      <c r="D32" s="83">
        <v>27.523850915238899</v>
      </c>
      <c r="E32" s="83">
        <v>83.331708630965693</v>
      </c>
      <c r="F32" s="83">
        <v>434004.48618220002</v>
      </c>
      <c r="G32" s="83">
        <v>3044636.5835394501</v>
      </c>
    </row>
    <row r="33" spans="1:7" x14ac:dyDescent="0.25">
      <c r="A33" s="112">
        <v>31</v>
      </c>
      <c r="B33" s="83" t="s">
        <v>161</v>
      </c>
      <c r="C33" s="83" t="s">
        <v>158</v>
      </c>
      <c r="D33" s="83">
        <v>27.507783893315999</v>
      </c>
      <c r="E33" s="83">
        <v>83.328985736164199</v>
      </c>
      <c r="F33" s="83">
        <v>433725.95607648802</v>
      </c>
      <c r="G33" s="83">
        <v>3042858.2638349701</v>
      </c>
    </row>
    <row r="34" spans="1:7" x14ac:dyDescent="0.25">
      <c r="A34" s="112">
        <v>32</v>
      </c>
      <c r="B34" s="83" t="s">
        <v>162</v>
      </c>
      <c r="C34" s="83" t="s">
        <v>158</v>
      </c>
      <c r="D34" s="83">
        <v>27.5355254327864</v>
      </c>
      <c r="E34" s="83">
        <v>83.246431351420995</v>
      </c>
      <c r="F34" s="83">
        <v>425590.73036013602</v>
      </c>
      <c r="G34" s="83">
        <v>3045978.0981703</v>
      </c>
    </row>
    <row r="35" spans="1:7" x14ac:dyDescent="0.25">
      <c r="A35" s="112">
        <v>33</v>
      </c>
      <c r="B35" s="83" t="s">
        <v>163</v>
      </c>
      <c r="C35" s="83" t="s">
        <v>158</v>
      </c>
      <c r="D35" s="83">
        <v>27.519457001303898</v>
      </c>
      <c r="E35" s="83">
        <v>83.243720645555896</v>
      </c>
      <c r="F35" s="83">
        <v>425312.20025390899</v>
      </c>
      <c r="G35" s="83">
        <v>3044199.7784625399</v>
      </c>
    </row>
    <row r="36" spans="1:7" x14ac:dyDescent="0.25">
      <c r="A36" s="112">
        <v>34</v>
      </c>
      <c r="B36" s="83" t="s">
        <v>164</v>
      </c>
      <c r="C36" s="83" t="s">
        <v>165</v>
      </c>
      <c r="D36" s="83">
        <v>27.504875761722801</v>
      </c>
      <c r="E36" s="83">
        <v>83.413884573592298</v>
      </c>
      <c r="F36" s="83">
        <v>442109.815947767</v>
      </c>
      <c r="G36" s="83">
        <v>3042493.6384447599</v>
      </c>
    </row>
    <row r="37" spans="1:7" x14ac:dyDescent="0.25">
      <c r="A37" s="112">
        <v>35</v>
      </c>
      <c r="B37" s="83" t="s">
        <v>166</v>
      </c>
      <c r="C37" s="83" t="s">
        <v>165</v>
      </c>
      <c r="D37" s="83">
        <v>27.5038050182911</v>
      </c>
      <c r="E37" s="83">
        <v>83.413700071383204</v>
      </c>
      <c r="F37" s="83">
        <v>442091.031914822</v>
      </c>
      <c r="G37" s="83">
        <v>3042375.1177364602</v>
      </c>
    </row>
    <row r="38" spans="1:7" x14ac:dyDescent="0.25">
      <c r="A38" s="112">
        <v>36</v>
      </c>
      <c r="B38" s="83" t="s">
        <v>167</v>
      </c>
      <c r="C38" s="83" t="s">
        <v>165</v>
      </c>
      <c r="D38" s="83">
        <v>27.5042169611528</v>
      </c>
      <c r="E38" s="83">
        <v>83.4276131277486</v>
      </c>
      <c r="F38" s="83">
        <v>443465.46469169803</v>
      </c>
      <c r="G38" s="83">
        <v>3042414.3315868499</v>
      </c>
    </row>
    <row r="39" spans="1:7" x14ac:dyDescent="0.25">
      <c r="A39" s="112">
        <v>37</v>
      </c>
      <c r="B39" s="83" t="s">
        <v>168</v>
      </c>
      <c r="C39" s="83" t="s">
        <v>165</v>
      </c>
      <c r="D39" s="83">
        <v>27.500734686590299</v>
      </c>
      <c r="E39" s="83">
        <v>83.427012662629295</v>
      </c>
      <c r="F39" s="83">
        <v>443404.37431662303</v>
      </c>
      <c r="G39" s="83">
        <v>3042028.8725884901</v>
      </c>
    </row>
    <row r="40" spans="1:7" x14ac:dyDescent="0.25">
      <c r="A40" s="112">
        <v>38</v>
      </c>
      <c r="B40" s="83" t="s">
        <v>169</v>
      </c>
      <c r="C40" s="83" t="s">
        <v>170</v>
      </c>
      <c r="D40" s="83">
        <v>27.505702246364301</v>
      </c>
      <c r="E40" s="83">
        <v>83.407888244882599</v>
      </c>
      <c r="F40" s="83">
        <v>441517.98786850402</v>
      </c>
      <c r="G40" s="83">
        <v>3042588.0011031898</v>
      </c>
    </row>
    <row r="41" spans="1:7" x14ac:dyDescent="0.25">
      <c r="A41" s="112">
        <v>39</v>
      </c>
      <c r="B41" s="83" t="s">
        <v>171</v>
      </c>
      <c r="C41" s="83" t="s">
        <v>170</v>
      </c>
      <c r="D41" s="83">
        <v>27.504631198861301</v>
      </c>
      <c r="E41" s="83">
        <v>83.407705981615393</v>
      </c>
      <c r="F41" s="83">
        <v>441499.41919412097</v>
      </c>
      <c r="G41" s="83">
        <v>3042469.4464519499</v>
      </c>
    </row>
    <row r="42" spans="1:7" x14ac:dyDescent="0.25">
      <c r="A42" s="112">
        <v>40</v>
      </c>
      <c r="B42" s="83" t="s">
        <v>172</v>
      </c>
      <c r="C42" s="83" t="s">
        <v>170</v>
      </c>
      <c r="D42" s="83">
        <v>27.508771068499399</v>
      </c>
      <c r="E42" s="83">
        <v>83.394572056083405</v>
      </c>
      <c r="F42" s="83">
        <v>440204.39848079102</v>
      </c>
      <c r="G42" s="83">
        <v>3042934.28516857</v>
      </c>
    </row>
    <row r="43" spans="1:7" x14ac:dyDescent="0.25">
      <c r="A43" s="112">
        <v>41</v>
      </c>
      <c r="B43" s="83" t="s">
        <v>173</v>
      </c>
      <c r="C43" s="83" t="s">
        <v>170</v>
      </c>
      <c r="D43" s="83">
        <v>27.5052877043344</v>
      </c>
      <c r="E43" s="83">
        <v>83.3939797085593</v>
      </c>
      <c r="F43" s="83">
        <v>440144.00851130998</v>
      </c>
      <c r="G43" s="83">
        <v>3042548.7158154598</v>
      </c>
    </row>
    <row r="44" spans="1:7" x14ac:dyDescent="0.25">
      <c r="A44" s="112">
        <v>42</v>
      </c>
      <c r="B44" s="83" t="s">
        <v>174</v>
      </c>
      <c r="C44" s="83" t="s">
        <v>175</v>
      </c>
      <c r="D44" s="83">
        <v>27.503801900674301</v>
      </c>
      <c r="E44" s="83">
        <v>83.438534457833896</v>
      </c>
      <c r="F44" s="83">
        <v>444543.97431647201</v>
      </c>
      <c r="G44" s="83">
        <v>3042363.42584626</v>
      </c>
    </row>
    <row r="45" spans="1:7" x14ac:dyDescent="0.25">
      <c r="A45" s="112">
        <v>43</v>
      </c>
      <c r="B45" s="83" t="s">
        <v>176</v>
      </c>
      <c r="C45" s="83" t="s">
        <v>175</v>
      </c>
      <c r="D45" s="83">
        <v>27.5113164245954</v>
      </c>
      <c r="E45" s="83">
        <v>83.384014904145602</v>
      </c>
      <c r="F45" s="83">
        <v>439163.08966743399</v>
      </c>
      <c r="G45" s="83">
        <v>3043221.37033945</v>
      </c>
    </row>
    <row r="46" spans="1:7" x14ac:dyDescent="0.25">
      <c r="A46" s="112">
        <v>44</v>
      </c>
      <c r="B46" s="83" t="s">
        <v>177</v>
      </c>
      <c r="C46" s="83" t="s">
        <v>178</v>
      </c>
      <c r="D46" s="83">
        <v>27.498186353231301</v>
      </c>
      <c r="E46" s="83">
        <v>83.437565596164703</v>
      </c>
      <c r="F46" s="83">
        <v>444445.45827601501</v>
      </c>
      <c r="G46" s="83">
        <v>3041741.8239290202</v>
      </c>
    </row>
    <row r="47" spans="1:7" x14ac:dyDescent="0.25">
      <c r="A47" s="112">
        <v>45</v>
      </c>
      <c r="B47" s="83" t="s">
        <v>179</v>
      </c>
      <c r="C47" s="83" t="s">
        <v>178</v>
      </c>
      <c r="D47" s="83">
        <v>27.5056989718999</v>
      </c>
      <c r="E47" s="83">
        <v>83.383060200520106</v>
      </c>
      <c r="F47" s="83">
        <v>439065.70279529301</v>
      </c>
      <c r="G47" s="83">
        <v>3042599.5883841999</v>
      </c>
    </row>
    <row r="48" spans="1:7" x14ac:dyDescent="0.25">
      <c r="A48" s="112">
        <v>46</v>
      </c>
      <c r="B48" s="83" t="s">
        <v>222</v>
      </c>
      <c r="C48" s="83" t="s">
        <v>223</v>
      </c>
      <c r="D48" s="83">
        <v>27.5383755103637</v>
      </c>
      <c r="E48" s="83">
        <v>83.431954363841299</v>
      </c>
      <c r="F48" s="83">
        <v>443911.59047088301</v>
      </c>
      <c r="G48" s="83">
        <v>3046196.12352505</v>
      </c>
    </row>
    <row r="49" spans="1:7" x14ac:dyDescent="0.25">
      <c r="A49" s="112">
        <v>47</v>
      </c>
      <c r="B49" s="83" t="s">
        <v>224</v>
      </c>
      <c r="C49" s="83" t="s">
        <v>223</v>
      </c>
      <c r="D49" s="83">
        <v>27.466993538814801</v>
      </c>
      <c r="E49" s="83">
        <v>83.419646607498606</v>
      </c>
      <c r="F49" s="83">
        <v>442659.32152911799</v>
      </c>
      <c r="G49" s="83">
        <v>3038294.7424749499</v>
      </c>
    </row>
    <row r="50" spans="1:7" x14ac:dyDescent="0.25">
      <c r="A50" s="112">
        <v>48</v>
      </c>
      <c r="B50" s="83" t="s">
        <v>225</v>
      </c>
      <c r="C50" s="83" t="s">
        <v>223</v>
      </c>
      <c r="D50" s="83">
        <v>27.542522679517901</v>
      </c>
      <c r="E50" s="83">
        <v>83.401863761375793</v>
      </c>
      <c r="F50" s="83">
        <v>440942.623291319</v>
      </c>
      <c r="G50" s="83">
        <v>3046669.4910709099</v>
      </c>
    </row>
    <row r="51" spans="1:7" x14ac:dyDescent="0.25">
      <c r="A51" s="112">
        <v>49</v>
      </c>
      <c r="B51" s="83" t="s">
        <v>226</v>
      </c>
      <c r="C51" s="83" t="s">
        <v>223</v>
      </c>
      <c r="D51" s="83">
        <v>27.471118604778098</v>
      </c>
      <c r="E51" s="83">
        <v>83.389720485507397</v>
      </c>
      <c r="F51" s="83">
        <v>439704.71170868102</v>
      </c>
      <c r="G51" s="83">
        <v>3038765.8479290898</v>
      </c>
    </row>
    <row r="52" spans="1:7" x14ac:dyDescent="0.25">
      <c r="A52" s="112">
        <v>50</v>
      </c>
      <c r="B52" s="83" t="s">
        <v>227</v>
      </c>
      <c r="C52" s="83" t="s">
        <v>228</v>
      </c>
      <c r="D52" s="83">
        <v>27.556220756785901</v>
      </c>
      <c r="E52" s="83">
        <v>83.435033652797202</v>
      </c>
      <c r="F52" s="83">
        <v>444224.65770631901</v>
      </c>
      <c r="G52" s="83">
        <v>3048171.46878755</v>
      </c>
    </row>
    <row r="53" spans="1:7" x14ac:dyDescent="0.25">
      <c r="A53" s="112">
        <v>51</v>
      </c>
      <c r="B53" s="83" t="s">
        <v>229</v>
      </c>
      <c r="C53" s="83" t="s">
        <v>228</v>
      </c>
      <c r="D53" s="83">
        <v>27.449147800336799</v>
      </c>
      <c r="E53" s="83">
        <v>83.416572011564099</v>
      </c>
      <c r="F53" s="83">
        <v>442346.254293682</v>
      </c>
      <c r="G53" s="83">
        <v>3036319.3972124499</v>
      </c>
    </row>
    <row r="54" spans="1:7" x14ac:dyDescent="0.25">
      <c r="A54" s="112">
        <v>52</v>
      </c>
      <c r="B54" s="83" t="s">
        <v>230</v>
      </c>
      <c r="C54" s="83" t="s">
        <v>228</v>
      </c>
      <c r="D54" s="83">
        <v>27.560373457686001</v>
      </c>
      <c r="E54" s="83">
        <v>83.4049018909637</v>
      </c>
      <c r="F54" s="83">
        <v>441252.10118696903</v>
      </c>
      <c r="G54" s="83">
        <v>3048645.4018563</v>
      </c>
    </row>
    <row r="55" spans="1:7" x14ac:dyDescent="0.25">
      <c r="A55" s="112">
        <v>53</v>
      </c>
      <c r="B55" s="83" t="s">
        <v>231</v>
      </c>
      <c r="C55" s="83" t="s">
        <v>228</v>
      </c>
      <c r="D55" s="83">
        <v>27.4532673464312</v>
      </c>
      <c r="E55" s="83">
        <v>83.386686970531301</v>
      </c>
      <c r="F55" s="83">
        <v>439395.23381303099</v>
      </c>
      <c r="G55" s="83">
        <v>3036789.9371437002</v>
      </c>
    </row>
    <row r="56" spans="1:7" ht="30" x14ac:dyDescent="0.25">
      <c r="A56" s="112">
        <v>54</v>
      </c>
      <c r="B56" s="83" t="s">
        <v>232</v>
      </c>
      <c r="C56" s="83" t="s">
        <v>233</v>
      </c>
      <c r="D56" s="83">
        <v>27.497158304468801</v>
      </c>
      <c r="E56" s="83">
        <v>83.465817086654297</v>
      </c>
      <c r="F56" s="83">
        <v>447235.56117968401</v>
      </c>
      <c r="G56" s="83">
        <v>3041615.6163048898</v>
      </c>
    </row>
    <row r="57" spans="1:7" ht="30" x14ac:dyDescent="0.25">
      <c r="A57" s="112">
        <v>55</v>
      </c>
      <c r="B57" s="83" t="s">
        <v>235</v>
      </c>
      <c r="C57" s="83" t="s">
        <v>233</v>
      </c>
      <c r="D57" s="83">
        <v>27.494390757095299</v>
      </c>
      <c r="E57" s="83">
        <v>83.485824902073603</v>
      </c>
      <c r="F57" s="83">
        <v>449210.61376952601</v>
      </c>
      <c r="G57" s="83">
        <v>3041300.7079573302</v>
      </c>
    </row>
    <row r="58" spans="1:7" x14ac:dyDescent="0.25">
      <c r="A58" s="112">
        <v>56</v>
      </c>
      <c r="B58" s="83" t="s">
        <v>234</v>
      </c>
      <c r="C58" s="83" t="s">
        <v>236</v>
      </c>
      <c r="D58" s="83">
        <v>27.512326988430299</v>
      </c>
      <c r="E58" s="83">
        <v>83.3557652031228</v>
      </c>
      <c r="F58" s="83">
        <v>436373.562320319</v>
      </c>
      <c r="G58" s="83">
        <v>3043347.4861951098</v>
      </c>
    </row>
    <row r="59" spans="1:7" x14ac:dyDescent="0.25">
      <c r="A59" s="112">
        <v>57</v>
      </c>
      <c r="B59" s="83" t="s">
        <v>237</v>
      </c>
      <c r="C59" s="83" t="s">
        <v>236</v>
      </c>
      <c r="D59" s="83">
        <v>27.5150757194283</v>
      </c>
      <c r="E59" s="83">
        <v>83.335751262267394</v>
      </c>
      <c r="F59" s="83">
        <v>434398.50973047502</v>
      </c>
      <c r="G59" s="83">
        <v>3043662.3945426601</v>
      </c>
    </row>
    <row r="60" spans="1:7" x14ac:dyDescent="0.25">
      <c r="A60" s="112"/>
      <c r="B60" s="83"/>
      <c r="C60" s="83"/>
      <c r="D60" s="83"/>
      <c r="E60" s="83"/>
      <c r="F60" s="83"/>
      <c r="G60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97812-BDEA-4D7F-A2B0-2458B191BFF5}">
  <dimension ref="A1:J44"/>
  <sheetViews>
    <sheetView workbookViewId="0">
      <selection activeCell="H2" sqref="H2"/>
    </sheetView>
  </sheetViews>
  <sheetFormatPr defaultRowHeight="15" x14ac:dyDescent="0.25"/>
  <cols>
    <col min="2" max="2" width="9.28515625" bestFit="1" customWidth="1"/>
    <col min="3" max="3" width="12.7109375" bestFit="1" customWidth="1"/>
    <col min="4" max="4" width="13.5703125" bestFit="1" customWidth="1"/>
    <col min="5" max="5" width="12.85546875" bestFit="1" customWidth="1"/>
  </cols>
  <sheetData>
    <row r="1" spans="1:10" x14ac:dyDescent="0.25">
      <c r="A1" t="s">
        <v>221</v>
      </c>
      <c r="B1" t="s">
        <v>76</v>
      </c>
      <c r="C1" t="s">
        <v>180</v>
      </c>
      <c r="D1" t="s">
        <v>181</v>
      </c>
      <c r="E1" t="s">
        <v>182</v>
      </c>
    </row>
    <row r="2" spans="1:10" x14ac:dyDescent="0.25">
      <c r="A2" s="114">
        <v>0</v>
      </c>
      <c r="B2" t="s">
        <v>80</v>
      </c>
      <c r="C2">
        <v>6.3096518539934001</v>
      </c>
      <c r="D2">
        <v>245268.53370128901</v>
      </c>
      <c r="E2">
        <v>45.140463134791503</v>
      </c>
      <c r="G2">
        <f>ATAN(C2)*180/PI()</f>
        <v>80.994248109498599</v>
      </c>
    </row>
    <row r="3" spans="1:10" x14ac:dyDescent="0.25">
      <c r="A3" s="114">
        <v>1</v>
      </c>
      <c r="B3" t="s">
        <v>78</v>
      </c>
      <c r="C3">
        <v>-0.15933918451485299</v>
      </c>
      <c r="D3">
        <v>3112855.3211210002</v>
      </c>
      <c r="E3">
        <v>2999.1578062724602</v>
      </c>
    </row>
    <row r="4" spans="1:10" x14ac:dyDescent="0.25">
      <c r="A4" s="114">
        <v>2</v>
      </c>
      <c r="B4" t="s">
        <v>81</v>
      </c>
      <c r="C4">
        <v>6.3846588501708403</v>
      </c>
      <c r="D4">
        <v>231401.26885644201</v>
      </c>
      <c r="E4">
        <v>45.748016897063799</v>
      </c>
      <c r="J4" t="s">
        <v>28</v>
      </c>
    </row>
    <row r="5" spans="1:10" x14ac:dyDescent="0.25">
      <c r="A5" s="114">
        <v>3</v>
      </c>
      <c r="B5" t="s">
        <v>104</v>
      </c>
      <c r="C5">
        <v>-0.15954685388730899</v>
      </c>
      <c r="D5">
        <v>3112993.0885578399</v>
      </c>
      <c r="E5">
        <v>2999.2414878387299</v>
      </c>
    </row>
    <row r="6" spans="1:10" x14ac:dyDescent="0.25">
      <c r="A6" s="114">
        <v>4</v>
      </c>
      <c r="B6" t="s">
        <v>92</v>
      </c>
      <c r="C6">
        <v>-0.159443018973045</v>
      </c>
      <c r="D6">
        <v>3112924.2043714798</v>
      </c>
      <c r="E6">
        <v>2999.1996316791401</v>
      </c>
      <c r="G6">
        <f>ATAN(C6)*180/PI()</f>
        <v>-9.059158129687706</v>
      </c>
    </row>
    <row r="7" spans="1:10" x14ac:dyDescent="0.25">
      <c r="A7" s="114">
        <v>5</v>
      </c>
      <c r="B7" t="s">
        <v>183</v>
      </c>
      <c r="C7">
        <v>6.3096518539934001</v>
      </c>
      <c r="D7">
        <v>244885.22945729099</v>
      </c>
      <c r="E7">
        <v>279.99999820354202</v>
      </c>
    </row>
    <row r="8" spans="1:10" x14ac:dyDescent="0.25">
      <c r="A8" s="114">
        <v>6</v>
      </c>
      <c r="B8" t="s">
        <v>184</v>
      </c>
      <c r="C8">
        <v>6.3096518539934001</v>
      </c>
      <c r="D8">
        <v>225720.01725738501</v>
      </c>
      <c r="E8">
        <v>1180.0000009713999</v>
      </c>
    </row>
    <row r="9" spans="1:10" x14ac:dyDescent="0.25">
      <c r="A9" s="114">
        <v>7</v>
      </c>
      <c r="B9" t="s">
        <v>185</v>
      </c>
      <c r="C9">
        <v>6.3096518539934001</v>
      </c>
      <c r="D9">
        <v>202721.762617498</v>
      </c>
      <c r="E9">
        <v>2260.0000001931799</v>
      </c>
    </row>
    <row r="10" spans="1:10" x14ac:dyDescent="0.25">
      <c r="A10" s="114">
        <v>8</v>
      </c>
      <c r="B10" t="s">
        <v>186</v>
      </c>
      <c r="C10">
        <v>6.3096518539934001</v>
      </c>
      <c r="D10">
        <v>149059.168457761</v>
      </c>
      <c r="E10">
        <v>4780.0000007189801</v>
      </c>
    </row>
    <row r="11" spans="1:10" x14ac:dyDescent="0.25">
      <c r="A11" s="114">
        <v>9</v>
      </c>
      <c r="B11" t="s">
        <v>187</v>
      </c>
      <c r="C11">
        <v>6.3846588501708403</v>
      </c>
      <c r="D11">
        <v>231789.01868181801</v>
      </c>
      <c r="E11">
        <v>279.99999782640703</v>
      </c>
    </row>
    <row r="12" spans="1:10" x14ac:dyDescent="0.25">
      <c r="A12" s="114">
        <v>10</v>
      </c>
      <c r="B12" t="s">
        <v>188</v>
      </c>
      <c r="C12">
        <v>6.3846588501708403</v>
      </c>
      <c r="D12">
        <v>251176.509950612</v>
      </c>
      <c r="E12">
        <v>1180.00000066286</v>
      </c>
    </row>
    <row r="13" spans="1:10" x14ac:dyDescent="0.25">
      <c r="A13" s="114">
        <v>11</v>
      </c>
      <c r="B13" t="s">
        <v>189</v>
      </c>
      <c r="C13">
        <v>6.3846588501708403</v>
      </c>
      <c r="D13">
        <v>274441.49947316601</v>
      </c>
      <c r="E13">
        <v>2260.0000003694399</v>
      </c>
    </row>
    <row r="14" spans="1:10" x14ac:dyDescent="0.25">
      <c r="A14" s="114">
        <v>12</v>
      </c>
      <c r="B14" t="s">
        <v>190</v>
      </c>
      <c r="C14">
        <v>6.3846588501708403</v>
      </c>
      <c r="D14">
        <v>328726.47502578999</v>
      </c>
      <c r="E14">
        <v>4780.0000004364301</v>
      </c>
    </row>
    <row r="15" spans="1:10" x14ac:dyDescent="0.25">
      <c r="A15" s="114">
        <v>13</v>
      </c>
      <c r="B15" t="s">
        <v>191</v>
      </c>
      <c r="C15">
        <v>-9.2020624543638092E-3</v>
      </c>
      <c r="D15">
        <v>3046454.1472616298</v>
      </c>
      <c r="E15">
        <v>15165.743560167901</v>
      </c>
    </row>
    <row r="16" spans="1:10" x14ac:dyDescent="0.25">
      <c r="A16" s="114">
        <v>14</v>
      </c>
      <c r="B16" t="s">
        <v>192</v>
      </c>
      <c r="C16">
        <v>-0.31700242622362901</v>
      </c>
      <c r="D16">
        <v>3182632.11252659</v>
      </c>
      <c r="E16">
        <v>15169.891669217801</v>
      </c>
    </row>
    <row r="17" spans="1:5" x14ac:dyDescent="0.25">
      <c r="A17" s="114">
        <v>15</v>
      </c>
      <c r="B17" t="s">
        <v>193</v>
      </c>
      <c r="C17">
        <v>-0.31695737550751901</v>
      </c>
      <c r="D17">
        <v>3182417.35066021</v>
      </c>
      <c r="E17">
        <v>15173.982768676</v>
      </c>
    </row>
    <row r="18" spans="1:5" x14ac:dyDescent="0.25">
      <c r="A18" s="114">
        <v>16</v>
      </c>
      <c r="B18" t="s">
        <v>194</v>
      </c>
      <c r="C18">
        <v>-9.1630406785205998E-3</v>
      </c>
      <c r="D18">
        <v>3046622.7652794602</v>
      </c>
      <c r="E18">
        <v>15161.7494843614</v>
      </c>
    </row>
    <row r="19" spans="1:5" x14ac:dyDescent="0.25">
      <c r="A19" s="114">
        <v>17</v>
      </c>
      <c r="B19" t="s">
        <v>195</v>
      </c>
      <c r="C19">
        <v>6.3096518539934001</v>
      </c>
      <c r="D19">
        <v>244885.22945729099</v>
      </c>
      <c r="E19">
        <v>179.99999719601399</v>
      </c>
    </row>
    <row r="20" spans="1:5" x14ac:dyDescent="0.25">
      <c r="A20" s="114">
        <v>18</v>
      </c>
      <c r="B20" t="s">
        <v>196</v>
      </c>
      <c r="C20">
        <v>6.3096518539934001</v>
      </c>
      <c r="D20">
        <v>203488.37110549401</v>
      </c>
      <c r="E20">
        <v>1799.9999991816701</v>
      </c>
    </row>
    <row r="21" spans="1:5" x14ac:dyDescent="0.25">
      <c r="A21" s="114">
        <v>19</v>
      </c>
      <c r="B21" t="s">
        <v>197</v>
      </c>
      <c r="C21">
        <v>6.3096518539934001</v>
      </c>
      <c r="D21">
        <v>149059.168457761</v>
      </c>
      <c r="E21">
        <v>1800.0000008836801</v>
      </c>
    </row>
    <row r="22" spans="1:5" x14ac:dyDescent="0.25">
      <c r="A22" s="114">
        <v>20</v>
      </c>
      <c r="B22" t="s">
        <v>198</v>
      </c>
      <c r="C22">
        <v>6.3846588501708403</v>
      </c>
      <c r="D22">
        <v>231789.01868181801</v>
      </c>
      <c r="E22">
        <v>180.000010394231</v>
      </c>
    </row>
    <row r="23" spans="1:5" x14ac:dyDescent="0.25">
      <c r="A23" s="114">
        <v>21</v>
      </c>
      <c r="B23" t="s">
        <v>199</v>
      </c>
      <c r="C23">
        <v>6.3846588501708403</v>
      </c>
      <c r="D23">
        <v>273665.99982241401</v>
      </c>
      <c r="E23">
        <v>1799.9999975315</v>
      </c>
    </row>
    <row r="24" spans="1:5" x14ac:dyDescent="0.25">
      <c r="A24" s="114">
        <v>22</v>
      </c>
      <c r="B24" t="s">
        <v>200</v>
      </c>
      <c r="C24">
        <v>6.3846588501708403</v>
      </c>
      <c r="D24">
        <v>328726.47502578999</v>
      </c>
      <c r="E24">
        <v>1800.0000008567999</v>
      </c>
    </row>
    <row r="25" spans="1:5" x14ac:dyDescent="0.25">
      <c r="A25" s="114">
        <v>23</v>
      </c>
      <c r="B25" t="s">
        <v>201</v>
      </c>
      <c r="C25">
        <v>-3.37557194176136E-2</v>
      </c>
      <c r="D25">
        <v>3057290.77138747</v>
      </c>
      <c r="E25">
        <v>6529.6823440502303</v>
      </c>
    </row>
    <row r="26" spans="1:5" x14ac:dyDescent="0.25">
      <c r="A26" s="114">
        <v>24</v>
      </c>
      <c r="B26" t="s">
        <v>202</v>
      </c>
      <c r="C26">
        <v>-0.15944301887061099</v>
      </c>
      <c r="D26">
        <v>3113835.57206643</v>
      </c>
      <c r="E26">
        <v>8520.0037012496905</v>
      </c>
    </row>
    <row r="27" spans="1:5" x14ac:dyDescent="0.25">
      <c r="A27" s="114">
        <v>25</v>
      </c>
      <c r="B27" t="s">
        <v>203</v>
      </c>
      <c r="C27">
        <v>-0.290211697739509</v>
      </c>
      <c r="D27">
        <v>3170806.8269777</v>
      </c>
      <c r="E27">
        <v>6531.1807090874099</v>
      </c>
    </row>
    <row r="28" spans="1:5" x14ac:dyDescent="0.25">
      <c r="A28" s="114">
        <v>26</v>
      </c>
      <c r="B28" t="s">
        <v>204</v>
      </c>
      <c r="C28">
        <v>-0.15944301907545499</v>
      </c>
      <c r="D28">
        <v>3112012.83667649</v>
      </c>
      <c r="E28">
        <v>8520.0037012513403</v>
      </c>
    </row>
    <row r="29" spans="1:5" x14ac:dyDescent="0.25">
      <c r="A29" s="114">
        <v>27</v>
      </c>
      <c r="B29" t="s">
        <v>205</v>
      </c>
      <c r="C29">
        <v>-0.29018051360535102</v>
      </c>
      <c r="D29">
        <v>3170576.2282468202</v>
      </c>
      <c r="E29">
        <v>6532.6621272797902</v>
      </c>
    </row>
    <row r="30" spans="1:5" x14ac:dyDescent="0.25">
      <c r="A30" s="114">
        <v>28</v>
      </c>
      <c r="B30" t="s">
        <v>206</v>
      </c>
      <c r="C30">
        <v>-0.159443019173138</v>
      </c>
      <c r="D30">
        <v>3113835.5691510201</v>
      </c>
      <c r="E30">
        <v>8520.0321911436004</v>
      </c>
    </row>
    <row r="31" spans="1:5" x14ac:dyDescent="0.25">
      <c r="A31" s="114">
        <v>29</v>
      </c>
      <c r="B31" t="s">
        <v>207</v>
      </c>
      <c r="C31">
        <v>-3.3728549679720499E-2</v>
      </c>
      <c r="D31">
        <v>3057487.2112918799</v>
      </c>
      <c r="E31">
        <v>6528.2432645341196</v>
      </c>
    </row>
    <row r="32" spans="1:5" x14ac:dyDescent="0.25">
      <c r="A32" s="114">
        <v>30</v>
      </c>
      <c r="B32" t="s">
        <v>208</v>
      </c>
      <c r="C32">
        <v>-0.15944301877292499</v>
      </c>
      <c r="D32">
        <v>3112012.83959198</v>
      </c>
      <c r="E32">
        <v>8520.03219113452</v>
      </c>
    </row>
    <row r="33" spans="1:5" x14ac:dyDescent="0.25">
      <c r="A33" s="114">
        <v>31</v>
      </c>
      <c r="B33" t="s">
        <v>209</v>
      </c>
      <c r="C33">
        <v>6.3096518539934001</v>
      </c>
      <c r="D33">
        <v>252934.61858125101</v>
      </c>
      <c r="E33">
        <v>119.999992458848</v>
      </c>
    </row>
    <row r="34" spans="1:5" x14ac:dyDescent="0.25">
      <c r="A34" s="114">
        <v>32</v>
      </c>
      <c r="B34" t="s">
        <v>210</v>
      </c>
      <c r="C34">
        <v>6.3096518539934001</v>
      </c>
      <c r="D34">
        <v>244301.640112825</v>
      </c>
      <c r="E34">
        <v>390.27000056386203</v>
      </c>
    </row>
    <row r="35" spans="1:5" x14ac:dyDescent="0.25">
      <c r="A35" s="114">
        <v>33</v>
      </c>
      <c r="B35" t="s">
        <v>211</v>
      </c>
      <c r="C35">
        <v>6.3846588501708403</v>
      </c>
      <c r="D35">
        <v>223646.27234892399</v>
      </c>
      <c r="E35">
        <v>120.00000415864901</v>
      </c>
    </row>
    <row r="36" spans="1:5" x14ac:dyDescent="0.25">
      <c r="A36" s="114">
        <v>34</v>
      </c>
      <c r="B36" t="s">
        <v>212</v>
      </c>
      <c r="C36">
        <v>6.3846588501708403</v>
      </c>
      <c r="D36">
        <v>232379.37652405701</v>
      </c>
      <c r="E36">
        <v>390.27000201176401</v>
      </c>
    </row>
    <row r="37" spans="1:5" x14ac:dyDescent="0.25">
      <c r="A37" s="114">
        <v>35</v>
      </c>
      <c r="B37" t="s">
        <v>213</v>
      </c>
      <c r="C37">
        <v>-5.8501037434677002E-2</v>
      </c>
      <c r="D37">
        <v>3068357.5213377601</v>
      </c>
      <c r="E37">
        <v>1357.96652927637</v>
      </c>
    </row>
    <row r="38" spans="1:5" x14ac:dyDescent="0.25">
      <c r="A38" s="114">
        <v>36</v>
      </c>
      <c r="B38" t="s">
        <v>214</v>
      </c>
      <c r="C38">
        <v>-0.26363661714991499</v>
      </c>
      <c r="D38">
        <v>3158926.5018628002</v>
      </c>
      <c r="E38">
        <v>1358.21720165185</v>
      </c>
    </row>
    <row r="39" spans="1:5" x14ac:dyDescent="0.25">
      <c r="A39" s="114">
        <v>37</v>
      </c>
      <c r="B39" t="s">
        <v>215</v>
      </c>
      <c r="C39">
        <v>-0.26361667399025102</v>
      </c>
      <c r="D39">
        <v>3158979.5045719501</v>
      </c>
      <c r="E39">
        <v>1358.4659485787399</v>
      </c>
    </row>
    <row r="40" spans="1:5" x14ac:dyDescent="0.25">
      <c r="A40" s="114">
        <v>38</v>
      </c>
      <c r="B40" t="s">
        <v>216</v>
      </c>
      <c r="C40">
        <v>-5.84836496502706E-2</v>
      </c>
      <c r="D40">
        <v>3068289.9438049002</v>
      </c>
      <c r="E40">
        <v>1357.7266849662401</v>
      </c>
    </row>
    <row r="41" spans="1:5" x14ac:dyDescent="0.25">
      <c r="A41" s="114">
        <v>39</v>
      </c>
      <c r="B41" t="s">
        <v>217</v>
      </c>
      <c r="C41">
        <v>-0.159443018973045</v>
      </c>
      <c r="D41">
        <v>3113242.8591775498</v>
      </c>
      <c r="E41">
        <v>5448.8520221828403</v>
      </c>
    </row>
    <row r="42" spans="1:5" x14ac:dyDescent="0.25">
      <c r="A42" s="114">
        <v>40</v>
      </c>
      <c r="B42" t="s">
        <v>218</v>
      </c>
      <c r="C42">
        <v>-0.159443018973045</v>
      </c>
      <c r="D42">
        <v>3112605.5495654098</v>
      </c>
      <c r="E42">
        <v>5447.7085910434198</v>
      </c>
    </row>
    <row r="43" spans="1:5" x14ac:dyDescent="0.25">
      <c r="A43" s="114">
        <v>41</v>
      </c>
      <c r="B43" t="s">
        <v>219</v>
      </c>
      <c r="C43">
        <v>-0.15944286502681801</v>
      </c>
      <c r="D43">
        <v>3113065.9044312802</v>
      </c>
      <c r="E43">
        <v>3119.4542372369401</v>
      </c>
    </row>
    <row r="44" spans="1:5" x14ac:dyDescent="0.25">
      <c r="A44" s="114">
        <v>42</v>
      </c>
      <c r="B44" t="s">
        <v>220</v>
      </c>
      <c r="C44">
        <v>-0.159443172946653</v>
      </c>
      <c r="D44">
        <v>3112782.5043170601</v>
      </c>
      <c r="E44">
        <v>3118.9455316492299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Distance calc from lat long</vt:lpstr>
      <vt:lpstr>RWY COORD</vt:lpstr>
      <vt:lpstr>Equation</vt:lpstr>
      <vt:lpstr>PlotCaseExample</vt:lpstr>
      <vt:lpstr>RWY and Approach coord</vt:lpstr>
      <vt:lpstr>datagridview1</vt:lpstr>
      <vt:lpstr>datagridview2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GBIA CED</dc:creator>
  <cp:lastModifiedBy>GBIA CED</cp:lastModifiedBy>
  <dcterms:created xsi:type="dcterms:W3CDTF">2023-03-19T09:21:48Z</dcterms:created>
  <dcterms:modified xsi:type="dcterms:W3CDTF">2024-08-05T06:50:08Z</dcterms:modified>
</cp:coreProperties>
</file>