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Russ\Dropbox\TREG Team SMC\tools\Deal and Business Calculator\"/>
    </mc:Choice>
  </mc:AlternateContent>
  <bookViews>
    <workbookView xWindow="0" yWindow="0" windowWidth="22500" windowHeight="12300"/>
  </bookViews>
  <sheets>
    <sheet name="Deal Model" sheetId="2" r:id="rId1"/>
    <sheet name="Business Model" sheetId="1" r:id="rId2"/>
  </sheets>
  <definedNames>
    <definedName name="_xlnm.Print_Area" localSheetId="1">'Business Model'!$A$1:$M$31</definedName>
    <definedName name="_xlnm.Print_Area" localSheetId="0">'Deal Model'!$A$1:$G$40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2" l="1"/>
  <c r="C32" i="2"/>
  <c r="C27" i="1" l="1"/>
  <c r="D27" i="1" l="1"/>
  <c r="E27" i="1" s="1"/>
  <c r="F27" i="1" s="1"/>
  <c r="G27" i="1" s="1"/>
  <c r="H27" i="1" s="1"/>
  <c r="I27" i="1" s="1"/>
  <c r="J27" i="1" s="1"/>
  <c r="K27" i="1" s="1"/>
  <c r="L27" i="1" s="1"/>
  <c r="C16" i="1"/>
  <c r="C17" i="1" s="1"/>
  <c r="C26" i="1"/>
  <c r="D8" i="1"/>
  <c r="C25" i="2"/>
  <c r="C7" i="2"/>
  <c r="C9" i="2" s="1"/>
  <c r="C4" i="2"/>
  <c r="C5" i="1"/>
  <c r="K16" i="1" s="1"/>
  <c r="K17" i="1" s="1"/>
  <c r="K23" i="1" s="1"/>
  <c r="K24" i="1" s="1"/>
  <c r="C28" i="1" l="1"/>
  <c r="C29" i="1" s="1"/>
  <c r="K25" i="1"/>
  <c r="C22" i="1"/>
  <c r="D15" i="1" s="1"/>
  <c r="D26" i="1" s="1"/>
  <c r="C23" i="1"/>
  <c r="C24" i="1" s="1"/>
  <c r="C19" i="1"/>
  <c r="D18" i="1" s="1"/>
  <c r="D20" i="1" s="1"/>
  <c r="C15" i="2"/>
  <c r="C17" i="2"/>
  <c r="C20" i="2" s="1"/>
  <c r="E16" i="1"/>
  <c r="E17" i="1" s="1"/>
  <c r="E23" i="1" s="1"/>
  <c r="E24" i="1" s="1"/>
  <c r="I16" i="1"/>
  <c r="I17" i="1" s="1"/>
  <c r="I23" i="1" s="1"/>
  <c r="I24" i="1" s="1"/>
  <c r="F16" i="1"/>
  <c r="F17" i="1" s="1"/>
  <c r="F23" i="1" s="1"/>
  <c r="F24" i="1" s="1"/>
  <c r="J16" i="1"/>
  <c r="J17" i="1" s="1"/>
  <c r="J23" i="1" s="1"/>
  <c r="J24" i="1" s="1"/>
  <c r="D16" i="1"/>
  <c r="D17" i="1" s="1"/>
  <c r="D23" i="1" s="1"/>
  <c r="D24" i="1" s="1"/>
  <c r="H16" i="1"/>
  <c r="H17" i="1" s="1"/>
  <c r="H23" i="1" s="1"/>
  <c r="H24" i="1" s="1"/>
  <c r="L16" i="1"/>
  <c r="L17" i="1" s="1"/>
  <c r="L23" i="1" s="1"/>
  <c r="L24" i="1" s="1"/>
  <c r="G16" i="1"/>
  <c r="G17" i="1" s="1"/>
  <c r="G23" i="1" s="1"/>
  <c r="G24" i="1" s="1"/>
  <c r="D28" i="1" l="1"/>
  <c r="D29" i="1" s="1"/>
  <c r="E25" i="1"/>
  <c r="G25" i="1"/>
  <c r="J25" i="1"/>
  <c r="L25" i="1"/>
  <c r="F25" i="1"/>
  <c r="C25" i="1"/>
  <c r="C30" i="1" s="1"/>
  <c r="D25" i="1"/>
  <c r="H25" i="1"/>
  <c r="I25" i="1"/>
  <c r="D21" i="1"/>
  <c r="D22" i="1" s="1"/>
  <c r="D14" i="1"/>
  <c r="D19" i="1" s="1"/>
  <c r="E14" i="1" s="1"/>
  <c r="E19" i="1" s="1"/>
  <c r="C22" i="2"/>
  <c r="C27" i="2"/>
  <c r="C33" i="2" s="1"/>
  <c r="D30" i="1" l="1"/>
  <c r="E18" i="1"/>
  <c r="E20" i="1" s="1"/>
  <c r="C30" i="2"/>
  <c r="C35" i="2" s="1"/>
  <c r="C36" i="2" s="1"/>
  <c r="D6" i="1" s="1"/>
  <c r="E15" i="1"/>
  <c r="E28" i="1" s="1"/>
  <c r="F14" i="1"/>
  <c r="F19" i="1" s="1"/>
  <c r="F18" i="1"/>
  <c r="F20" i="1" s="1"/>
  <c r="C38" i="2" l="1"/>
  <c r="C39" i="2" s="1"/>
  <c r="D39" i="2" s="1"/>
  <c r="D10" i="1" s="1"/>
  <c r="E21" i="1"/>
  <c r="E22" i="1" s="1"/>
  <c r="F15" i="1" s="1"/>
  <c r="F28" i="1" s="1"/>
  <c r="E26" i="1"/>
  <c r="G18" i="1"/>
  <c r="G20" i="1" s="1"/>
  <c r="G14" i="1"/>
  <c r="G19" i="1" s="1"/>
  <c r="D38" i="2" l="1"/>
  <c r="E29" i="1"/>
  <c r="E30" i="1" s="1"/>
  <c r="F21" i="1"/>
  <c r="F22" i="1" s="1"/>
  <c r="G15" i="1" s="1"/>
  <c r="G28" i="1" s="1"/>
  <c r="F26" i="1"/>
  <c r="F29" i="1" s="1"/>
  <c r="F30" i="1" s="1"/>
  <c r="H18" i="1"/>
  <c r="H20" i="1" s="1"/>
  <c r="H14" i="1"/>
  <c r="H19" i="1" s="1"/>
  <c r="G21" i="1" l="1"/>
  <c r="G22" i="1" s="1"/>
  <c r="H15" i="1" s="1"/>
  <c r="H28" i="1" s="1"/>
  <c r="G26" i="1"/>
  <c r="I14" i="1"/>
  <c r="I19" i="1" s="1"/>
  <c r="I18" i="1"/>
  <c r="I20" i="1" s="1"/>
  <c r="G29" i="1" l="1"/>
  <c r="G30" i="1" s="1"/>
  <c r="H21" i="1"/>
  <c r="H22" i="1" s="1"/>
  <c r="I15" i="1" s="1"/>
  <c r="I28" i="1" s="1"/>
  <c r="H26" i="1"/>
  <c r="J14" i="1"/>
  <c r="J19" i="1" s="1"/>
  <c r="J18" i="1"/>
  <c r="J20" i="1" s="1"/>
  <c r="H29" i="1" l="1"/>
  <c r="H30" i="1" s="1"/>
  <c r="I21" i="1"/>
  <c r="I22" i="1" s="1"/>
  <c r="J15" i="1" s="1"/>
  <c r="J28" i="1" s="1"/>
  <c r="I26" i="1"/>
  <c r="K18" i="1"/>
  <c r="K20" i="1" s="1"/>
  <c r="K14" i="1"/>
  <c r="K19" i="1" s="1"/>
  <c r="I29" i="1" l="1"/>
  <c r="I30" i="1" s="1"/>
  <c r="J21" i="1"/>
  <c r="J22" i="1" s="1"/>
  <c r="K15" i="1" s="1"/>
  <c r="K28" i="1" s="1"/>
  <c r="J26" i="1"/>
  <c r="L18" i="1"/>
  <c r="L20" i="1" s="1"/>
  <c r="L14" i="1"/>
  <c r="L19" i="1" s="1"/>
  <c r="J29" i="1" l="1"/>
  <c r="J30" i="1" s="1"/>
  <c r="K21" i="1"/>
  <c r="K22" i="1" s="1"/>
  <c r="L15" i="1" s="1"/>
  <c r="L28" i="1" s="1"/>
  <c r="K26" i="1"/>
  <c r="K29" i="1" s="1"/>
  <c r="K30" i="1" s="1"/>
  <c r="L21" i="1" l="1"/>
  <c r="L22" i="1" s="1"/>
  <c r="L26" i="1"/>
  <c r="L29" i="1" s="1"/>
  <c r="L30" i="1" s="1"/>
</calcChain>
</file>

<file path=xl/sharedStrings.xml><?xml version="1.0" encoding="utf-8"?>
<sst xmlns="http://schemas.openxmlformats.org/spreadsheetml/2006/main" count="71" uniqueCount="70">
  <si>
    <t>Average Investment</t>
  </si>
  <si>
    <t>Avg annual capital growth rate</t>
  </si>
  <si>
    <t>Avg annual attrition</t>
  </si>
  <si>
    <t>Year:</t>
  </si>
  <si>
    <t>Starting investors</t>
  </si>
  <si>
    <t>Investors lost</t>
  </si>
  <si>
    <t>Total investors</t>
  </si>
  <si>
    <t>Capital withdrawals</t>
  </si>
  <si>
    <t>Managed capital growth amount</t>
  </si>
  <si>
    <t>Ending capital managed amount</t>
  </si>
  <si>
    <t>Number of Investors</t>
  </si>
  <si>
    <t>Average per Investors</t>
  </si>
  <si>
    <t>Total Raise</t>
  </si>
  <si>
    <t>Sponsor new capital expense ratio %</t>
  </si>
  <si>
    <t>Sponsor managed capital expense ratio %</t>
  </si>
  <si>
    <t>Starting managed capital amount</t>
  </si>
  <si>
    <t>New investors added</t>
  </si>
  <si>
    <t>Sponsor before tax net income</t>
  </si>
  <si>
    <t>Sponsor new capital expenses</t>
  </si>
  <si>
    <t>Sponsor gross new capital earnings</t>
  </si>
  <si>
    <t>Sponsor gross managed capital earnings</t>
  </si>
  <si>
    <t>Sponsor managed capital net income</t>
  </si>
  <si>
    <t>Sponsor net new capital income</t>
  </si>
  <si>
    <t>YOY "economy of scale" expense reduction %</t>
  </si>
  <si>
    <t>Increase average investment per investor</t>
  </si>
  <si>
    <t>Increase rate of new client acquisition</t>
  </si>
  <si>
    <t>Increase risk adjusted ROI</t>
  </si>
  <si>
    <t>Improve client retention</t>
  </si>
  <si>
    <t>Lower client acquisition costs</t>
  </si>
  <si>
    <t>Increase operational efficiency to reduce costs</t>
  </si>
  <si>
    <t>Inputs from Deal</t>
  </si>
  <si>
    <t>Expenses and profit sharing</t>
  </si>
  <si>
    <t>of gross raise</t>
  </si>
  <si>
    <t>on gross invested</t>
  </si>
  <si>
    <t>EXAMPLE SYNDICATION DEAL MODEL - FOR ILLUSTRATION PURPOSES ONLY</t>
  </si>
  <si>
    <t>Raise Fee ("Promote") - $</t>
  </si>
  <si>
    <t>Gross Investable Amount - $</t>
  </si>
  <si>
    <t>Management Fee &amp; Expenses - $</t>
  </si>
  <si>
    <t>Cash Reserves - $</t>
  </si>
  <si>
    <t>Net Invested Amount - $</t>
  </si>
  <si>
    <t>Splittable Return after Pref - $</t>
  </si>
  <si>
    <t>Investor Total Return - $</t>
  </si>
  <si>
    <t>Investor Total Return - %</t>
  </si>
  <si>
    <t>Sponsor Total Gross Revenue - $</t>
  </si>
  <si>
    <t>Sponsor Total Gross Revenue without "promote" - $</t>
  </si>
  <si>
    <t>Total Return - %</t>
  </si>
  <si>
    <t>Total Return - $</t>
  </si>
  <si>
    <t>Gross Return on Investment - %</t>
  </si>
  <si>
    <t>Preferred Return to Investors - %</t>
  </si>
  <si>
    <t>Preferred Return to Investors - $</t>
  </si>
  <si>
    <t>EXAMPLE SYNDICATION SIMPLE CASH FLOW BUSINESS MODEL - FOR ILLUSTRATIVE AND EDUCATIONAL PURPOSES ONLY</t>
  </si>
  <si>
    <t>VARIABLES</t>
  </si>
  <si>
    <t>Manage activities to drive key metrics</t>
  </si>
  <si>
    <r>
      <t xml:space="preserve">Instructions
</t>
    </r>
    <r>
      <rPr>
        <sz val="11"/>
        <color theme="1"/>
        <rFont val="Calibri"/>
        <family val="2"/>
        <scheme val="minor"/>
      </rPr>
      <t>Green shaded cells are for inputs.
Unshaded cells contain formulas to calculate outputs.</t>
    </r>
    <r>
      <rPr>
        <u/>
        <sz val="11"/>
        <color theme="1"/>
        <rFont val="Calibri"/>
        <family val="2"/>
        <scheme val="minor"/>
      </rPr>
      <t xml:space="preserve">
</t>
    </r>
  </si>
  <si>
    <t>Grow managed capital at faster RATE than expenses</t>
  </si>
  <si>
    <t>New investors added per month</t>
  </si>
  <si>
    <t>New investors added per year</t>
  </si>
  <si>
    <t>Sponsor new capital gross revenue %</t>
  </si>
  <si>
    <t>Sponsor managed capital gross revenue %</t>
  </si>
  <si>
    <t>New capital added</t>
  </si>
  <si>
    <t>Managed capital expense ratio - %</t>
  </si>
  <si>
    <t>Sponsor managed capital expenses - $</t>
  </si>
  <si>
    <r>
      <rPr>
        <u/>
        <sz val="11"/>
        <color theme="1"/>
        <rFont val="Calibri"/>
        <family val="2"/>
        <scheme val="minor"/>
      </rPr>
      <t xml:space="preserve">Instructions
</t>
    </r>
    <r>
      <rPr>
        <sz val="11"/>
        <color theme="1"/>
        <rFont val="Calibri"/>
        <family val="2"/>
        <scheme val="minor"/>
      </rPr>
      <t>Enter variable inputs into green shaded cells.  Unshaded cells contain formulas to produce outputs.
Change variables to see how your business decisions and activities affect the trajectory of your syndication business.
Start with your best assumptions, then test those assumptions in the real world.  As your real world activities provide quantitative feedback on the variables, enter the real word data to see how current realities affect future projetions.</t>
    </r>
  </si>
  <si>
    <t>Investor Profit Split - %</t>
  </si>
  <si>
    <t>Investor Profit Split - $</t>
  </si>
  <si>
    <t>Sponsor Profit Split - %</t>
  </si>
  <si>
    <t>Sponsor Profit Split - $</t>
  </si>
  <si>
    <t>Management Fee &amp; Expenses - % of Total Raise</t>
  </si>
  <si>
    <t>Raise Fee ("Promote") - % of Total Raise</t>
  </si>
  <si>
    <t>Cash Reserves - % of Gross Investable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</si>
</sst>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color theme="0"/>
      <name val="Calibri"/>
      <family val="2"/>
      <scheme val="minor"/>
    </font>
    <font>
      <b/>
      <sz val="11"/>
      <color theme="0" tint="-4.9989318521683403E-2"/>
      <name val="Calibri"/>
      <family val="2"/>
      <scheme val="minor"/>
    </font>
    <font>
      <u/>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3"/>
        <bgColor indexed="64"/>
      </patternFill>
    </fill>
    <fill>
      <patternFill patternType="solid">
        <fgColor theme="7"/>
        <bgColor indexed="64"/>
      </patternFill>
    </fill>
    <fill>
      <patternFill patternType="solid">
        <fgColor rgb="FF002060"/>
        <bgColor indexed="64"/>
      </patternFill>
    </fill>
    <fill>
      <patternFill patternType="solid">
        <fgColor theme="9" tint="0.59999389629810485"/>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style="hair">
        <color auto="1"/>
      </top>
      <bottom style="thin">
        <color auto="1"/>
      </bottom>
      <diagonal/>
    </border>
    <border>
      <left/>
      <right/>
      <top style="hair">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thin">
        <color rgb="FF002060"/>
      </left>
      <right style="hair">
        <color indexed="64"/>
      </right>
      <top style="thin">
        <color rgb="FF002060"/>
      </top>
      <bottom style="hair">
        <color indexed="64"/>
      </bottom>
      <diagonal/>
    </border>
    <border>
      <left style="hair">
        <color indexed="64"/>
      </left>
      <right style="hair">
        <color indexed="64"/>
      </right>
      <top style="thin">
        <color rgb="FF002060"/>
      </top>
      <bottom style="hair">
        <color indexed="64"/>
      </bottom>
      <diagonal/>
    </border>
    <border>
      <left style="hair">
        <color indexed="64"/>
      </left>
      <right style="thin">
        <color rgb="FF002060"/>
      </right>
      <top style="thin">
        <color rgb="FF002060"/>
      </top>
      <bottom style="hair">
        <color indexed="64"/>
      </bottom>
      <diagonal/>
    </border>
    <border>
      <left style="thin">
        <color rgb="FF002060"/>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rgb="FF002060"/>
      </right>
      <top style="hair">
        <color indexed="64"/>
      </top>
      <bottom style="hair">
        <color indexed="64"/>
      </bottom>
      <diagonal/>
    </border>
    <border>
      <left style="thin">
        <color rgb="FF002060"/>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rgb="FF002060"/>
      </right>
      <top style="hair">
        <color indexed="64"/>
      </top>
      <bottom style="thin">
        <color indexed="64"/>
      </bottom>
      <diagonal/>
    </border>
    <border>
      <left style="thin">
        <color rgb="FF002060"/>
      </left>
      <right/>
      <top style="thin">
        <color indexed="64"/>
      </top>
      <bottom style="hair">
        <color indexed="64"/>
      </bottom>
      <diagonal/>
    </border>
    <border>
      <left/>
      <right style="thin">
        <color rgb="FF002060"/>
      </right>
      <top style="thin">
        <color indexed="64"/>
      </top>
      <bottom style="hair">
        <color indexed="64"/>
      </bottom>
      <diagonal/>
    </border>
    <border>
      <left style="thin">
        <color rgb="FF002060"/>
      </left>
      <right/>
      <top style="hair">
        <color indexed="64"/>
      </top>
      <bottom style="hair">
        <color indexed="64"/>
      </bottom>
      <diagonal/>
    </border>
    <border>
      <left/>
      <right style="thin">
        <color rgb="FF002060"/>
      </right>
      <top style="hair">
        <color indexed="64"/>
      </top>
      <bottom style="hair">
        <color indexed="64"/>
      </bottom>
      <diagonal/>
    </border>
    <border>
      <left style="thin">
        <color rgb="FF002060"/>
      </left>
      <right/>
      <top style="hair">
        <color indexed="64"/>
      </top>
      <bottom style="thin">
        <color indexed="64"/>
      </bottom>
      <diagonal/>
    </border>
    <border>
      <left/>
      <right style="thin">
        <color rgb="FF002060"/>
      </right>
      <top style="hair">
        <color indexed="64"/>
      </top>
      <bottom style="thin">
        <color indexed="64"/>
      </bottom>
      <diagonal/>
    </border>
    <border>
      <left style="hair">
        <color auto="1"/>
      </left>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96">
    <xf numFmtId="0" fontId="0" fillId="0" borderId="0" xfId="0"/>
    <xf numFmtId="0" fontId="0" fillId="2" borderId="0" xfId="0" applyFill="1"/>
    <xf numFmtId="0" fontId="0" fillId="0" borderId="0" xfId="0" applyFill="1"/>
    <xf numFmtId="0" fontId="0" fillId="0" borderId="0" xfId="0" applyAlignment="1">
      <alignment horizontal="left" indent="1"/>
    </xf>
    <xf numFmtId="0" fontId="2" fillId="0" borderId="0" xfId="0" applyFont="1"/>
    <xf numFmtId="0" fontId="2" fillId="0" borderId="0" xfId="0" applyFont="1" applyAlignment="1">
      <alignment horizontal="left" indent="1"/>
    </xf>
    <xf numFmtId="164" fontId="2" fillId="0" borderId="0" xfId="0" applyNumberFormat="1" applyFont="1"/>
    <xf numFmtId="0" fontId="2" fillId="0" borderId="2" xfId="0" applyFont="1" applyBorder="1"/>
    <xf numFmtId="0" fontId="0" fillId="0" borderId="2" xfId="0" applyBorder="1"/>
    <xf numFmtId="0" fontId="0" fillId="4" borderId="0" xfId="0" applyFill="1"/>
    <xf numFmtId="0" fontId="2" fillId="4" borderId="0" xfId="0" applyFont="1" applyFill="1"/>
    <xf numFmtId="0" fontId="0" fillId="4" borderId="2" xfId="0" applyFill="1" applyBorder="1"/>
    <xf numFmtId="0" fontId="2" fillId="4" borderId="2" xfId="0" applyFont="1" applyFill="1" applyBorder="1"/>
    <xf numFmtId="0" fontId="5" fillId="4" borderId="0" xfId="0" applyFont="1" applyFill="1"/>
    <xf numFmtId="0" fontId="5" fillId="0" borderId="0" xfId="0" applyFont="1"/>
    <xf numFmtId="0" fontId="0" fillId="0" borderId="5" xfId="0" applyBorder="1"/>
    <xf numFmtId="0" fontId="0" fillId="0" borderId="5" xfId="0" applyBorder="1" applyAlignment="1">
      <alignment horizontal="left" indent="1"/>
    </xf>
    <xf numFmtId="10" fontId="0" fillId="0" borderId="5" xfId="0" applyNumberFormat="1" applyBorder="1" applyAlignment="1">
      <alignment horizontal="left" indent="1"/>
    </xf>
    <xf numFmtId="0" fontId="0" fillId="0" borderId="5" xfId="0" applyFill="1" applyBorder="1" applyAlignment="1">
      <alignment horizontal="left" indent="1"/>
    </xf>
    <xf numFmtId="0" fontId="0" fillId="0" borderId="4" xfId="0" applyBorder="1" applyAlignment="1">
      <alignment horizontal="left" indent="1"/>
    </xf>
    <xf numFmtId="0" fontId="0" fillId="0" borderId="4" xfId="0" applyBorder="1"/>
    <xf numFmtId="0" fontId="0" fillId="6" borderId="5" xfId="0" applyFill="1" applyBorder="1"/>
    <xf numFmtId="0" fontId="0" fillId="6" borderId="4" xfId="0" applyFill="1" applyBorder="1"/>
    <xf numFmtId="0" fontId="2" fillId="0" borderId="6" xfId="0" applyFont="1" applyBorder="1"/>
    <xf numFmtId="0" fontId="0" fillId="0" borderId="6" xfId="0" applyBorder="1"/>
    <xf numFmtId="0" fontId="7" fillId="0" borderId="6" xfId="4" applyBorder="1" applyAlignment="1">
      <alignment horizontal="center"/>
    </xf>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0" fontId="3" fillId="6" borderId="10" xfId="0" applyFont="1" applyFill="1" applyBorder="1"/>
    <xf numFmtId="0" fontId="4" fillId="4" borderId="0" xfId="0" applyFont="1" applyFill="1" applyAlignment="1">
      <alignment horizontal="right"/>
    </xf>
    <xf numFmtId="0" fontId="4" fillId="4" borderId="0" xfId="0" applyFont="1" applyFill="1" applyAlignment="1">
      <alignment horizontal="center"/>
    </xf>
    <xf numFmtId="0" fontId="0" fillId="0" borderId="13" xfId="0" applyBorder="1" applyAlignment="1">
      <alignment horizontal="left" indent="1"/>
    </xf>
    <xf numFmtId="166" fontId="0" fillId="0" borderId="14" xfId="1" applyNumberFormat="1" applyFont="1" applyBorder="1"/>
    <xf numFmtId="166" fontId="0" fillId="0" borderId="15" xfId="1" applyNumberFormat="1" applyFont="1" applyBorder="1"/>
    <xf numFmtId="0" fontId="0" fillId="0" borderId="16" xfId="0" applyBorder="1" applyAlignment="1">
      <alignment horizontal="left" indent="1"/>
    </xf>
    <xf numFmtId="0" fontId="0" fillId="0" borderId="17" xfId="0" applyBorder="1"/>
    <xf numFmtId="164" fontId="0" fillId="0" borderId="17" xfId="0" applyNumberFormat="1" applyBorder="1"/>
    <xf numFmtId="164" fontId="0" fillId="0" borderId="18" xfId="0" applyNumberFormat="1" applyBorder="1"/>
    <xf numFmtId="0" fontId="0" fillId="0" borderId="18" xfId="0" applyBorder="1"/>
    <xf numFmtId="164" fontId="0" fillId="0" borderId="17" xfId="2" applyNumberFormat="1" applyFont="1" applyBorder="1"/>
    <xf numFmtId="164" fontId="0" fillId="0" borderId="18" xfId="2" applyNumberFormat="1" applyFont="1" applyBorder="1"/>
    <xf numFmtId="0" fontId="0" fillId="0" borderId="19" xfId="0" applyBorder="1" applyAlignment="1">
      <alignment horizontal="left" indent="1"/>
    </xf>
    <xf numFmtId="164" fontId="0" fillId="0" borderId="20" xfId="2" applyNumberFormat="1" applyFont="1" applyBorder="1"/>
    <xf numFmtId="164" fontId="0" fillId="0" borderId="21" xfId="2" applyNumberFormat="1" applyFont="1" applyBorder="1"/>
    <xf numFmtId="0" fontId="2" fillId="0" borderId="22" xfId="0" applyFont="1" applyBorder="1" applyAlignment="1">
      <alignment horizontal="left" indent="1"/>
    </xf>
    <xf numFmtId="164" fontId="2" fillId="0" borderId="6" xfId="0" applyNumberFormat="1" applyFont="1" applyBorder="1"/>
    <xf numFmtId="164" fontId="2" fillId="0" borderId="23" xfId="0" applyNumberFormat="1" applyFont="1" applyBorder="1"/>
    <xf numFmtId="0" fontId="0" fillId="0" borderId="24" xfId="0" applyBorder="1" applyAlignment="1">
      <alignment horizontal="left" indent="1"/>
    </xf>
    <xf numFmtId="164" fontId="0" fillId="0" borderId="5" xfId="2" applyNumberFormat="1" applyFont="1" applyBorder="1"/>
    <xf numFmtId="164" fontId="0" fillId="0" borderId="25" xfId="2" applyNumberFormat="1" applyFont="1" applyBorder="1"/>
    <xf numFmtId="10" fontId="0" fillId="0" borderId="5" xfId="3" applyNumberFormat="1" applyFont="1" applyBorder="1"/>
    <xf numFmtId="10" fontId="0" fillId="0" borderId="25" xfId="3" applyNumberFormat="1" applyFont="1" applyBorder="1"/>
    <xf numFmtId="0" fontId="2" fillId="0" borderId="26" xfId="0" applyFont="1" applyBorder="1" applyAlignment="1">
      <alignment horizontal="left" indent="1"/>
    </xf>
    <xf numFmtId="164" fontId="2" fillId="0" borderId="4" xfId="2" applyNumberFormat="1" applyFont="1" applyBorder="1"/>
    <xf numFmtId="164" fontId="2" fillId="0" borderId="27" xfId="2" applyNumberFormat="1" applyFont="1" applyBorder="1"/>
    <xf numFmtId="166" fontId="0" fillId="0" borderId="14" xfId="1" applyNumberFormat="1" applyFont="1" applyFill="1" applyBorder="1"/>
    <xf numFmtId="164" fontId="0" fillId="0" borderId="17" xfId="2" applyNumberFormat="1" applyFont="1" applyFill="1" applyBorder="1"/>
    <xf numFmtId="0" fontId="0" fillId="6" borderId="11" xfId="0" applyFont="1" applyFill="1" applyBorder="1" applyAlignment="1">
      <alignment horizontal="left" indent="1"/>
    </xf>
    <xf numFmtId="0" fontId="0" fillId="6" borderId="11" xfId="0" applyFont="1" applyFill="1" applyBorder="1"/>
    <xf numFmtId="0" fontId="0" fillId="6" borderId="12" xfId="0" applyFont="1" applyFill="1" applyBorder="1" applyAlignment="1">
      <alignment horizontal="left" indent="1"/>
    </xf>
    <xf numFmtId="164" fontId="2" fillId="0" borderId="10" xfId="0" applyNumberFormat="1" applyFont="1" applyBorder="1"/>
    <xf numFmtId="164" fontId="0" fillId="0" borderId="11" xfId="2" applyNumberFormat="1" applyFont="1" applyBorder="1"/>
    <xf numFmtId="167" fontId="0" fillId="0" borderId="11" xfId="2" applyNumberFormat="1" applyFont="1" applyBorder="1"/>
    <xf numFmtId="164" fontId="2" fillId="0" borderId="12" xfId="2" applyNumberFormat="1" applyFont="1" applyBorder="1"/>
    <xf numFmtId="164" fontId="2" fillId="0" borderId="28" xfId="0" applyNumberFormat="1" applyFont="1" applyBorder="1"/>
    <xf numFmtId="0" fontId="0" fillId="0" borderId="3" xfId="0" applyBorder="1" applyAlignment="1">
      <alignment horizontal="left" vertical="top" wrapText="1" indent="1"/>
    </xf>
    <xf numFmtId="0" fontId="0" fillId="0" borderId="0" xfId="0" applyAlignment="1">
      <alignment horizontal="left" vertical="top" indent="1"/>
    </xf>
    <xf numFmtId="0" fontId="0" fillId="0" borderId="3" xfId="0" applyBorder="1" applyAlignment="1">
      <alignment horizontal="left" vertical="top" indent="1"/>
    </xf>
    <xf numFmtId="0" fontId="0" fillId="5" borderId="1" xfId="0" applyFont="1" applyFill="1" applyBorder="1" applyAlignment="1" applyProtection="1">
      <alignment horizontal="center"/>
      <protection locked="0"/>
    </xf>
    <xf numFmtId="164" fontId="0" fillId="5" borderId="1" xfId="2" applyNumberFormat="1" applyFont="1" applyFill="1" applyBorder="1" applyProtection="1">
      <protection locked="0"/>
    </xf>
    <xf numFmtId="10" fontId="0" fillId="5" borderId="1" xfId="0" applyNumberFormat="1" applyFont="1" applyFill="1" applyBorder="1" applyProtection="1">
      <protection locked="0"/>
    </xf>
    <xf numFmtId="9" fontId="0" fillId="5" borderId="1" xfId="0" applyNumberFormat="1" applyFont="1" applyFill="1" applyBorder="1" applyProtection="1">
      <protection locked="0"/>
    </xf>
    <xf numFmtId="0" fontId="5" fillId="4" borderId="0" xfId="0" applyFont="1" applyFill="1" applyAlignment="1" applyProtection="1">
      <alignment horizontal="center"/>
      <protection hidden="1"/>
    </xf>
    <xf numFmtId="0" fontId="0" fillId="4" borderId="0" xfId="0" applyFill="1" applyProtection="1">
      <protection hidden="1"/>
    </xf>
    <xf numFmtId="0" fontId="0" fillId="0" borderId="1" xfId="0" applyFont="1" applyBorder="1" applyAlignment="1" applyProtection="1">
      <alignment horizontal="left" indent="1"/>
      <protection hidden="1"/>
    </xf>
    <xf numFmtId="0" fontId="6" fillId="0" borderId="3" xfId="0" applyFont="1" applyFill="1" applyBorder="1" applyAlignment="1" applyProtection="1">
      <alignment horizontal="left" vertical="top" wrapText="1" indent="1"/>
      <protection hidden="1"/>
    </xf>
    <xf numFmtId="0" fontId="0" fillId="0" borderId="0" xfId="0" applyFill="1" applyAlignment="1" applyProtection="1">
      <alignment horizontal="left" vertical="top" indent="1"/>
      <protection hidden="1"/>
    </xf>
    <xf numFmtId="0" fontId="0" fillId="0" borderId="3" xfId="0" applyFill="1" applyBorder="1" applyAlignment="1" applyProtection="1">
      <alignment horizontal="left" vertical="top" indent="1"/>
      <protection hidden="1"/>
    </xf>
    <xf numFmtId="0" fontId="0" fillId="3" borderId="1" xfId="0" applyFont="1" applyFill="1" applyBorder="1" applyAlignment="1" applyProtection="1">
      <alignment horizontal="left" indent="1"/>
      <protection hidden="1"/>
    </xf>
    <xf numFmtId="0" fontId="0" fillId="3" borderId="1" xfId="0" applyFont="1" applyFill="1" applyBorder="1" applyProtection="1">
      <protection hidden="1"/>
    </xf>
    <xf numFmtId="0" fontId="0" fillId="0" borderId="3" xfId="0" applyFill="1" applyBorder="1" applyAlignment="1" applyProtection="1">
      <alignment horizontal="left"/>
      <protection hidden="1"/>
    </xf>
    <xf numFmtId="0" fontId="0" fillId="0" borderId="0" xfId="0" applyFill="1" applyAlignment="1" applyProtection="1">
      <alignment horizontal="left"/>
      <protection hidden="1"/>
    </xf>
    <xf numFmtId="0" fontId="0" fillId="0" borderId="0" xfId="0" applyFill="1" applyProtection="1">
      <protection hidden="1"/>
    </xf>
    <xf numFmtId="0" fontId="0" fillId="4" borderId="0" xfId="0" applyFill="1" applyAlignment="1" applyProtection="1">
      <alignment horizontal="left" indent="1"/>
      <protection hidden="1"/>
    </xf>
    <xf numFmtId="164" fontId="0" fillId="0" borderId="1" xfId="2" applyNumberFormat="1" applyFont="1" applyFill="1" applyBorder="1" applyProtection="1"/>
    <xf numFmtId="164" fontId="0" fillId="0" borderId="1" xfId="0" applyNumberFormat="1" applyFont="1" applyFill="1" applyBorder="1" applyProtection="1"/>
    <xf numFmtId="10" fontId="0" fillId="0" borderId="1" xfId="3" applyNumberFormat="1" applyFont="1" applyFill="1" applyBorder="1" applyProtection="1"/>
    <xf numFmtId="9" fontId="0" fillId="0" borderId="1" xfId="3" applyFont="1" applyFill="1" applyBorder="1" applyProtection="1"/>
    <xf numFmtId="10" fontId="1" fillId="0" borderId="1" xfId="3" applyNumberFormat="1" applyFont="1" applyFill="1" applyBorder="1" applyProtection="1"/>
    <xf numFmtId="164" fontId="0" fillId="5" borderId="11" xfId="2" applyNumberFormat="1" applyFont="1" applyFill="1" applyBorder="1" applyAlignment="1" applyProtection="1">
      <alignment horizontal="left"/>
      <protection locked="0"/>
    </xf>
    <xf numFmtId="0" fontId="0" fillId="5" borderId="11" xfId="0" applyFill="1" applyBorder="1" applyProtection="1">
      <protection locked="0"/>
    </xf>
    <xf numFmtId="165" fontId="0" fillId="5" borderId="11" xfId="3" applyNumberFormat="1" applyFont="1" applyFill="1" applyBorder="1" applyProtection="1">
      <protection locked="0"/>
    </xf>
    <xf numFmtId="10" fontId="0" fillId="5" borderId="11" xfId="3" applyNumberFormat="1" applyFont="1" applyFill="1" applyBorder="1" applyProtection="1">
      <protection locked="0"/>
    </xf>
    <xf numFmtId="165" fontId="0" fillId="5" borderId="12" xfId="3" applyNumberFormat="1" applyFont="1" applyFill="1" applyBorder="1" applyProtection="1">
      <protection locked="0"/>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40"/>
  <sheetViews>
    <sheetView tabSelected="1" zoomScaleNormal="100" workbookViewId="0">
      <selection activeCell="B4" sqref="B4"/>
    </sheetView>
  </sheetViews>
  <sheetFormatPr defaultRowHeight="14.25" x14ac:dyDescent="0.45"/>
  <cols>
    <col min="1" max="1" width="2.86328125" customWidth="1"/>
    <col min="2" max="2" width="61.59765625" style="3" bestFit="1" customWidth="1"/>
    <col min="3" max="3" width="17.59765625" customWidth="1"/>
    <col min="4" max="4" width="8.265625" style="2" bestFit="1" customWidth="1"/>
    <col min="5" max="5" width="9" style="2"/>
    <col min="6" max="6" width="4" style="2" customWidth="1"/>
    <col min="7" max="7" width="2.86328125" style="2" customWidth="1"/>
    <col min="8" max="253" width="9" style="2"/>
  </cols>
  <sheetData>
    <row r="1" spans="1:253" x14ac:dyDescent="0.45">
      <c r="A1" s="74" t="s">
        <v>34</v>
      </c>
      <c r="B1" s="74"/>
      <c r="C1" s="74"/>
      <c r="D1" s="74"/>
      <c r="E1" s="74"/>
      <c r="F1" s="74"/>
      <c r="G1" s="74"/>
    </row>
    <row r="2" spans="1:253" x14ac:dyDescent="0.45">
      <c r="A2" s="75"/>
      <c r="B2" s="76" t="s">
        <v>10</v>
      </c>
      <c r="C2" s="70">
        <v>30</v>
      </c>
      <c r="D2" s="77" t="s">
        <v>53</v>
      </c>
      <c r="E2" s="78"/>
      <c r="F2" s="78"/>
      <c r="G2" s="75"/>
    </row>
    <row r="3" spans="1:253" x14ac:dyDescent="0.45">
      <c r="A3" s="75"/>
      <c r="B3" s="76" t="s">
        <v>11</v>
      </c>
      <c r="C3" s="71">
        <v>100000</v>
      </c>
      <c r="D3" s="79"/>
      <c r="E3" s="78"/>
      <c r="F3" s="78"/>
      <c r="G3" s="75"/>
    </row>
    <row r="4" spans="1:253" x14ac:dyDescent="0.45">
      <c r="A4" s="75"/>
      <c r="B4" s="76" t="s">
        <v>12</v>
      </c>
      <c r="C4" s="86">
        <f>C2*C3</f>
        <v>3000000</v>
      </c>
      <c r="D4" s="79"/>
      <c r="E4" s="78"/>
      <c r="F4" s="78"/>
      <c r="G4" s="75"/>
    </row>
    <row r="5" spans="1:253" s="1" customFormat="1" ht="5.0999999999999996" customHeight="1" x14ac:dyDescent="0.45">
      <c r="A5" s="75"/>
      <c r="B5" s="80"/>
      <c r="C5" s="81"/>
      <c r="D5" s="79"/>
      <c r="E5" s="78"/>
      <c r="F5" s="78"/>
      <c r="G5" s="75"/>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row>
    <row r="6" spans="1:253" x14ac:dyDescent="0.45">
      <c r="A6" s="75"/>
      <c r="B6" s="76" t="s">
        <v>68</v>
      </c>
      <c r="C6" s="72">
        <v>0.03</v>
      </c>
      <c r="D6" s="79"/>
      <c r="E6" s="78"/>
      <c r="F6" s="78"/>
      <c r="G6" s="75"/>
    </row>
    <row r="7" spans="1:253" x14ac:dyDescent="0.45">
      <c r="A7" s="75"/>
      <c r="B7" s="76" t="s">
        <v>35</v>
      </c>
      <c r="C7" s="87">
        <f>C4*C6</f>
        <v>90000</v>
      </c>
      <c r="D7" s="79"/>
      <c r="E7" s="78"/>
      <c r="F7" s="78"/>
      <c r="G7" s="75"/>
    </row>
    <row r="8" spans="1:253" s="1" customFormat="1" ht="5.0999999999999996" customHeight="1" x14ac:dyDescent="0.45">
      <c r="A8" s="75"/>
      <c r="B8" s="80"/>
      <c r="C8" s="81"/>
      <c r="D8" s="79"/>
      <c r="E8" s="78"/>
      <c r="F8" s="78"/>
      <c r="G8" s="75"/>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row>
    <row r="9" spans="1:253" x14ac:dyDescent="0.45">
      <c r="A9" s="75"/>
      <c r="B9" s="76" t="s">
        <v>36</v>
      </c>
      <c r="C9" s="87">
        <f>C4-C7</f>
        <v>2910000</v>
      </c>
      <c r="D9" s="79"/>
      <c r="E9" s="78"/>
      <c r="F9" s="78"/>
      <c r="G9" s="75"/>
    </row>
    <row r="10" spans="1:253" s="1" customFormat="1" ht="5.0999999999999996" customHeight="1" x14ac:dyDescent="0.45">
      <c r="A10" s="75"/>
      <c r="B10" s="80"/>
      <c r="C10" s="81"/>
      <c r="D10" s="79"/>
      <c r="E10" s="78"/>
      <c r="F10" s="78"/>
      <c r="G10" s="75"/>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row>
    <row r="11" spans="1:253" x14ac:dyDescent="0.45">
      <c r="A11" s="75"/>
      <c r="B11" s="76" t="s">
        <v>67</v>
      </c>
      <c r="C11" s="72">
        <v>0.02</v>
      </c>
      <c r="D11" s="79"/>
      <c r="E11" s="78"/>
      <c r="F11" s="78"/>
      <c r="G11" s="75"/>
    </row>
    <row r="12" spans="1:253" x14ac:dyDescent="0.45">
      <c r="A12" s="75"/>
      <c r="B12" s="76" t="s">
        <v>37</v>
      </c>
      <c r="C12" s="87">
        <f>C4*C11</f>
        <v>60000</v>
      </c>
      <c r="D12" s="79"/>
      <c r="E12" s="78"/>
      <c r="F12" s="78"/>
      <c r="G12" s="75"/>
    </row>
    <row r="13" spans="1:253" s="1" customFormat="1" ht="5.0999999999999996" customHeight="1" x14ac:dyDescent="0.45">
      <c r="A13" s="75"/>
      <c r="B13" s="80"/>
      <c r="C13" s="81"/>
      <c r="D13" s="79"/>
      <c r="E13" s="78"/>
      <c r="F13" s="78"/>
      <c r="G13" s="75"/>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row>
    <row r="14" spans="1:253" x14ac:dyDescent="0.45">
      <c r="A14" s="75"/>
      <c r="B14" s="76" t="s">
        <v>69</v>
      </c>
      <c r="C14" s="72">
        <v>0.05</v>
      </c>
      <c r="D14" s="79"/>
      <c r="E14" s="78"/>
      <c r="F14" s="78"/>
      <c r="G14" s="75"/>
    </row>
    <row r="15" spans="1:253" x14ac:dyDescent="0.45">
      <c r="A15" s="75"/>
      <c r="B15" s="76" t="s">
        <v>38</v>
      </c>
      <c r="C15" s="87">
        <f>C9*C14</f>
        <v>145500</v>
      </c>
      <c r="D15" s="79"/>
      <c r="E15" s="78"/>
      <c r="F15" s="78"/>
      <c r="G15" s="75"/>
    </row>
    <row r="16" spans="1:253" s="1" customFormat="1" ht="5.0999999999999996" customHeight="1" x14ac:dyDescent="0.45">
      <c r="A16" s="75"/>
      <c r="B16" s="80"/>
      <c r="C16" s="81"/>
      <c r="D16" s="79"/>
      <c r="E16" s="78"/>
      <c r="F16" s="78"/>
      <c r="G16" s="75"/>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row>
    <row r="17" spans="1:253" x14ac:dyDescent="0.45">
      <c r="A17" s="75"/>
      <c r="B17" s="76" t="s">
        <v>39</v>
      </c>
      <c r="C17" s="87">
        <f>C4-C7-C12-C15</f>
        <v>2704500</v>
      </c>
      <c r="D17" s="79"/>
      <c r="E17" s="78"/>
      <c r="F17" s="78"/>
      <c r="G17" s="75"/>
    </row>
    <row r="18" spans="1:253" s="1" customFormat="1" ht="5.0999999999999996" customHeight="1" x14ac:dyDescent="0.45">
      <c r="A18" s="75"/>
      <c r="B18" s="80"/>
      <c r="C18" s="81"/>
      <c r="D18" s="79"/>
      <c r="E18" s="78"/>
      <c r="F18" s="78"/>
      <c r="G18" s="75"/>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row>
    <row r="19" spans="1:253" x14ac:dyDescent="0.45">
      <c r="A19" s="75"/>
      <c r="B19" s="76" t="s">
        <v>45</v>
      </c>
      <c r="C19" s="72">
        <v>0.12</v>
      </c>
      <c r="D19" s="79"/>
      <c r="E19" s="78"/>
      <c r="F19" s="78"/>
      <c r="G19" s="75"/>
    </row>
    <row r="20" spans="1:253" x14ac:dyDescent="0.45">
      <c r="A20" s="75"/>
      <c r="B20" s="76" t="s">
        <v>46</v>
      </c>
      <c r="C20" s="87">
        <f>C17*C19</f>
        <v>324540</v>
      </c>
      <c r="D20" s="79"/>
      <c r="E20" s="78"/>
      <c r="F20" s="78"/>
      <c r="G20" s="75"/>
    </row>
    <row r="21" spans="1:253" s="1" customFormat="1" ht="5.0999999999999996" customHeight="1" x14ac:dyDescent="0.45">
      <c r="A21" s="75"/>
      <c r="B21" s="80"/>
      <c r="C21" s="81"/>
      <c r="D21" s="79"/>
      <c r="E21" s="78"/>
      <c r="F21" s="78"/>
      <c r="G21" s="75"/>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row>
    <row r="22" spans="1:253" x14ac:dyDescent="0.45">
      <c r="A22" s="75"/>
      <c r="B22" s="76" t="s">
        <v>47</v>
      </c>
      <c r="C22" s="88">
        <f>C20/C4</f>
        <v>0.10818</v>
      </c>
      <c r="D22" s="79"/>
      <c r="E22" s="78"/>
      <c r="F22" s="78"/>
      <c r="G22" s="75"/>
    </row>
    <row r="23" spans="1:253" s="1" customFormat="1" ht="5.0999999999999996" customHeight="1" x14ac:dyDescent="0.45">
      <c r="A23" s="75"/>
      <c r="B23" s="80"/>
      <c r="C23" s="81"/>
      <c r="D23" s="79"/>
      <c r="E23" s="78"/>
      <c r="F23" s="78"/>
      <c r="G23" s="75"/>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row>
    <row r="24" spans="1:253" x14ac:dyDescent="0.45">
      <c r="A24" s="75"/>
      <c r="B24" s="76" t="s">
        <v>48</v>
      </c>
      <c r="C24" s="73">
        <v>0.08</v>
      </c>
      <c r="D24" s="79"/>
      <c r="E24" s="78"/>
      <c r="F24" s="78"/>
      <c r="G24" s="75"/>
    </row>
    <row r="25" spans="1:253" x14ac:dyDescent="0.45">
      <c r="A25" s="75"/>
      <c r="B25" s="76" t="s">
        <v>49</v>
      </c>
      <c r="C25" s="87">
        <f>C4*C24</f>
        <v>240000</v>
      </c>
      <c r="D25" s="79"/>
      <c r="E25" s="78"/>
      <c r="F25" s="78"/>
      <c r="G25" s="75"/>
    </row>
    <row r="26" spans="1:253" s="1" customFormat="1" ht="5.0999999999999996" customHeight="1" x14ac:dyDescent="0.45">
      <c r="A26" s="75"/>
      <c r="B26" s="80"/>
      <c r="C26" s="81"/>
      <c r="D26" s="79"/>
      <c r="E26" s="78"/>
      <c r="F26" s="78"/>
      <c r="G26" s="75"/>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row>
    <row r="27" spans="1:253" x14ac:dyDescent="0.45">
      <c r="A27" s="75"/>
      <c r="B27" s="76" t="s">
        <v>40</v>
      </c>
      <c r="C27" s="87">
        <f>C20-C25</f>
        <v>84540</v>
      </c>
      <c r="D27" s="79"/>
      <c r="E27" s="78"/>
      <c r="F27" s="78"/>
      <c r="G27" s="75"/>
    </row>
    <row r="28" spans="1:253" s="1" customFormat="1" ht="5.0999999999999996" customHeight="1" x14ac:dyDescent="0.45">
      <c r="A28" s="75"/>
      <c r="B28" s="80"/>
      <c r="C28" s="81"/>
      <c r="D28" s="79"/>
      <c r="E28" s="78"/>
      <c r="F28" s="78"/>
      <c r="G28" s="75"/>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row>
    <row r="29" spans="1:253" x14ac:dyDescent="0.45">
      <c r="A29" s="75"/>
      <c r="B29" s="76" t="s">
        <v>63</v>
      </c>
      <c r="C29" s="73">
        <v>0.5</v>
      </c>
      <c r="D29" s="79"/>
      <c r="E29" s="78"/>
      <c r="F29" s="78"/>
      <c r="G29" s="75"/>
    </row>
    <row r="30" spans="1:253" x14ac:dyDescent="0.45">
      <c r="A30" s="75"/>
      <c r="B30" s="76" t="s">
        <v>64</v>
      </c>
      <c r="C30" s="87">
        <f>C27*C29</f>
        <v>42270</v>
      </c>
      <c r="D30" s="79"/>
      <c r="E30" s="78"/>
      <c r="F30" s="78"/>
      <c r="G30" s="75"/>
    </row>
    <row r="31" spans="1:253" ht="5.0999999999999996" customHeight="1" x14ac:dyDescent="0.45">
      <c r="A31" s="75"/>
      <c r="B31" s="80"/>
      <c r="C31" s="81"/>
      <c r="D31" s="79"/>
      <c r="E31" s="78"/>
      <c r="F31" s="78"/>
      <c r="G31" s="75"/>
    </row>
    <row r="32" spans="1:253" x14ac:dyDescent="0.45">
      <c r="A32" s="75"/>
      <c r="B32" s="76" t="s">
        <v>65</v>
      </c>
      <c r="C32" s="89">
        <f>1-C29</f>
        <v>0.5</v>
      </c>
      <c r="D32" s="79"/>
      <c r="E32" s="78"/>
      <c r="F32" s="78"/>
      <c r="G32" s="75"/>
    </row>
    <row r="33" spans="1:253" x14ac:dyDescent="0.45">
      <c r="A33" s="75"/>
      <c r="B33" s="76" t="s">
        <v>66</v>
      </c>
      <c r="C33" s="87">
        <f>C27*C32</f>
        <v>42270</v>
      </c>
      <c r="D33" s="79"/>
      <c r="E33" s="78"/>
      <c r="F33" s="78"/>
      <c r="G33" s="75"/>
    </row>
    <row r="34" spans="1:253" s="1" customFormat="1" ht="5.0999999999999996" customHeight="1" x14ac:dyDescent="0.45">
      <c r="A34" s="75"/>
      <c r="B34" s="80"/>
      <c r="C34" s="81"/>
      <c r="D34" s="79"/>
      <c r="E34" s="78"/>
      <c r="F34" s="78"/>
      <c r="G34" s="75"/>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row>
    <row r="35" spans="1:253" x14ac:dyDescent="0.45">
      <c r="A35" s="75"/>
      <c r="B35" s="76" t="s">
        <v>41</v>
      </c>
      <c r="C35" s="87">
        <f>C25+C30</f>
        <v>282270</v>
      </c>
      <c r="D35" s="79"/>
      <c r="E35" s="78"/>
      <c r="F35" s="78"/>
      <c r="G35" s="75"/>
    </row>
    <row r="36" spans="1:253" x14ac:dyDescent="0.45">
      <c r="A36" s="75"/>
      <c r="B36" s="76" t="s">
        <v>42</v>
      </c>
      <c r="C36" s="88">
        <f>C35/C4</f>
        <v>9.4089999999999993E-2</v>
      </c>
      <c r="D36" s="82" t="s">
        <v>33</v>
      </c>
      <c r="E36" s="83"/>
      <c r="F36" s="83"/>
      <c r="G36" s="75"/>
    </row>
    <row r="37" spans="1:253" s="1" customFormat="1" ht="5.0999999999999996" customHeight="1" x14ac:dyDescent="0.45">
      <c r="A37" s="75"/>
      <c r="B37" s="80"/>
      <c r="C37" s="81"/>
      <c r="D37" s="84"/>
      <c r="E37" s="84"/>
      <c r="F37" s="84"/>
      <c r="G37" s="75"/>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row>
    <row r="38" spans="1:253" x14ac:dyDescent="0.45">
      <c r="A38" s="75"/>
      <c r="B38" s="76" t="s">
        <v>43</v>
      </c>
      <c r="C38" s="87">
        <f>C7+C12+(C27-C30)</f>
        <v>192270</v>
      </c>
      <c r="D38" s="90">
        <f>C38/C4</f>
        <v>6.4089999999999994E-2</v>
      </c>
      <c r="E38" s="82" t="s">
        <v>32</v>
      </c>
      <c r="F38" s="83"/>
      <c r="G38" s="75"/>
    </row>
    <row r="39" spans="1:253" x14ac:dyDescent="0.45">
      <c r="A39" s="75"/>
      <c r="B39" s="76" t="s">
        <v>44</v>
      </c>
      <c r="C39" s="87">
        <f>C38-C7</f>
        <v>102270</v>
      </c>
      <c r="D39" s="90">
        <f>C39/C4</f>
        <v>3.4090000000000002E-2</v>
      </c>
      <c r="E39" s="82" t="s">
        <v>32</v>
      </c>
      <c r="F39" s="83"/>
      <c r="G39" s="75"/>
    </row>
    <row r="40" spans="1:253" ht="15" customHeight="1" x14ac:dyDescent="0.45">
      <c r="A40" s="75"/>
      <c r="B40" s="85"/>
      <c r="C40" s="75"/>
      <c r="D40" s="75"/>
      <c r="E40" s="75"/>
      <c r="F40" s="75"/>
      <c r="G40" s="75"/>
    </row>
  </sheetData>
  <sheetProtection algorithmName="SHA-512" hashValue="a7HG7c5T1MqoTlnBoJjntoKJhlB6YVYDvg7AGIAETe/+PCW8bPiU1a9iVu6K80MhuVxQKDL7d52Hn17pYrf+0A==" saltValue="i3G3Mqi/hf1sUD9wdiMTLA==" spinCount="100000" sheet="1" objects="1" scenarios="1"/>
  <mergeCells count="5">
    <mergeCell ref="A1:G1"/>
    <mergeCell ref="D2:F35"/>
    <mergeCell ref="E38:F38"/>
    <mergeCell ref="E39:F39"/>
    <mergeCell ref="D36:F36"/>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Normal="100" workbookViewId="0">
      <pane xSplit="3" ySplit="13" topLeftCell="F14" activePane="bottomRight" state="frozen"/>
      <selection pane="topRight" activeCell="C1" sqref="C1"/>
      <selection pane="bottomLeft" activeCell="A14" sqref="A14"/>
      <selection pane="bottomRight" activeCell="C3" sqref="C3:C12"/>
    </sheetView>
  </sheetViews>
  <sheetFormatPr defaultRowHeight="14.25" x14ac:dyDescent="0.45"/>
  <cols>
    <col min="1" max="1" width="3" customWidth="1"/>
    <col min="2" max="2" width="50.73046875" customWidth="1"/>
    <col min="3" max="12" width="16.73046875" customWidth="1"/>
    <col min="13" max="13" width="3" customWidth="1"/>
  </cols>
  <sheetData>
    <row r="1" spans="1:13" s="14" customFormat="1" x14ac:dyDescent="0.45">
      <c r="A1" s="13"/>
      <c r="B1" s="13" t="s">
        <v>50</v>
      </c>
      <c r="C1" s="13"/>
      <c r="D1" s="13"/>
      <c r="E1" s="13"/>
      <c r="F1" s="13"/>
      <c r="G1" s="13"/>
      <c r="H1" s="13"/>
      <c r="I1" s="13"/>
      <c r="J1" s="13"/>
      <c r="K1" s="13"/>
      <c r="L1" s="13"/>
      <c r="M1" s="13"/>
    </row>
    <row r="2" spans="1:13" x14ac:dyDescent="0.45">
      <c r="A2" s="9"/>
      <c r="B2" s="23" t="s">
        <v>51</v>
      </c>
      <c r="C2" s="24"/>
      <c r="D2" s="25" t="s">
        <v>30</v>
      </c>
      <c r="E2" s="30" t="s">
        <v>52</v>
      </c>
      <c r="F2" s="26"/>
      <c r="G2" s="27"/>
      <c r="H2" s="67" t="s">
        <v>62</v>
      </c>
      <c r="I2" s="68"/>
      <c r="J2" s="68"/>
      <c r="K2" s="68"/>
      <c r="L2" s="68"/>
      <c r="M2" s="9"/>
    </row>
    <row r="3" spans="1:13" x14ac:dyDescent="0.45">
      <c r="A3" s="9"/>
      <c r="B3" s="16" t="s">
        <v>0</v>
      </c>
      <c r="C3" s="91">
        <v>100000</v>
      </c>
      <c r="D3" s="15"/>
      <c r="E3" s="59" t="s">
        <v>24</v>
      </c>
      <c r="F3" s="21"/>
      <c r="G3" s="28"/>
      <c r="H3" s="69"/>
      <c r="I3" s="68"/>
      <c r="J3" s="68"/>
      <c r="K3" s="68"/>
      <c r="L3" s="68"/>
      <c r="M3" s="9"/>
    </row>
    <row r="4" spans="1:13" x14ac:dyDescent="0.45">
      <c r="A4" s="9"/>
      <c r="B4" s="16" t="s">
        <v>55</v>
      </c>
      <c r="C4" s="92">
        <v>2</v>
      </c>
      <c r="D4" s="15"/>
      <c r="E4" s="59" t="s">
        <v>25</v>
      </c>
      <c r="F4" s="21"/>
      <c r="G4" s="28"/>
      <c r="H4" s="69"/>
      <c r="I4" s="68"/>
      <c r="J4" s="68"/>
      <c r="K4" s="68"/>
      <c r="L4" s="68"/>
      <c r="M4" s="9"/>
    </row>
    <row r="5" spans="1:13" x14ac:dyDescent="0.45">
      <c r="A5" s="9"/>
      <c r="B5" s="16" t="s">
        <v>56</v>
      </c>
      <c r="C5" s="92">
        <f>12*C4</f>
        <v>24</v>
      </c>
      <c r="D5" s="15"/>
      <c r="E5" s="60"/>
      <c r="F5" s="21"/>
      <c r="G5" s="28"/>
      <c r="H5" s="69"/>
      <c r="I5" s="68"/>
      <c r="J5" s="68"/>
      <c r="K5" s="68"/>
      <c r="L5" s="68"/>
      <c r="M5" s="9"/>
    </row>
    <row r="6" spans="1:13" x14ac:dyDescent="0.45">
      <c r="A6" s="9"/>
      <c r="B6" s="16" t="s">
        <v>1</v>
      </c>
      <c r="C6" s="93">
        <v>0.09</v>
      </c>
      <c r="D6" s="17">
        <f>'Deal Model'!C36</f>
        <v>9.4089999999999993E-2</v>
      </c>
      <c r="E6" s="59" t="s">
        <v>26</v>
      </c>
      <c r="F6" s="21"/>
      <c r="G6" s="28"/>
      <c r="H6" s="69"/>
      <c r="I6" s="68"/>
      <c r="J6" s="68"/>
      <c r="K6" s="68"/>
      <c r="L6" s="68"/>
      <c r="M6" s="9"/>
    </row>
    <row r="7" spans="1:13" x14ac:dyDescent="0.45">
      <c r="A7" s="9"/>
      <c r="B7" s="16" t="s">
        <v>2</v>
      </c>
      <c r="C7" s="93">
        <v>0.2</v>
      </c>
      <c r="D7" s="16"/>
      <c r="E7" s="59" t="s">
        <v>27</v>
      </c>
      <c r="F7" s="21"/>
      <c r="G7" s="28"/>
      <c r="H7" s="69"/>
      <c r="I7" s="68"/>
      <c r="J7" s="68"/>
      <c r="K7" s="68"/>
      <c r="L7" s="68"/>
      <c r="M7" s="9"/>
    </row>
    <row r="8" spans="1:13" x14ac:dyDescent="0.45">
      <c r="A8" s="9"/>
      <c r="B8" s="16" t="s">
        <v>57</v>
      </c>
      <c r="C8" s="93">
        <v>0.03</v>
      </c>
      <c r="D8" s="17">
        <f>'Deal Model'!C6</f>
        <v>0.03</v>
      </c>
      <c r="E8" s="60"/>
      <c r="F8" s="21"/>
      <c r="G8" s="28"/>
      <c r="H8" s="69"/>
      <c r="I8" s="68"/>
      <c r="J8" s="68"/>
      <c r="K8" s="68"/>
      <c r="L8" s="68"/>
      <c r="M8" s="9"/>
    </row>
    <row r="9" spans="1:13" x14ac:dyDescent="0.45">
      <c r="A9" s="9"/>
      <c r="B9" s="18" t="s">
        <v>13</v>
      </c>
      <c r="C9" s="93">
        <v>0.3</v>
      </c>
      <c r="D9" s="16"/>
      <c r="E9" s="59" t="s">
        <v>28</v>
      </c>
      <c r="F9" s="21"/>
      <c r="G9" s="28"/>
      <c r="H9" s="69"/>
      <c r="I9" s="68"/>
      <c r="J9" s="68"/>
      <c r="K9" s="68"/>
      <c r="L9" s="68"/>
      <c r="M9" s="9"/>
    </row>
    <row r="10" spans="1:13" x14ac:dyDescent="0.45">
      <c r="A10" s="9"/>
      <c r="B10" s="16" t="s">
        <v>58</v>
      </c>
      <c r="C10" s="94">
        <v>0.03</v>
      </c>
      <c r="D10" s="17">
        <f>'Deal Model'!D39</f>
        <v>3.4090000000000002E-2</v>
      </c>
      <c r="E10" s="59" t="s">
        <v>31</v>
      </c>
      <c r="F10" s="21"/>
      <c r="G10" s="28"/>
      <c r="H10" s="69"/>
      <c r="I10" s="68"/>
      <c r="J10" s="68"/>
      <c r="K10" s="68"/>
      <c r="L10" s="68"/>
      <c r="M10" s="9"/>
    </row>
    <row r="11" spans="1:13" x14ac:dyDescent="0.45">
      <c r="A11" s="9"/>
      <c r="B11" s="16" t="s">
        <v>14</v>
      </c>
      <c r="C11" s="93">
        <v>0.5</v>
      </c>
      <c r="D11" s="15"/>
      <c r="E11" s="59" t="s">
        <v>29</v>
      </c>
      <c r="F11" s="21"/>
      <c r="G11" s="28"/>
      <c r="H11" s="69"/>
      <c r="I11" s="68"/>
      <c r="J11" s="68"/>
      <c r="K11" s="68"/>
      <c r="L11" s="68"/>
      <c r="M11" s="9"/>
    </row>
    <row r="12" spans="1:13" x14ac:dyDescent="0.45">
      <c r="A12" s="9"/>
      <c r="B12" s="19" t="s">
        <v>23</v>
      </c>
      <c r="C12" s="95">
        <v>0.1</v>
      </c>
      <c r="D12" s="20"/>
      <c r="E12" s="61" t="s">
        <v>54</v>
      </c>
      <c r="F12" s="22"/>
      <c r="G12" s="29"/>
      <c r="H12" s="69"/>
      <c r="I12" s="68"/>
      <c r="J12" s="68"/>
      <c r="K12" s="68"/>
      <c r="L12" s="68"/>
      <c r="M12" s="9"/>
    </row>
    <row r="13" spans="1:13" s="4" customFormat="1" x14ac:dyDescent="0.45">
      <c r="A13" s="10"/>
      <c r="B13" s="31" t="s">
        <v>3</v>
      </c>
      <c r="C13" s="32">
        <v>1</v>
      </c>
      <c r="D13" s="32">
        <v>2</v>
      </c>
      <c r="E13" s="32">
        <v>3</v>
      </c>
      <c r="F13" s="32">
        <v>4</v>
      </c>
      <c r="G13" s="32">
        <v>5</v>
      </c>
      <c r="H13" s="32">
        <v>6</v>
      </c>
      <c r="I13" s="32">
        <v>7</v>
      </c>
      <c r="J13" s="32">
        <v>8</v>
      </c>
      <c r="K13" s="32">
        <v>9</v>
      </c>
      <c r="L13" s="32">
        <v>10</v>
      </c>
      <c r="M13" s="10"/>
    </row>
    <row r="14" spans="1:13" x14ac:dyDescent="0.45">
      <c r="A14" s="9"/>
      <c r="B14" s="33" t="s">
        <v>4</v>
      </c>
      <c r="C14" s="57">
        <v>0</v>
      </c>
      <c r="D14" s="34">
        <f>C19</f>
        <v>24</v>
      </c>
      <c r="E14" s="34">
        <f t="shared" ref="E14:L14" si="0">D19</f>
        <v>43.2</v>
      </c>
      <c r="F14" s="34">
        <f t="shared" si="0"/>
        <v>67.2</v>
      </c>
      <c r="G14" s="34">
        <f t="shared" si="0"/>
        <v>91.2</v>
      </c>
      <c r="H14" s="34">
        <f t="shared" si="0"/>
        <v>115.2</v>
      </c>
      <c r="I14" s="34">
        <f t="shared" si="0"/>
        <v>139.19999999999999</v>
      </c>
      <c r="J14" s="34">
        <f t="shared" si="0"/>
        <v>163.19999999999999</v>
      </c>
      <c r="K14" s="34">
        <f t="shared" si="0"/>
        <v>187.2</v>
      </c>
      <c r="L14" s="35">
        <f t="shared" si="0"/>
        <v>211.2</v>
      </c>
      <c r="M14" s="9"/>
    </row>
    <row r="15" spans="1:13" x14ac:dyDescent="0.45">
      <c r="A15" s="9"/>
      <c r="B15" s="36" t="s">
        <v>15</v>
      </c>
      <c r="C15" s="58">
        <v>0</v>
      </c>
      <c r="D15" s="38">
        <f>C22</f>
        <v>2400000</v>
      </c>
      <c r="E15" s="38">
        <f t="shared" ref="E15:L15" si="1">D22</f>
        <v>7580160</v>
      </c>
      <c r="F15" s="38">
        <f t="shared" si="1"/>
        <v>13185062.4</v>
      </c>
      <c r="G15" s="38">
        <f t="shared" si="1"/>
        <v>19242566.016000003</v>
      </c>
      <c r="H15" s="38">
        <f t="shared" si="1"/>
        <v>25793404.957440004</v>
      </c>
      <c r="I15" s="38">
        <f t="shared" si="1"/>
        <v>32881979.403609607</v>
      </c>
      <c r="J15" s="38">
        <f t="shared" si="1"/>
        <v>40556685.549934469</v>
      </c>
      <c r="K15" s="38">
        <f t="shared" si="1"/>
        <v>48870275.249428578</v>
      </c>
      <c r="L15" s="39">
        <f t="shared" si="1"/>
        <v>57880248.021877155</v>
      </c>
      <c r="M15" s="9"/>
    </row>
    <row r="16" spans="1:13" x14ac:dyDescent="0.45">
      <c r="A16" s="9"/>
      <c r="B16" s="36" t="s">
        <v>16</v>
      </c>
      <c r="C16" s="37">
        <f>$C$4*12</f>
        <v>24</v>
      </c>
      <c r="D16" s="37">
        <f>$C$5</f>
        <v>24</v>
      </c>
      <c r="E16" s="37">
        <f t="shared" ref="E16:L16" si="2">$C$5</f>
        <v>24</v>
      </c>
      <c r="F16" s="37">
        <f t="shared" si="2"/>
        <v>24</v>
      </c>
      <c r="G16" s="37">
        <f t="shared" si="2"/>
        <v>24</v>
      </c>
      <c r="H16" s="37">
        <f t="shared" si="2"/>
        <v>24</v>
      </c>
      <c r="I16" s="37">
        <f t="shared" si="2"/>
        <v>24</v>
      </c>
      <c r="J16" s="37">
        <f t="shared" si="2"/>
        <v>24</v>
      </c>
      <c r="K16" s="37">
        <f t="shared" si="2"/>
        <v>24</v>
      </c>
      <c r="L16" s="40">
        <f t="shared" si="2"/>
        <v>24</v>
      </c>
      <c r="M16" s="9"/>
    </row>
    <row r="17" spans="1:13" x14ac:dyDescent="0.45">
      <c r="A17" s="9"/>
      <c r="B17" s="36" t="s">
        <v>59</v>
      </c>
      <c r="C17" s="38">
        <f>$C$3*C16</f>
        <v>2400000</v>
      </c>
      <c r="D17" s="38">
        <f>D16*$C$3</f>
        <v>2400000</v>
      </c>
      <c r="E17" s="38">
        <f t="shared" ref="E17:L17" si="3">E16*$C$3</f>
        <v>2400000</v>
      </c>
      <c r="F17" s="38">
        <f t="shared" si="3"/>
        <v>2400000</v>
      </c>
      <c r="G17" s="38">
        <f t="shared" si="3"/>
        <v>2400000</v>
      </c>
      <c r="H17" s="38">
        <f t="shared" si="3"/>
        <v>2400000</v>
      </c>
      <c r="I17" s="38">
        <f t="shared" si="3"/>
        <v>2400000</v>
      </c>
      <c r="J17" s="38">
        <f t="shared" si="3"/>
        <v>2400000</v>
      </c>
      <c r="K17" s="38">
        <f t="shared" si="3"/>
        <v>2400000</v>
      </c>
      <c r="L17" s="39">
        <f t="shared" si="3"/>
        <v>2400000</v>
      </c>
      <c r="M17" s="9"/>
    </row>
    <row r="18" spans="1:13" x14ac:dyDescent="0.45">
      <c r="A18" s="9"/>
      <c r="B18" s="36" t="s">
        <v>5</v>
      </c>
      <c r="C18" s="38">
        <v>0</v>
      </c>
      <c r="D18" s="38">
        <f>C19*(-$C$7)</f>
        <v>-4.8000000000000007</v>
      </c>
      <c r="E18" s="38">
        <f t="shared" ref="E18:L18" si="4">D19*(-$C$7)</f>
        <v>-8.64</v>
      </c>
      <c r="F18" s="38">
        <f t="shared" si="4"/>
        <v>-13.440000000000001</v>
      </c>
      <c r="G18" s="38">
        <f t="shared" si="4"/>
        <v>-18.240000000000002</v>
      </c>
      <c r="H18" s="38">
        <f t="shared" si="4"/>
        <v>-23.040000000000003</v>
      </c>
      <c r="I18" s="38">
        <f t="shared" si="4"/>
        <v>-27.84</v>
      </c>
      <c r="J18" s="38">
        <f t="shared" si="4"/>
        <v>-32.64</v>
      </c>
      <c r="K18" s="38">
        <f t="shared" si="4"/>
        <v>-37.44</v>
      </c>
      <c r="L18" s="39">
        <f t="shared" si="4"/>
        <v>-42.24</v>
      </c>
      <c r="M18" s="9"/>
    </row>
    <row r="19" spans="1:13" x14ac:dyDescent="0.45">
      <c r="A19" s="9"/>
      <c r="B19" s="36" t="s">
        <v>6</v>
      </c>
      <c r="C19" s="38">
        <f>C14+C16</f>
        <v>24</v>
      </c>
      <c r="D19" s="38">
        <f>D14+D16+D18</f>
        <v>43.2</v>
      </c>
      <c r="E19" s="38">
        <f t="shared" ref="E19:L19" si="5">E14+E16</f>
        <v>67.2</v>
      </c>
      <c r="F19" s="38">
        <f t="shared" si="5"/>
        <v>91.2</v>
      </c>
      <c r="G19" s="38">
        <f t="shared" si="5"/>
        <v>115.2</v>
      </c>
      <c r="H19" s="38">
        <f t="shared" si="5"/>
        <v>139.19999999999999</v>
      </c>
      <c r="I19" s="38">
        <f t="shared" si="5"/>
        <v>163.19999999999999</v>
      </c>
      <c r="J19" s="38">
        <f t="shared" si="5"/>
        <v>187.2</v>
      </c>
      <c r="K19" s="38">
        <f t="shared" si="5"/>
        <v>211.2</v>
      </c>
      <c r="L19" s="39">
        <f t="shared" si="5"/>
        <v>235.2</v>
      </c>
      <c r="M19" s="9"/>
    </row>
    <row r="20" spans="1:13" x14ac:dyDescent="0.45">
      <c r="A20" s="9"/>
      <c r="B20" s="36" t="s">
        <v>7</v>
      </c>
      <c r="C20" s="38">
        <v>0</v>
      </c>
      <c r="D20" s="41">
        <f t="shared" ref="D20:L20" si="6">D18*(($C$3*(1+$C$7)))</f>
        <v>-576000.00000000012</v>
      </c>
      <c r="E20" s="41">
        <f t="shared" si="6"/>
        <v>-1036800.0000000001</v>
      </c>
      <c r="F20" s="41">
        <f t="shared" si="6"/>
        <v>-1612800.0000000002</v>
      </c>
      <c r="G20" s="41">
        <f t="shared" si="6"/>
        <v>-2188800.0000000005</v>
      </c>
      <c r="H20" s="41">
        <f t="shared" si="6"/>
        <v>-2764800.0000000005</v>
      </c>
      <c r="I20" s="41">
        <f t="shared" si="6"/>
        <v>-3340800</v>
      </c>
      <c r="J20" s="41">
        <f t="shared" si="6"/>
        <v>-3916800</v>
      </c>
      <c r="K20" s="41">
        <f t="shared" si="6"/>
        <v>-4492800</v>
      </c>
      <c r="L20" s="42">
        <f t="shared" si="6"/>
        <v>-5068800</v>
      </c>
      <c r="M20" s="9"/>
    </row>
    <row r="21" spans="1:13" x14ac:dyDescent="0.45">
      <c r="A21" s="9"/>
      <c r="B21" s="36" t="s">
        <v>8</v>
      </c>
      <c r="C21" s="41">
        <v>0</v>
      </c>
      <c r="D21" s="41">
        <f t="shared" ref="D21:L21" si="7">(D15+D17+D20)*(1+$C$6)</f>
        <v>4604160</v>
      </c>
      <c r="E21" s="41">
        <f t="shared" si="7"/>
        <v>9748262.4000000004</v>
      </c>
      <c r="F21" s="41">
        <f t="shared" si="7"/>
        <v>15229766.016000001</v>
      </c>
      <c r="G21" s="41">
        <f t="shared" si="7"/>
        <v>21204604.957440004</v>
      </c>
      <c r="H21" s="41">
        <f t="shared" si="7"/>
        <v>27717179.403609607</v>
      </c>
      <c r="I21" s="41">
        <f t="shared" si="7"/>
        <v>34815885.549934469</v>
      </c>
      <c r="J21" s="41">
        <f t="shared" si="7"/>
        <v>42553475.249428578</v>
      </c>
      <c r="K21" s="41">
        <f t="shared" si="7"/>
        <v>50987448.021877155</v>
      </c>
      <c r="L21" s="42">
        <f t="shared" si="7"/>
        <v>60180478.343846105</v>
      </c>
      <c r="M21" s="9"/>
    </row>
    <row r="22" spans="1:13" x14ac:dyDescent="0.45">
      <c r="A22" s="9"/>
      <c r="B22" s="36" t="s">
        <v>9</v>
      </c>
      <c r="C22" s="38">
        <f t="shared" ref="C22:L22" si="8">C17-C20+C21</f>
        <v>2400000</v>
      </c>
      <c r="D22" s="38">
        <f t="shared" si="8"/>
        <v>7580160</v>
      </c>
      <c r="E22" s="38">
        <f t="shared" si="8"/>
        <v>13185062.4</v>
      </c>
      <c r="F22" s="38">
        <f t="shared" si="8"/>
        <v>19242566.016000003</v>
      </c>
      <c r="G22" s="38">
        <f t="shared" si="8"/>
        <v>25793404.957440004</v>
      </c>
      <c r="H22" s="38">
        <f t="shared" si="8"/>
        <v>32881979.403609607</v>
      </c>
      <c r="I22" s="38">
        <f t="shared" si="8"/>
        <v>40556685.549934469</v>
      </c>
      <c r="J22" s="38">
        <f t="shared" si="8"/>
        <v>48870275.249428578</v>
      </c>
      <c r="K22" s="38">
        <f t="shared" si="8"/>
        <v>57880248.021877155</v>
      </c>
      <c r="L22" s="39">
        <f t="shared" si="8"/>
        <v>67649278.343846112</v>
      </c>
      <c r="M22" s="9"/>
    </row>
    <row r="23" spans="1:13" x14ac:dyDescent="0.45">
      <c r="A23" s="9"/>
      <c r="B23" s="36" t="s">
        <v>19</v>
      </c>
      <c r="C23" s="41">
        <f t="shared" ref="C23:L23" si="9">C17*$C$8</f>
        <v>72000</v>
      </c>
      <c r="D23" s="41">
        <f t="shared" si="9"/>
        <v>72000</v>
      </c>
      <c r="E23" s="41">
        <f t="shared" si="9"/>
        <v>72000</v>
      </c>
      <c r="F23" s="41">
        <f t="shared" si="9"/>
        <v>72000</v>
      </c>
      <c r="G23" s="41">
        <f t="shared" si="9"/>
        <v>72000</v>
      </c>
      <c r="H23" s="41">
        <f t="shared" si="9"/>
        <v>72000</v>
      </c>
      <c r="I23" s="41">
        <f t="shared" si="9"/>
        <v>72000</v>
      </c>
      <c r="J23" s="41">
        <f t="shared" si="9"/>
        <v>72000</v>
      </c>
      <c r="K23" s="41">
        <f t="shared" si="9"/>
        <v>72000</v>
      </c>
      <c r="L23" s="42">
        <f t="shared" si="9"/>
        <v>72000</v>
      </c>
      <c r="M23" s="9"/>
    </row>
    <row r="24" spans="1:13" s="8" customFormat="1" x14ac:dyDescent="0.45">
      <c r="A24" s="11"/>
      <c r="B24" s="43" t="s">
        <v>18</v>
      </c>
      <c r="C24" s="44">
        <f t="shared" ref="C24:L24" si="10">-(C23*$C$9)</f>
        <v>-21600</v>
      </c>
      <c r="D24" s="44">
        <f t="shared" si="10"/>
        <v>-21600</v>
      </c>
      <c r="E24" s="44">
        <f t="shared" si="10"/>
        <v>-21600</v>
      </c>
      <c r="F24" s="44">
        <f t="shared" si="10"/>
        <v>-21600</v>
      </c>
      <c r="G24" s="44">
        <f t="shared" si="10"/>
        <v>-21600</v>
      </c>
      <c r="H24" s="44">
        <f t="shared" si="10"/>
        <v>-21600</v>
      </c>
      <c r="I24" s="44">
        <f t="shared" si="10"/>
        <v>-21600</v>
      </c>
      <c r="J24" s="44">
        <f t="shared" si="10"/>
        <v>-21600</v>
      </c>
      <c r="K24" s="44">
        <f t="shared" si="10"/>
        <v>-21600</v>
      </c>
      <c r="L24" s="45">
        <f t="shared" si="10"/>
        <v>-21600</v>
      </c>
      <c r="M24" s="11"/>
    </row>
    <row r="25" spans="1:13" s="4" customFormat="1" x14ac:dyDescent="0.45">
      <c r="A25" s="10"/>
      <c r="B25" s="46" t="s">
        <v>22</v>
      </c>
      <c r="C25" s="62">
        <f t="shared" ref="C25:L25" si="11">C23+C24</f>
        <v>50400</v>
      </c>
      <c r="D25" s="47">
        <f t="shared" si="11"/>
        <v>50400</v>
      </c>
      <c r="E25" s="47">
        <f t="shared" si="11"/>
        <v>50400</v>
      </c>
      <c r="F25" s="47">
        <f t="shared" si="11"/>
        <v>50400</v>
      </c>
      <c r="G25" s="47">
        <f t="shared" si="11"/>
        <v>50400</v>
      </c>
      <c r="H25" s="47">
        <f t="shared" si="11"/>
        <v>50400</v>
      </c>
      <c r="I25" s="47">
        <f t="shared" si="11"/>
        <v>50400</v>
      </c>
      <c r="J25" s="47">
        <f t="shared" si="11"/>
        <v>50400</v>
      </c>
      <c r="K25" s="47">
        <f t="shared" si="11"/>
        <v>50400</v>
      </c>
      <c r="L25" s="48">
        <f t="shared" si="11"/>
        <v>50400</v>
      </c>
      <c r="M25" s="10"/>
    </row>
    <row r="26" spans="1:13" x14ac:dyDescent="0.45">
      <c r="A26" s="9"/>
      <c r="B26" s="49" t="s">
        <v>20</v>
      </c>
      <c r="C26" s="63">
        <f t="shared" ref="C26:L26" si="12">C15*$C$10</f>
        <v>0</v>
      </c>
      <c r="D26" s="50">
        <f t="shared" si="12"/>
        <v>72000</v>
      </c>
      <c r="E26" s="50">
        <f t="shared" si="12"/>
        <v>227404.79999999999</v>
      </c>
      <c r="F26" s="50">
        <f t="shared" si="12"/>
        <v>395551.87199999997</v>
      </c>
      <c r="G26" s="50">
        <f t="shared" si="12"/>
        <v>577276.98048000003</v>
      </c>
      <c r="H26" s="50">
        <f t="shared" si="12"/>
        <v>773802.14872320008</v>
      </c>
      <c r="I26" s="50">
        <f t="shared" si="12"/>
        <v>986459.38210828824</v>
      </c>
      <c r="J26" s="50">
        <f t="shared" si="12"/>
        <v>1216700.5664980339</v>
      </c>
      <c r="K26" s="50">
        <f t="shared" si="12"/>
        <v>1466108.2574828572</v>
      </c>
      <c r="L26" s="51">
        <f t="shared" si="12"/>
        <v>1736407.4406563146</v>
      </c>
      <c r="M26" s="9"/>
    </row>
    <row r="27" spans="1:13" x14ac:dyDescent="0.45">
      <c r="A27" s="9"/>
      <c r="B27" s="49" t="s">
        <v>60</v>
      </c>
      <c r="C27" s="64">
        <f>C10*C11</f>
        <v>1.4999999999999999E-2</v>
      </c>
      <c r="D27" s="52">
        <f t="shared" ref="D27:L27" si="13">C27*(1-$C$12)</f>
        <v>1.35E-2</v>
      </c>
      <c r="E27" s="52">
        <f t="shared" si="13"/>
        <v>1.2149999999999999E-2</v>
      </c>
      <c r="F27" s="52">
        <f t="shared" si="13"/>
        <v>1.0935E-2</v>
      </c>
      <c r="G27" s="52">
        <f t="shared" si="13"/>
        <v>9.8415000000000013E-3</v>
      </c>
      <c r="H27" s="52">
        <f t="shared" si="13"/>
        <v>8.8573500000000017E-3</v>
      </c>
      <c r="I27" s="52">
        <f t="shared" si="13"/>
        <v>7.9716150000000013E-3</v>
      </c>
      <c r="J27" s="52">
        <f t="shared" si="13"/>
        <v>7.1744535000000014E-3</v>
      </c>
      <c r="K27" s="52">
        <f t="shared" si="13"/>
        <v>6.4570081500000013E-3</v>
      </c>
      <c r="L27" s="53">
        <f t="shared" si="13"/>
        <v>5.8113073350000016E-3</v>
      </c>
      <c r="M27" s="9"/>
    </row>
    <row r="28" spans="1:13" x14ac:dyDescent="0.45">
      <c r="A28" s="9"/>
      <c r="B28" s="49" t="s">
        <v>61</v>
      </c>
      <c r="C28" s="63">
        <f t="shared" ref="C28:L28" si="14">-(C15*C27)</f>
        <v>0</v>
      </c>
      <c r="D28" s="50">
        <f t="shared" si="14"/>
        <v>-32400</v>
      </c>
      <c r="E28" s="50">
        <f t="shared" si="14"/>
        <v>-92098.943999999989</v>
      </c>
      <c r="F28" s="50">
        <f t="shared" si="14"/>
        <v>-144178.65734400001</v>
      </c>
      <c r="G28" s="50">
        <f t="shared" si="14"/>
        <v>-189375.71344646404</v>
      </c>
      <c r="H28" s="50">
        <f t="shared" si="14"/>
        <v>-228461.21539978127</v>
      </c>
      <c r="I28" s="50">
        <f t="shared" si="14"/>
        <v>-262122.48024350544</v>
      </c>
      <c r="J28" s="50">
        <f t="shared" si="14"/>
        <v>-290972.05459212681</v>
      </c>
      <c r="K28" s="50">
        <f t="shared" si="14"/>
        <v>-315555.76557830366</v>
      </c>
      <c r="L28" s="51">
        <f t="shared" si="14"/>
        <v>-336359.90988115402</v>
      </c>
      <c r="M28" s="9"/>
    </row>
    <row r="29" spans="1:13" s="7" customFormat="1" x14ac:dyDescent="0.45">
      <c r="A29" s="12"/>
      <c r="B29" s="54" t="s">
        <v>21</v>
      </c>
      <c r="C29" s="65">
        <f t="shared" ref="C29:L29" si="15">C26+C28</f>
        <v>0</v>
      </c>
      <c r="D29" s="55">
        <f t="shared" si="15"/>
        <v>39600</v>
      </c>
      <c r="E29" s="55">
        <f t="shared" si="15"/>
        <v>135305.856</v>
      </c>
      <c r="F29" s="55">
        <f t="shared" si="15"/>
        <v>251373.21465599997</v>
      </c>
      <c r="G29" s="55">
        <f t="shared" si="15"/>
        <v>387901.26703353599</v>
      </c>
      <c r="H29" s="55">
        <f t="shared" si="15"/>
        <v>545340.93332341884</v>
      </c>
      <c r="I29" s="55">
        <f t="shared" si="15"/>
        <v>724336.90186478279</v>
      </c>
      <c r="J29" s="55">
        <f t="shared" si="15"/>
        <v>925728.51190590719</v>
      </c>
      <c r="K29" s="55">
        <f t="shared" si="15"/>
        <v>1150552.4919045535</v>
      </c>
      <c r="L29" s="56">
        <f t="shared" si="15"/>
        <v>1400047.5307751605</v>
      </c>
      <c r="M29" s="12"/>
    </row>
    <row r="30" spans="1:13" s="4" customFormat="1" x14ac:dyDescent="0.45">
      <c r="A30" s="10"/>
      <c r="B30" s="5" t="s">
        <v>17</v>
      </c>
      <c r="C30" s="66">
        <f t="shared" ref="C30:L30" si="16">C25+C29</f>
        <v>50400</v>
      </c>
      <c r="D30" s="6">
        <f t="shared" si="16"/>
        <v>90000</v>
      </c>
      <c r="E30" s="6">
        <f t="shared" si="16"/>
        <v>185705.856</v>
      </c>
      <c r="F30" s="6">
        <f t="shared" si="16"/>
        <v>301773.21465599997</v>
      </c>
      <c r="G30" s="6">
        <f t="shared" si="16"/>
        <v>438301.26703353599</v>
      </c>
      <c r="H30" s="6">
        <f t="shared" si="16"/>
        <v>595740.93332341884</v>
      </c>
      <c r="I30" s="6">
        <f t="shared" si="16"/>
        <v>774736.90186478279</v>
      </c>
      <c r="J30" s="6">
        <f t="shared" si="16"/>
        <v>976128.51190590719</v>
      </c>
      <c r="K30" s="6">
        <f t="shared" si="16"/>
        <v>1200952.4919045535</v>
      </c>
      <c r="L30" s="6">
        <f t="shared" si="16"/>
        <v>1450447.5307751605</v>
      </c>
      <c r="M30" s="10"/>
    </row>
    <row r="31" spans="1:13" x14ac:dyDescent="0.45">
      <c r="A31" s="9"/>
      <c r="B31" s="9"/>
      <c r="C31" s="9"/>
      <c r="D31" s="9"/>
      <c r="E31" s="9"/>
      <c r="F31" s="9"/>
      <c r="G31" s="9"/>
      <c r="H31" s="9"/>
      <c r="I31" s="9"/>
      <c r="J31" s="9"/>
      <c r="K31" s="9"/>
      <c r="L31" s="9"/>
      <c r="M31" s="9"/>
    </row>
  </sheetData>
  <sheetProtection algorithmName="SHA-512" hashValue="wNaTw6yDJ4yItmy6LYdSAGvCw3qoUs/Ibp2kx2fRQ1+5OQZa22ezTTtjQNU1moAromkpdWGffQhe7Pug37VrqQ==" saltValue="GSSpEe5OCvNZw+yVE+iNDA==" spinCount="100000" sheet="1" objects="1" scenarios="1"/>
  <mergeCells count="1">
    <mergeCell ref="H2:L12"/>
  </mergeCells>
  <hyperlinks>
    <hyperlink ref="D2" location="'Deal Model'!A1" display="Inputs from Deal"/>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Deal Model</vt:lpstr>
      <vt:lpstr>Business Model</vt:lpstr>
      <vt:lpstr>'Business Model'!Print_Area</vt:lpstr>
      <vt:lpstr>'Deal Model'!Print_Area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dc:creator>
  <cp:lastModifiedBy>Russ</cp:lastModifiedBy>
  <cp:lastPrinted>2017-05-26T16:25:07Z</cp:lastPrinted>
  <dcterms:created xsi:type="dcterms:W3CDTF">2017-05-18T15:41:07Z</dcterms:created>
  <dcterms:modified xsi:type="dcterms:W3CDTF">2017-06-01T22:26:18Z</dcterms:modified>
</cp:coreProperties>
</file>